
<file path=[Content_Types].xml><?xml version="1.0" encoding="utf-8"?>
<Types xmlns="http://schemas.openxmlformats.org/package/2006/content-types">
  <Default ContentType="image/jpeg" Extension="jpg"/>
  <Default ContentType="application/vnd.openxmlformats-officedocument.vmlDrawing" Extension="vml"/>
  <Default ContentType="image/gif" Extension="gif"/>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65.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6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58.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00 READ ME" sheetId="1" r:id="rId3"/>
    <sheet state="visible" name="100A Description of Forms" sheetId="2" r:id="rId4"/>
    <sheet state="visible" name="101 General Info" sheetId="3" r:id="rId5"/>
    <sheet state="hidden" name="Time" sheetId="4" r:id="rId6"/>
    <sheet state="visible" name="102 IAP Cover" sheetId="5" r:id="rId7"/>
    <sheet state="visible" name="202" sheetId="6" r:id="rId8"/>
    <sheet state="visible" name="203" sheetId="7" r:id="rId9"/>
    <sheet state="visible" name="203A" sheetId="8" r:id="rId10"/>
    <sheet state="visible" name="203S" sheetId="9" r:id="rId11"/>
    <sheet state="hidden" name="Blank 204.1" sheetId="10" r:id="rId12"/>
    <sheet state="hidden" name="Blank 204.1 Backup" sheetId="11" r:id="rId13"/>
    <sheet state="visible" name="Blank 204.2" sheetId="12" r:id="rId14"/>
    <sheet state="hidden" name="Blank 204.2 Backup" sheetId="13" r:id="rId15"/>
    <sheet state="visible" name="204 BR I DIV A - FEMA" sheetId="14" r:id="rId16"/>
    <sheet state="visible" name="204 BR I DIV B - NWCG" sheetId="15" r:id="rId17"/>
    <sheet state="hidden" name="204 BR I DIV M" sheetId="16" r:id="rId18"/>
    <sheet state="hidden" name="203B" sheetId="17" r:id="rId19"/>
    <sheet state="hidden" name="204" sheetId="18" r:id="rId20"/>
    <sheet state="visible" name="205 Worksheet" sheetId="19" r:id="rId21"/>
    <sheet state="visible" name="205 Channels" sheetId="20" r:id="rId22"/>
    <sheet state="visible" name="205 p1" sheetId="21" r:id="rId23"/>
    <sheet state="hidden" name="205 p2" sheetId="22" r:id="rId24"/>
    <sheet state="hidden" name="205 p3" sheetId="23" r:id="rId25"/>
    <sheet state="hidden" name="205 p4" sheetId="24" r:id="rId26"/>
    <sheet state="hidden" name="205 p5" sheetId="25" r:id="rId27"/>
    <sheet state="visible" name="205 p1 Rotated" sheetId="26" r:id="rId28"/>
    <sheet state="hidden" name="205 p2 Rotated" sheetId="27" r:id="rId29"/>
    <sheet state="hidden" name="205 p3 Rotated" sheetId="28" r:id="rId30"/>
    <sheet state="hidden" name="205 p4 Rotated" sheetId="29" r:id="rId31"/>
    <sheet state="hidden" name="205 p5 Rotated" sheetId="30" r:id="rId32"/>
    <sheet state="visible" name="205A" sheetId="31" r:id="rId33"/>
    <sheet state="visible" name="206 Medical Plan" sheetId="32" r:id="rId34"/>
    <sheet state="visible" name="206 Hospitals" sheetId="33" r:id="rId35"/>
    <sheet state="visible" name="207 Org Chart" sheetId="34" r:id="rId36"/>
    <sheet state="visible" name="208 Safety Plan Ver. A" sheetId="35" r:id="rId37"/>
    <sheet state="visible" name="208 Safety Plan Ver. B" sheetId="36" r:id="rId38"/>
    <sheet state="visible" name="211 p1" sheetId="37" r:id="rId39"/>
    <sheet state="visible" name="215A Safety Analysis" sheetId="38" r:id="rId40"/>
    <sheet state="hidden" name="ICScodes" sheetId="39" r:id="rId41"/>
    <sheet state="visible" name="ICS 220 Air Ops p1 (FEMA)" sheetId="40" r:id="rId42"/>
    <sheet state="visible" name="ICS 220 Air Ops p2 (FEMA)" sheetId="41" r:id="rId43"/>
    <sheet state="visible" name="ICS 220  Air Ops (CalFire)" sheetId="42" r:id="rId44"/>
    <sheet state="visible" name="ICS 230 Meeting Schedule" sheetId="43" r:id="rId45"/>
    <sheet state="visible" name="ICS 233 Tracker" sheetId="44" r:id="rId46"/>
    <sheet state="visible" name="Weather 1" sheetId="45" r:id="rId47"/>
    <sheet state="visible" name="213" sheetId="46" r:id="rId48"/>
    <sheet state="visible" name="214" sheetId="47" r:id="rId49"/>
    <sheet state="visible" name="214 p2" sheetId="48" r:id="rId50"/>
    <sheet state="visible" name="215 Fire" sheetId="49" r:id="rId51"/>
    <sheet state="visible" name="215 Non-Fire" sheetId="50" r:id="rId52"/>
    <sheet state="visible" name="Firescope" sheetId="51" r:id="rId53"/>
    <sheet state="hidden" name="Work Assignments" sheetId="52" r:id="rId54"/>
    <sheet state="visible" name="ResourceID" sheetId="53" r:id="rId55"/>
    <sheet state="visible" name="Resource Edit Form" sheetId="54" r:id="rId56"/>
    <sheet state="visible" name="Import" sheetId="55" r:id="rId57"/>
    <sheet state="visible" name="T-Card Rack" sheetId="56" r:id="rId58"/>
    <sheet state="hidden" name="Resource Count" sheetId="57" r:id="rId59"/>
    <sheet state="visible" name="209 p1" sheetId="58" r:id="rId60"/>
    <sheet state="visible" name="209 p2" sheetId="59" r:id="rId61"/>
    <sheet state="hidden" name="Branch_Assignment_Template" sheetId="60" r:id="rId62"/>
    <sheet state="visible" name="209 p3" sheetId="61" r:id="rId63"/>
    <sheet state="visible" name="209 p4" sheetId="62" r:id="rId64"/>
    <sheet state="visible" name="IAP Estimates" sheetId="63" r:id="rId65"/>
    <sheet state="hidden" name="PhonicAlphabet" sheetId="64" r:id="rId66"/>
    <sheet state="hidden" name="Copy of Blank 204.1" sheetId="65" r:id="rId67"/>
    <sheet state="hidden" name="SarTopo Import" sheetId="66" r:id="rId68"/>
    <sheet state="hidden" name="SAR 104 - Master" sheetId="67" r:id="rId69"/>
  </sheets>
  <definedNames>
    <definedName name="OpDateTo">'101 General Info'!$F$8</definedName>
    <definedName name="OpEnd">'101 General Info'!$F$9</definedName>
    <definedName name="ImportCNF">'101 General Info'!$E$41:$E$50</definedName>
    <definedName name="ResByReq">'101 General Info'!$G$90</definedName>
    <definedName name="OpDate">'101 General Info'!$D$8</definedName>
    <definedName name="LocationReturn">'101 General Info'!$C$23</definedName>
    <definedName name="QRlink">'101 General Info'!$C$14</definedName>
    <definedName name="SafetyOfficers">'203S'!$A$6:$B$20</definedName>
    <definedName name="Prefs204">'101 General Info'!$B$36:$G$36</definedName>
    <definedName name="BranchIDtabs">'101 General Info'!$C$37</definedName>
    <definedName name="IncNumber">'101 General Info'!$C$4</definedName>
    <definedName name="RadioFreqs">'205 Channels'!$A$2:$H$750</definedName>
    <definedName name="SuppField2">'101 General Info'!$G$38</definedName>
    <definedName name="Pages205">'205 Worksheet'!$L$4</definedName>
    <definedName name="Order204">'101 General Info'!$E$59</definedName>
    <definedName name="Latitude">'101 General Info'!$G$21</definedName>
    <definedName name="Order205">'205 Worksheet'!$B$8:$M$146</definedName>
    <definedName name="WorkAssignments">'Work Assignments'!$A$3:$J$151</definedName>
    <definedName name="IncName">'101 General Info'!$C$2</definedName>
    <definedName name="LatInput">'101 General Info'!$C$20</definedName>
    <definedName name="DivBrnch">'101 General Info'!$B$100:$B$212</definedName>
    <definedName name="Radio_Assignments">'205 Worksheet'!$A$8:$M$146</definedName>
    <definedName name="OpStart">'101 General Info'!$D$9</definedName>
    <definedName name="NWCG204">'101 General Info'!$C$38</definedName>
    <definedName name="ResID">'101 General Info'!$G$93</definedName>
    <definedName name="All_Div_Groups">'205 Worksheet'!$A$181:$A$296</definedName>
    <definedName name="Total211">'101 General Info'!$C$95</definedName>
    <definedName name="InTransit">'T-Card Rack'!$N$5:$O$5</definedName>
    <definedName name="Location">'101 General Info'!$C$18</definedName>
    <definedName name="Longitude">'101 General Info'!$H$21</definedName>
    <definedName name="BranchColors">'101 General Info'!$B$60</definedName>
    <definedName name="Port_Land">'205 Worksheet'!$K$4</definedName>
    <definedName name="Divisions">'203'!$E$9:$E$38</definedName>
    <definedName name="RadioIDs">'205 Channels'!$A$2:$A$750</definedName>
    <definedName name="SuppField1">'101 General Info'!$E$38</definedName>
    <definedName name="LongInput">'101 General Info'!$C$21</definedName>
    <definedName name="ResData">'101 General Info'!$G$91</definedName>
    <definedName name="ResDataAll">'101 General Info'!$G$92</definedName>
    <definedName name="ResTypes">'101 General Info'!$G$61:$G$79</definedName>
    <definedName name="IncStartDate">'101 General Info'!$C$3</definedName>
    <definedName localSheetId="7" name="Divisions">'203A'!$G$9:$G$38</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C18">
      <text>
        <t xml:space="preserve">You may enter a street address, region, city, any geographic feature - such as lakes, parks, mountains, or cultural locations - such as stadiums, malls, bridges, etc...</t>
      </text>
    </comment>
    <comment authorId="0" ref="C20">
      <text>
        <t xml:space="preserve">If you are entering your Lat &amp; Long manually, make sure that you remove any text in the "Location" field above.</t>
      </text>
    </comment>
    <comment authorId="0" ref="C21">
      <text>
        <t xml:space="preserve">If you are entering your Lat &amp; Long manually, make sure that you remove any text in the "Location" field above.</t>
      </text>
    </comment>
    <comment authorId="0" ref="B27">
      <text>
        <t xml:space="preserve">This allows you to enter a single name who will sign forms although multiple names may appear on the 203.</t>
      </text>
    </comment>
    <comment authorId="0" ref="E44">
      <text>
        <t xml:space="preserve">If you're on a large incident, don't even think about checking this. Even on a moderate size incident, this can become un-rulely very quickly.
</t>
      </text>
    </comment>
  </commentList>
</comments>
</file>

<file path=xl/comments2.xml><?xml version="1.0" encoding="utf-8"?>
<comments xmlns:r="http://schemas.openxmlformats.org/officeDocument/2006/relationships" xmlns="http://schemas.openxmlformats.org/spreadsheetml/2006/main">
  <authors>
    <author/>
  </authors>
  <commentList>
    <comment authorId="0" ref="B7">
      <text>
        <t xml:space="preserve">You can either delete this here or replace it on the General Info tab.</t>
      </text>
    </comment>
  </commentList>
</comments>
</file>

<file path=xl/comments3.xml><?xml version="1.0" encoding="utf-8"?>
<comments xmlns:r="http://schemas.openxmlformats.org/officeDocument/2006/relationships" xmlns="http://schemas.openxmlformats.org/spreadsheetml/2006/main">
  <authors>
    <author/>
  </authors>
  <commentList>
    <comment authorId="0" ref="M3">
      <text>
        <t xml:space="preserve">This button hides or unhides the selected style of 205s (portrait or landscape) and will unhide the selected number of 205s.</t>
      </text>
    </comment>
    <comment authorId="0" ref="B7">
      <text>
        <t xml:space="preserve">You may enter a description for the first page of the  205, such as "Incident Channels", "Contingency" or "South Zone". It will appear in the upper left corner of the 205 just under the incident name.</t>
      </text>
    </comment>
    <comment authorId="0" ref="L8">
      <text>
        <t xml:space="preserve">To use a different Command Channel for a Group or Division, place the the 205 Order channel for the desired channel in this column.</t>
      </text>
    </comment>
    <comment authorId="0" ref="M8">
      <text>
        <t xml:space="preserve">To use a different A/G Channel for a Group or Division, place the the 205 Order channel for the desired channel in this column.
</t>
      </text>
    </comment>
    <comment authorId="0" ref="B36">
      <text>
        <t xml:space="preserve">You may enter a description for the second page of the  205, such as "Contingency" or "South Zone". It will appear in the upper left corner of the 205 just under the incident name.</t>
      </text>
    </comment>
    <comment authorId="0" ref="B37">
      <text>
        <t xml:space="preserve">All channel order numbers for the second 205 should begin "P52" followed by the channel number. The "P2." designates it as being on the Page 2 of the 205.
</t>
      </text>
    </comment>
    <comment authorId="0" ref="B68">
      <text>
        <t xml:space="preserve">You may enter a description for the third page of the  205, such as "Contingency" or "South Zone". It will appear in the upper left corner of the 205 just under the incident name.</t>
      </text>
    </comment>
    <comment authorId="0" ref="B69">
      <text>
        <t xml:space="preserve">All channel order numbers for the third 205 should begin "P3." followed by the channel number. The "P3." designates it as being on the Page 3 of the 205.
</t>
      </text>
    </comment>
    <comment authorId="0" ref="B94">
      <text>
        <t xml:space="preserve">You may enter a description for the forth page of the  205, such as "Contingency" or "South Zone". It will appear in the upper left corner of the 205 just under the incident name.</t>
      </text>
    </comment>
    <comment authorId="0" ref="B95">
      <text>
        <t xml:space="preserve">All channel order numbers for the fifth 205 should begin "P4." followed by the channel number. The "P4." designates it as being on the Page 4 of the 205.
</t>
      </text>
    </comment>
    <comment authorId="0" ref="B120">
      <text>
        <t xml:space="preserve">Enter a description for the fifth 205, such as "Contingency" or "South Zone". It will appear in the upper left corner of the 205 just under the incident name.</t>
      </text>
    </comment>
    <comment authorId="0" ref="B121">
      <text>
        <t xml:space="preserve">All channel order numbers for the fifth 205 should begin "P5." followed by the channel number. The "P5." designates it as being on the Page 5 of the 205.
</t>
      </text>
    </comment>
  </commentList>
</comments>
</file>

<file path=xl/comments4.xml><?xml version="1.0" encoding="utf-8"?>
<comments xmlns:r="http://schemas.openxmlformats.org/officeDocument/2006/relationships" xmlns="http://schemas.openxmlformats.org/spreadsheetml/2006/main">
  <authors>
    <author/>
  </authors>
  <commentList>
    <comment authorId="0" ref="X3">
      <text>
        <t xml:space="preserve">This indicates whether this sheet is set to connect to the NIMS IAP hospital Data set or not. This setting can be changed below.</t>
      </text>
    </comment>
  </commentList>
</comments>
</file>

<file path=xl/comments5.xml><?xml version="1.0" encoding="utf-8"?>
<comments xmlns:r="http://schemas.openxmlformats.org/officeDocument/2006/relationships" xmlns="http://schemas.openxmlformats.org/spreadsheetml/2006/main">
  <authors>
    <author/>
  </authors>
  <commentList>
    <comment authorId="0" ref="A10">
      <text>
        <t xml:space="preserve">2 Letter State ID</t>
      </text>
    </comment>
    <comment authorId="0" ref="B10">
      <text>
        <t xml:space="preserve">3 letter Agency ID</t>
      </text>
    </comment>
  </commentList>
</comments>
</file>

<file path=xl/comments6.xml><?xml version="1.0" encoding="utf-8"?>
<comments xmlns:r="http://schemas.openxmlformats.org/officeDocument/2006/relationships" xmlns="http://schemas.openxmlformats.org/spreadsheetml/2006/main">
  <authors>
    <author/>
  </authors>
  <commentList>
    <comment authorId="0" ref="K2">
      <text>
        <t xml:space="preserve">
Enter ALL Dates as Follows:
Month / Day   00/00
It will Format for you.
Example: 09/25 becomes:
Thursday, September 25, 2014
</t>
      </text>
    </comment>
    <comment authorId="0" ref="E4">
      <text>
        <t xml:space="preserve">0622
Arrive @ Incident
WITH ATGS or HLCO</t>
      </text>
    </comment>
    <comment authorId="0" ref="F4">
      <text>
        <t xml:space="preserve">
30 Minutes AFTER Sunrise
Arrive @ Incident
WITHOUT ATGS or HLCO
</t>
      </text>
    </comment>
    <comment authorId="0" ref="G4">
      <text>
        <t xml:space="preserve">
30 Minutes BEFORE Sunset
Arrive @ Incident 
WITHOUT ATGS or HLCO
</t>
      </text>
    </comment>
    <comment authorId="0" ref="H4">
      <text>
        <t xml:space="preserve">
Arrive @ Incident
WITH ATGS or HLCO
</t>
      </text>
    </comment>
    <comment authorId="0" ref="I4">
      <text>
        <t xml:space="preserve">
30 Minutes AFTER Sunset
Arrive @ Incident
WITHOUT ATGS or HLCO
</t>
      </text>
    </comment>
    <comment authorId="0" ref="N4">
      <text>
        <t xml:space="preserve">
EXAMPLE:  0600 - 0600
</t>
      </text>
    </comment>
    <comment authorId="0" ref="J7">
      <text>
        <t xml:space="preserve">
Use decimal minute format.
For ALL Lat / Long entires - just enter the numbers, it will format for you.
EXAMPLE: 123456 
becomes 12° 34.56</t>
      </text>
    </comment>
    <comment authorId="0" ref="L15">
      <text>
        <t xml:space="preserve">
For ALL Phone Numbers:
Just enter the numbers, it will format for you.
EXAMPLE: 9498675309
becomes (949) 867-5309
</t>
      </text>
    </comment>
    <comment authorId="0" ref="C17">
      <text>
        <t xml:space="preserve">Victor Channel from ROSS</t>
      </text>
    </comment>
    <comment authorId="0" ref="C19">
      <text>
        <t xml:space="preserve">AIR TAC on ROSS</t>
      </text>
    </comment>
    <comment authorId="0" ref="C20">
      <text>
        <t xml:space="preserve">Briefing frequency for AA - Air to Air AM</t>
      </text>
    </comment>
    <comment authorId="0" ref="C21">
      <text>
        <t xml:space="preserve">Take of and Landing Coordination in ROSS</t>
      </text>
    </comment>
    <comment authorId="0" ref="C22">
      <text>
        <t xml:space="preserve">Deck Freq in ROSS
</t>
      </text>
    </comment>
    <comment authorId="0" ref="G27">
      <text>
        <t xml:space="preserve">T Shiffer:
</t>
      </text>
    </comment>
  </commentList>
</comments>
</file>

<file path=xl/comments7.xml><?xml version="1.0" encoding="utf-8"?>
<comments xmlns:r="http://schemas.openxmlformats.org/officeDocument/2006/relationships" xmlns="http://schemas.openxmlformats.org/spreadsheetml/2006/main">
  <authors>
    <author/>
  </authors>
  <commentList>
    <comment authorId="0" ref="G1">
      <text>
        <t xml:space="preserve">Click on Update to get the latest weather report for your incident. Latitude and Longitude should be entered on the General Info tab.</t>
      </text>
    </comment>
    <comment authorId="0" ref="I1">
      <text>
        <t xml:space="preserve">Click on the hyperlink to open the NWS fire weather page for your location.</t>
      </text>
    </comment>
    <comment authorId="0" ref="A4">
      <text>
        <t xml:space="preserve">The latest weather forecast can be obtained by clicking on "Update" in the upper right corner of this form. Prior to updating, your location (either name place or latitude and longitude) should be entered on the "General Info" tab. Also, do not have this field selected during update.</t>
      </text>
    </comment>
  </commentList>
</comments>
</file>

<file path=xl/comments8.xml><?xml version="1.0" encoding="utf-8"?>
<comments xmlns:r="http://schemas.openxmlformats.org/officeDocument/2006/relationships" xmlns="http://schemas.openxmlformats.org/spreadsheetml/2006/main">
  <authors>
    <author/>
  </authors>
  <commentList>
    <comment authorId="0" ref="H8">
      <text>
        <t xml:space="preserve">A negative number indicates an estimate of the total number of personnel. eg; -16 would indicate a crew of approximately 16 people.</t>
      </text>
    </comment>
  </commentList>
</comments>
</file>

<file path=xl/sharedStrings.xml><?xml version="1.0" encoding="utf-8"?>
<sst xmlns="http://schemas.openxmlformats.org/spreadsheetml/2006/main" count="9839" uniqueCount="3489">
  <si>
    <t>NIMS IAP Version 2022.08.17</t>
  </si>
  <si>
    <t>Help File:</t>
  </si>
  <si>
    <t>http://www.nimsiap.org/nims_iap_help.pdf</t>
  </si>
  <si>
    <r>
      <rPr>
        <rFont val="arial, sans, sans-serif"/>
        <color rgb="FF000000"/>
      </rPr>
      <t xml:space="preserve">Copyright (C) 2016-2022 - Jim Irving 
The Templates, Formulas and Scripts within this application are free software: you can redistribute it and/or modify it under the terms of the GNU General Public License as published by the Free Software Foundation. This program is distributed in the hope that it will be useful, but WITHOUT ANY WARRANTY; without even the implied warranty of MERCHANTABILITY or FITNESS FOR A PARTICULAR PURPOSE.  See the GNU General Public License for more details  
</t>
    </r>
    <r>
      <rPr>
        <rFont val="arial, sans, sans-serif"/>
        <color rgb="FF000000"/>
      </rPr>
      <t>http://www.gnu.org/licenses</t>
    </r>
    <r>
      <rPr>
        <rFont val="arial, sans, sans-serif"/>
        <color rgb="FF000000"/>
      </rPr>
      <t xml:space="preserve">
</t>
    </r>
  </si>
  <si>
    <t>How to Get Access to Enter or Edit Information</t>
  </si>
  <si>
    <t>This sheet needs to be copied and saved as your own in order for you to edit it.  To create your own copy, follow the directions below. If you are not making a copy, but rather using a version that has been shared with you, start at step 3.</t>
  </si>
  <si>
    <t>1. Select "Make a copy..." from the Google Sheets File Menu.</t>
  </si>
  <si>
    <t>2. Select a name and folder for your copy of the sheet, press OK.</t>
  </si>
  <si>
    <t>- A typical name would be the incident name and date.</t>
  </si>
  <si>
    <t>- You can copy it to your folder or a shared folder with your team.</t>
  </si>
  <si>
    <t>- DO NOT select "Share with the same people" unitil you have your own copy - This will share it with everyone who has read access to this page (dozens of people you don't know).</t>
  </si>
  <si>
    <t>3. Once the new sheet opens, Select "Authorize NIMS IAP" from the "IAP Help" menu.</t>
  </si>
  <si>
    <t>4. Select "Continue", then "Allow" to allow scripts to run in Google Sheets.</t>
  </si>
  <si>
    <t>5. You're done. You may now edit and share it with others. Remember, always authorize before sharing.</t>
  </si>
  <si>
    <t>Form or Tab</t>
  </si>
  <si>
    <t>Brief Description</t>
  </si>
  <si>
    <t>Description - Purpose</t>
  </si>
  <si>
    <t>READ ME</t>
  </si>
  <si>
    <t>How to Copy and authorize the NIMS IAP Application.</t>
  </si>
  <si>
    <t>100A</t>
  </si>
  <si>
    <t>Description of Forms</t>
  </si>
  <si>
    <t>This page - A list of all forms in the NIMS IAP Application.</t>
  </si>
  <si>
    <t>General Info</t>
  </si>
  <si>
    <r>
      <rPr/>
      <t xml:space="preserve">General Configuration. This is where you enter the basic information about your incident. It also allows you to customize the NIMS IAP to better meet your needs
</t>
    </r>
    <r>
      <rPr>
        <b/>
        <sz val="12.0"/>
      </rPr>
      <t>This is the page where you should start creating your IAP!</t>
    </r>
  </si>
  <si>
    <t>IAP Cover</t>
  </si>
  <si>
    <t>Cover page for your IAP. Incident name, number and operational period are automatically populated. It can also auto populate logos and and a QR code if you have entered information on the General  Info tab. You can also use the standard Google Sheets menu to insert images here.</t>
  </si>
  <si>
    <t>202</t>
  </si>
  <si>
    <t>Incident Objectives</t>
  </si>
  <si>
    <t>Standard FEMA ICS form to state incident objectives, situational awareness, and identify component parts of the IAP.</t>
  </si>
  <si>
    <t>Organizational Assignment List</t>
  </si>
  <si>
    <t>Standard FEMA ICS form to identify significant ICS overhead positions and operational structure.</t>
  </si>
  <si>
    <t>203A</t>
  </si>
  <si>
    <t>Operational addendum to 203</t>
  </si>
  <si>
    <t>Custom NIMS IAP form to add additional branches and divisions to an very large incident.</t>
  </si>
  <si>
    <t>203S</t>
  </si>
  <si>
    <t>Operational addendum for Safety</t>
  </si>
  <si>
    <t>Custom NIMS IAP form to identify line safety offers assigned to a branch.</t>
  </si>
  <si>
    <t>Assignment List</t>
  </si>
  <si>
    <r>
      <rPr/>
      <t xml:space="preserve">Standard FEMA ICS form to identify resources, work assignments and communications for a division or group. </t>
    </r>
    <r>
      <rPr>
        <b/>
      </rPr>
      <t>204s are created dynamically via the NIMS IAP Main Menu, after Divisions, Groups, or Staging areas are added on the 203. Prior to creating 204s, you should select which 204 type (FEMA or NWCG) you want on the General Info page.</t>
    </r>
  </si>
  <si>
    <t>204 WF</t>
  </si>
  <si>
    <t>NWCG Assignment List</t>
  </si>
  <si>
    <r>
      <rPr/>
      <t xml:space="preserve">Standard NWCG ICS form to identify resources, work assignments and communications for a division or group. </t>
    </r>
    <r>
      <rPr>
        <b/>
      </rPr>
      <t>204s are created dynamically via the NIMS IAP Main Menu, after Divisions, Groups, or Staging areas are added on the 203. Prior to creating 204s, you should select which 204 type (FEMA or NWCG) you want on the General Info page.</t>
    </r>
  </si>
  <si>
    <t>204A</t>
  </si>
  <si>
    <t>Branch Assignments</t>
  </si>
  <si>
    <t>The Branch assignment tab is normally hidden. If you run the "Build Branch Assignments" option from the "NIMS IAP Menu", it creates a new tab for each branch with a column for each division with all  resources listed. It also lists the DIVS and Tactical Channel for each Division or Group.</t>
  </si>
  <si>
    <t>205 p1</t>
  </si>
  <si>
    <t>Incident Radio Comm Plan</t>
  </si>
  <si>
    <t>Standard FEMA ICS form to identify radio communications - Note automatically filled from 205 Worksheet.</t>
  </si>
  <si>
    <t>205 p2</t>
  </si>
  <si>
    <t>An additional page of the Standard FEMA ICS form to identify radio communications - Note automatically filled from 205 Worksheet.</t>
  </si>
  <si>
    <t>205 Worksheet</t>
  </si>
  <si>
    <t>Comm Plan worksheet</t>
  </si>
  <si>
    <r>
      <rPr/>
      <t xml:space="preserve">Custom NIMS IAP worksheet with drop-down menus for common channels and frequencies. Used to fill the 205 and 204 communications information. </t>
    </r>
    <r>
      <rPr>
        <b/>
      </rPr>
      <t>Note: I have left example information in the 205 worksheet to give you a better understanding of how it works. You should delete this information.</t>
    </r>
  </si>
  <si>
    <t>205 Channels</t>
  </si>
  <si>
    <t>Channels/Frequency List</t>
  </si>
  <si>
    <t>A list of commonly used wildland fire channels with associated frequencies and PL tones. These are specific to California. However, you can add your own channels and frequencies as you see fit.</t>
  </si>
  <si>
    <t>205A</t>
  </si>
  <si>
    <t>Communications List</t>
  </si>
  <si>
    <t>Standard FEMA ICS form to identify phone communication for overhead and liaison personnel.</t>
  </si>
  <si>
    <t>Medical Plan</t>
  </si>
  <si>
    <t>Standard FEMA ICS form to identify hospitals, ambulances and medical resources available to an incident.</t>
  </si>
  <si>
    <t>Organizational Chart</t>
  </si>
  <si>
    <t>Standard FEMA ICS organization chart which is auto-filled from the 203.</t>
  </si>
  <si>
    <t>208 Ver A</t>
  </si>
  <si>
    <t>Safety Message Ver A</t>
  </si>
  <si>
    <t>Standard FEMA ICS safety message form</t>
  </si>
  <si>
    <t>208 Ver B</t>
  </si>
  <si>
    <t>Safety Message Ver B</t>
  </si>
  <si>
    <t>A slightly altered Standard FEMA ICS safety message form</t>
  </si>
  <si>
    <t>Incident Status Summary</t>
  </si>
  <si>
    <t>Standard FEMA ICS Incident Status Summary form (4 pages)</t>
  </si>
  <si>
    <t>Incident Check-in List</t>
  </si>
  <si>
    <t>Almost Standard FEMA ICS Incident Check-In List - Same fields but, landscape version.</t>
  </si>
  <si>
    <t>Remote Check-in</t>
  </si>
  <si>
    <t>Removed</t>
  </si>
  <si>
    <t>The remote check-in feature has been removed. However, you can use the 211 Check-in form remotely.</t>
  </si>
  <si>
    <t>Incident Message</t>
  </si>
  <si>
    <t>Standard FEMA ICS Incident Message form - primarily just for printing</t>
  </si>
  <si>
    <t>214 p1</t>
  </si>
  <si>
    <t>Activity Log p1</t>
  </si>
  <si>
    <t>Standard FEMA ICS Activity Log form - primarily just for printing</t>
  </si>
  <si>
    <t>214 p2</t>
  </si>
  <si>
    <t>Activity Log p2</t>
  </si>
  <si>
    <t>215</t>
  </si>
  <si>
    <t>Operational Planning Worksheet</t>
  </si>
  <si>
    <t>Standard FEMA ICS Operational Planning Worksheet</t>
  </si>
  <si>
    <t>215 WF</t>
  </si>
  <si>
    <t>Operational Planning Worksheet - Fire</t>
  </si>
  <si>
    <t>Wildland Fire Operational Planning Worksheet</t>
  </si>
  <si>
    <t>215 A</t>
  </si>
  <si>
    <t>IAP Safety Analysis</t>
  </si>
  <si>
    <t>Standard FEMA ICS  IAP Safety Analysis</t>
  </si>
  <si>
    <t>220 (FEMA)</t>
  </si>
  <si>
    <t>Air OP Summary (FEMA)</t>
  </si>
  <si>
    <t>Standard FEMA ICS  Air Operations Summary</t>
  </si>
  <si>
    <t>220 (Cal Fire)</t>
  </si>
  <si>
    <t>Air Ops Summary (Cal Fire)</t>
  </si>
  <si>
    <t>Cal Fire Air Operations Summary</t>
  </si>
  <si>
    <t>Meeting Schedule</t>
  </si>
  <si>
    <t>USCG Meeting Schedule form</t>
  </si>
  <si>
    <t>Incident Action Tracker</t>
  </si>
  <si>
    <t>USCG Incident action tracking log</t>
  </si>
  <si>
    <t>Weather</t>
  </si>
  <si>
    <t>National Weather Service Fire weather Report for location entered on General Info Tab</t>
  </si>
  <si>
    <t>ResourceID</t>
  </si>
  <si>
    <t>List of Available Resources for population into 204s. Can be imported from various sources or input directly</t>
  </si>
  <si>
    <t>Resource Edit Form</t>
  </si>
  <si>
    <t>An edit function in a form-entry format that allows you to edit a single resource at a time. Provides a way for someone to edit resources without having to access the entire Resource ID list. Has a search by Request number along with a save button.</t>
  </si>
  <si>
    <t>Import</t>
  </si>
  <si>
    <t>Excel exports from InciNet and ROSS may be pasted on this tab and then imported into the ResourceID tab making the resources available as drop-downs on the 204s.</t>
  </si>
  <si>
    <t>T-Card Rack</t>
  </si>
  <si>
    <t>This is a virtual T-Card rack which allows you to view and move T-card which results in resources being moved on the 204s, as well. I would not recommend this for a large incident.</t>
  </si>
  <si>
    <t>Work Assignments</t>
  </si>
  <si>
    <t>A list of standard work assignments. These are available as drop-downs on the 204 work assignment section. You may add or edit work assignments.</t>
  </si>
  <si>
    <t>ICSCodes</t>
  </si>
  <si>
    <t xml:space="preserve">This is a list of all nationally recognized ICS positions with position name and four-letter abbreviation. It provides the abbreviation as an option for resource ID and allows you to specify which positions get imported into the ResourceID tab. </t>
  </si>
  <si>
    <t>Resource Count</t>
  </si>
  <si>
    <t>This counts the number engines, dozers, crews, water tenders assigned on the IAP for the current operational period. It also provides and estimate of the number of personnel.</t>
  </si>
  <si>
    <t>NIMS IAP General Information</t>
  </si>
  <si>
    <t>Incident Name:</t>
  </si>
  <si>
    <t>NO NAME</t>
  </si>
  <si>
    <t>Add "INCIDENT" to Name on Cover</t>
  </si>
  <si>
    <t>Incident Start Date &amp; Time:</t>
  </si>
  <si>
    <t>Incident Number</t>
  </si>
  <si>
    <t>Shows on Cover (or leave blank)</t>
  </si>
  <si>
    <t>P-Code</t>
  </si>
  <si>
    <t>Op Period Title</t>
  </si>
  <si>
    <t>OPERATIONAL PERIOD</t>
  </si>
  <si>
    <t>Other Info (bottom box)</t>
  </si>
  <si>
    <t>Operational Period: Date From:</t>
  </si>
  <si>
    <t>Date To:</t>
  </si>
  <si>
    <t>Time From:</t>
  </si>
  <si>
    <t>0700</t>
  </si>
  <si>
    <t>Time To:</t>
  </si>
  <si>
    <t>Show Day of Week on IAP Cover</t>
  </si>
  <si>
    <t>Date / Time Prepared:</t>
  </si>
  <si>
    <t>www.nimsiap.org/logos</t>
  </si>
  <si>
    <t>Link: Main Cover Logo:</t>
  </si>
  <si>
    <t>https://www.nimsiap.org/logos/Agencies_Other/anytown.png</t>
  </si>
  <si>
    <t>Link: Corner Logo (IMT):</t>
  </si>
  <si>
    <t>QR Link for IAP Cover:</t>
  </si>
  <si>
    <t>Place the URL of your QR code or the URL of a website, Dropbox, Box or other shared directory for responders to access maps or IAPs electronically. A QR code will be generated on the IAP cover. If you already have your QR as an image, you can insert it directly on the 102 Cover Page Tab using the Google Sheets Insert Menu.</t>
  </si>
  <si>
    <t>*Enter address, location or Lat/Long to generate a weather/sunrise/sunset for this location</t>
  </si>
  <si>
    <t>Do not edit this area</t>
  </si>
  <si>
    <t>Location:</t>
  </si>
  <si>
    <t>Woodacre, CA</t>
  </si>
  <si>
    <t>Accept Field before pressing Update</t>
  </si>
  <si>
    <t>Latitude:</t>
  </si>
  <si>
    <t>Longitude:</t>
  </si>
  <si>
    <t>Location check:</t>
  </si>
  <si>
    <t>191 San Geronimo Valley Dr, Woodacre, CA 94973, USA</t>
  </si>
  <si>
    <t>*Your entered coordinates georeference to the above location</t>
  </si>
  <si>
    <t>Signatures</t>
  </si>
  <si>
    <t>The default signatures are people assigned on the 203. If you want something different, enter them below.</t>
  </si>
  <si>
    <r>
      <rPr>
        <b/>
      </rPr>
      <t>202</t>
    </r>
    <r>
      <rPr/>
      <t xml:space="preserve"> - Prepared by:</t>
    </r>
  </si>
  <si>
    <t>PSC</t>
  </si>
  <si>
    <t>Time Zone/Sunrise Information</t>
  </si>
  <si>
    <t>Incident Commander:</t>
  </si>
  <si>
    <t>Time Zone</t>
  </si>
  <si>
    <t xml:space="preserve">UTC Offset </t>
  </si>
  <si>
    <r>
      <rPr>
        <b/>
      </rPr>
      <t>203</t>
    </r>
    <r>
      <rPr/>
      <t xml:space="preserve"> - Prepared by:</t>
    </r>
  </si>
  <si>
    <t>Sunrise</t>
  </si>
  <si>
    <t>Sunset</t>
  </si>
  <si>
    <r>
      <rPr>
        <b/>
      </rPr>
      <t>204s</t>
    </r>
    <r>
      <rPr/>
      <t xml:space="preserve"> - Prepared by:</t>
    </r>
  </si>
  <si>
    <t>RESL</t>
  </si>
  <si>
    <t>Add PSC Signature to 204 WFs</t>
  </si>
  <si>
    <t>☐ No</t>
  </si>
  <si>
    <t>204 Preferences</t>
  </si>
  <si>
    <t>Put Branch ID on Tabs</t>
  </si>
  <si>
    <t xml:space="preserve">Edit 204 Drop-Down Assignments </t>
  </si>
  <si>
    <t>Use 204 WF (Wildland) :</t>
  </si>
  <si>
    <t>1st Field Name:</t>
  </si>
  <si>
    <t>ALS</t>
  </si>
  <si>
    <t>2nd Field Name:</t>
  </si>
  <si>
    <t>LWD</t>
  </si>
  <si>
    <t>Resources Assigned Notation:</t>
  </si>
  <si>
    <t>** Resources Below in Bold are 12 Hour **</t>
  </si>
  <si>
    <t>InciNet and IROC Import Configuration</t>
  </si>
  <si>
    <t>Example (examples change with selection)</t>
  </si>
  <si>
    <t>Include last name in resource ID for overhead positions:</t>
  </si>
  <si>
    <t>Include Name in Resource ID for private (PVT) equipment:</t>
  </si>
  <si>
    <t xml:space="preserve">Include "PVT" in hired equipment Resource IDs: </t>
  </si>
  <si>
    <t>Import IROC Subordinate units and personnel</t>
  </si>
  <si>
    <t xml:space="preserve">Include Request Number in Resource ID for non-private equip: </t>
  </si>
  <si>
    <t>Use FireScope Strike Team designators (STA, STC, STG, etc)</t>
  </si>
  <si>
    <t xml:space="preserve">Add Type to CRW, ENG, DOZ and W/T Resource IDs </t>
  </si>
  <si>
    <t>Resource IDs - All Caps</t>
  </si>
  <si>
    <t>Resource Leader Names - All Caps</t>
  </si>
  <si>
    <t>Estimate Total personnel for resources missing personnel count</t>
  </si>
  <si>
    <t>Sort Order of Resources on 204 (only on your request)</t>
  </si>
  <si>
    <t>Cal Fire</t>
  </si>
  <si>
    <t>You can select which positions are imported into the Resource ID list based on the "Target Assignment". This allows you to skip non-operational overhead such as Base Camp Manager, Cost Unit Leader, etc...</t>
  </si>
  <si>
    <t>Edit Target Assignments</t>
  </si>
  <si>
    <t>Sort Order of Resources on 204</t>
  </si>
  <si>
    <t>This is a little complex. First, it works only if FireScope is checked above, and it only sorts if you use the Virtual T-Card rack or select "Reorder Resources on Current 204" from the NIMS IAP menu.  It will not sort resources between different pages on a multiple page 204. It uses a language theory called Regex to create a sort order for resources. It is somewhat intuitive but not always. Make changes at your own risk.</t>
  </si>
  <si>
    <t>Tab Color for Branches</t>
  </si>
  <si>
    <t>Branch</t>
  </si>
  <si>
    <t>Color</t>
  </si>
  <si>
    <t>I</t>
  </si>
  <si>
    <t>Fed IIMT</t>
  </si>
  <si>
    <t>Use Lookup</t>
  </si>
  <si>
    <t>CRW1</t>
  </si>
  <si>
    <t>STA</t>
  </si>
  <si>
    <t>CST1</t>
  </si>
  <si>
    <t>STB</t>
  </si>
  <si>
    <t>CR2I</t>
  </si>
  <si>
    <t>STC ..U</t>
  </si>
  <si>
    <t>CRW2</t>
  </si>
  <si>
    <t>STC ... 9</t>
  </si>
  <si>
    <t>CRW</t>
  </si>
  <si>
    <t>STC</t>
  </si>
  <si>
    <t>EST1</t>
  </si>
  <si>
    <t>STF X</t>
  </si>
  <si>
    <t>EST2</t>
  </si>
  <si>
    <t>STF</t>
  </si>
  <si>
    <t>EST3</t>
  </si>
  <si>
    <t>ENG ..U</t>
  </si>
  <si>
    <t>EST6</t>
  </si>
  <si>
    <t>ENG</t>
  </si>
  <si>
    <t>ENG1</t>
  </si>
  <si>
    <t>STG ..U</t>
  </si>
  <si>
    <t>ENG2</t>
  </si>
  <si>
    <t>STG</t>
  </si>
  <si>
    <t>ENG3</t>
  </si>
  <si>
    <t>ENG6</t>
  </si>
  <si>
    <t>STL</t>
  </si>
  <si>
    <t>DOZ (?!PVT)</t>
  </si>
  <si>
    <t>DZS2</t>
  </si>
  <si>
    <t>DOZ</t>
  </si>
  <si>
    <t>DZR (?!PVT)</t>
  </si>
  <si>
    <t>W/T (?!PVT)</t>
  </si>
  <si>
    <t>DZR</t>
  </si>
  <si>
    <t>W/T</t>
  </si>
  <si>
    <t>WT (?!PVT)</t>
  </si>
  <si>
    <t>EXC</t>
  </si>
  <si>
    <t>WT</t>
  </si>
  <si>
    <t>GDR</t>
  </si>
  <si>
    <t>MAS</t>
  </si>
  <si>
    <t>GRD</t>
  </si>
  <si>
    <t>FEMP</t>
  </si>
  <si>
    <t>MBM</t>
  </si>
  <si>
    <t>FEMT</t>
  </si>
  <si>
    <t>EMPF</t>
  </si>
  <si>
    <t>FOBS</t>
  </si>
  <si>
    <t>EMTF</t>
  </si>
  <si>
    <t>ALL</t>
  </si>
  <si>
    <t>Best not to edit this unless you really know what what you're doing</t>
  </si>
  <si>
    <t>Number of Resources in ResourceID Tab:</t>
  </si>
  <si>
    <r>
      <rPr>
        <b/>
      </rPr>
      <t>ResByReq</t>
    </r>
    <r>
      <rPr/>
      <t xml:space="preserve"> Data Range</t>
    </r>
  </si>
  <si>
    <t>Named ranges to the right are dynamically set according to how many resources are in the ResourceID tab. A buffer is set to allow for blank rows.</t>
  </si>
  <si>
    <t>Buffer</t>
  </si>
  <si>
    <r>
      <rPr>
        <b/>
      </rPr>
      <t>ResData</t>
    </r>
    <r>
      <rPr/>
      <t xml:space="preserve"> Data Range</t>
    </r>
  </si>
  <si>
    <r>
      <rPr>
        <b/>
      </rPr>
      <t xml:space="preserve">ResDataAll </t>
    </r>
    <r>
      <rPr/>
      <t>Data Range</t>
    </r>
  </si>
  <si>
    <r>
      <rPr>
        <b/>
      </rPr>
      <t>ResID</t>
    </r>
    <r>
      <rPr/>
      <t xml:space="preserve"> Data Range</t>
    </r>
  </si>
  <si>
    <t>Current Number of 211 Pages:</t>
  </si>
  <si>
    <t>This is automatically updated as you add pages. If you delete pages, you may have to manually change this but, be careful.</t>
  </si>
  <si>
    <t>Do Not Enter or Edit Information Below Here</t>
  </si>
  <si>
    <t>Branches/Divisions</t>
  </si>
  <si>
    <t>This is a list of all Divisions and Groups on both the 203 and the 203A</t>
  </si>
  <si>
    <t>End of Div/Group List</t>
  </si>
  <si>
    <t>Calculation for Sunrise and Sunset</t>
  </si>
  <si>
    <t>You might not want to mess around in here.</t>
  </si>
  <si>
    <t>Date</t>
  </si>
  <si>
    <t>UTC</t>
  </si>
  <si>
    <t>{"results":{"sunrise":"2:36:47 PM","sunset":"2:07:50 AM","solar_noon":"8:22:19 PM","day_length":"11:31:03","civil_twilight_begin":"2:11:49 PM","civil_twilight_end":"2:32:49 AM","nautical_twilight_begin":"1:41:20 PM","nautical_twilight_end":"3:03:17 AM","astronomical_twilight_begin":"1:10:48 PM","astronomical_twilight_end":"3:33:49 AM"},"status":"OK"}</t>
  </si>
  <si>
    <t>Sunrise GMT</t>
  </si>
  <si>
    <t>Sunset GMT</t>
  </si>
  <si>
    <t>Solar Noon</t>
  </si>
  <si>
    <t>Day Length</t>
  </si>
  <si>
    <t>Offset</t>
  </si>
  <si>
    <t>Sunrise Local</t>
  </si>
  <si>
    <t>Sunset Local</t>
  </si>
  <si>
    <t>Solar Noon Local</t>
  </si>
  <si>
    <t>Last Update</t>
  </si>
  <si>
    <t>Time Zone Offset</t>
  </si>
  <si>
    <t>&lt;?xml version="1.0" encoding="UTF-8"?&gt;
&lt;TimeZoneResponse&gt;
 &lt;status&gt;OK&lt;/status&gt;
 &lt;raw_offset&gt;-28800.0000000&lt;/raw_offset&gt;
 &lt;dst_offset&gt;3600.0000000&lt;/dst_offset&gt;
 &lt;time_zone_id&gt;America/Los_Angeles&lt;/time_zone_id&gt;
 &lt;time_zone_name&gt;Pacific Daylight Time&lt;/time_zone_name&gt;
&lt;/TimeZoneResponse&gt;
 -a</t>
  </si>
  <si>
    <t>Offset Seconds</t>
  </si>
  <si>
    <t>Offset Hours</t>
  </si>
  <si>
    <t>test.GIF</t>
  </si>
  <si>
    <t>INCIDENT ACTION PLAN</t>
  </si>
  <si>
    <t xml:space="preserve">to  </t>
  </si>
  <si>
    <t xml:space="preserve">       INCIDENT OBJECTIVES (ICS 202)</t>
  </si>
  <si>
    <t>1. Incident Name:</t>
  </si>
  <si>
    <t>2. Operational Period:</t>
  </si>
  <si>
    <t>Date From:</t>
  </si>
  <si>
    <t>3. Objective(s):</t>
  </si>
  <si>
    <t>Management Objectives</t>
  </si>
  <si>
    <t>-</t>
  </si>
  <si>
    <t>Provide for emergency personnel and public safety at all times.</t>
  </si>
  <si>
    <t>Ensure COVID-19 precautions and best practices are met at all times.</t>
  </si>
  <si>
    <t>Protect property, improvements, and infrastructure.</t>
  </si>
  <si>
    <t xml:space="preserve">Ensure coordinated, timely and accurate release of public information.
</t>
  </si>
  <si>
    <t xml:space="preserve">Foster and maintain relationships with all cooperators and stakeholders. </t>
  </si>
  <si>
    <t>Protect economic, natural, cultural and heritage resources.</t>
  </si>
  <si>
    <t>Maintain fiscal accountability and keep costs commensurate with values at risk.</t>
  </si>
  <si>
    <t>Control Objectives</t>
  </si>
  <si>
    <t>Keep the fire North of</t>
  </si>
  <si>
    <t>Keep the fire South of</t>
  </si>
  <si>
    <t>Keep the fire East of</t>
  </si>
  <si>
    <t xml:space="preserve">Keep the fire West of </t>
  </si>
  <si>
    <t>General Situational Awareness:</t>
  </si>
  <si>
    <t>Steep and rugged terrain, critically dry and receptive fuel beds, active area for fire history and drought stressed trees.</t>
  </si>
  <si>
    <t xml:space="preserve">In the COVID-19 environment, high density populations or large groups are particulary at risk. To help protect yourself, your family </t>
  </si>
  <si>
    <t>and to ensure all employees return home safely, make sure to practice social distancing.</t>
  </si>
  <si>
    <t xml:space="preserve">Enhanced hygiene (especially handwashing), PPE &amp; monitoring practices help limit the infection rate of first responders. 										</t>
  </si>
  <si>
    <t>5. Site Safety Plan Required?</t>
  </si>
  <si>
    <t>Yes ☐  No ☑</t>
  </si>
  <si>
    <t>Approved Site Safety Plan(s) Located at:</t>
  </si>
  <si>
    <t xml:space="preserve">6. Incident Action Plan </t>
  </si>
  <si>
    <t>ICS 203</t>
  </si>
  <si>
    <t>ICS 215A</t>
  </si>
  <si>
    <t>ICS 205 A</t>
  </si>
  <si>
    <t>ICS 204</t>
  </si>
  <si>
    <t>ICS 220</t>
  </si>
  <si>
    <t>Training Message</t>
  </si>
  <si>
    <t>ICS 205</t>
  </si>
  <si>
    <t>Facility Maps</t>
  </si>
  <si>
    <t>Travel Map</t>
  </si>
  <si>
    <t>ICS 206</t>
  </si>
  <si>
    <t>Weather Forecast</t>
  </si>
  <si>
    <t>Demob Plan</t>
  </si>
  <si>
    <t>County Health Message</t>
  </si>
  <si>
    <t>ICS 208</t>
  </si>
  <si>
    <t>Fire Behavior</t>
  </si>
  <si>
    <t>Finance Message</t>
  </si>
  <si>
    <t>ICS 214</t>
  </si>
  <si>
    <t>7. Prepared By:</t>
  </si>
  <si>
    <t>Signature:</t>
  </si>
  <si>
    <t>__________________________</t>
  </si>
  <si>
    <t>8. Approved by Incident Commander:</t>
  </si>
  <si>
    <t xml:space="preserve">ICS 202 </t>
  </si>
  <si>
    <t> </t>
  </si>
  <si>
    <t>NIMS IAP</t>
  </si>
  <si>
    <t xml:space="preserve">        ORGANIZATION ASSIGNMENT LIST (ICS 203)</t>
  </si>
  <si>
    <t>2. Operational Period: Date From:</t>
  </si>
  <si>
    <t>3. Incident Commander(s) and Command Staff:</t>
  </si>
  <si>
    <t>7. Operation Section:</t>
  </si>
  <si>
    <t>IC/UC's</t>
  </si>
  <si>
    <t>Operations</t>
  </si>
  <si>
    <t>Deputy</t>
  </si>
  <si>
    <t>Deputy Operations</t>
  </si>
  <si>
    <t>Safety Officer</t>
  </si>
  <si>
    <t>Night Ops</t>
  </si>
  <si>
    <t>Information Officer</t>
  </si>
  <si>
    <t>Staging Area</t>
  </si>
  <si>
    <t>Liaison Officer</t>
  </si>
  <si>
    <t>Joseph Branch (Example)</t>
  </si>
  <si>
    <t>4. Agency/Organization Representatives:</t>
  </si>
  <si>
    <t>Division/Group</t>
  </si>
  <si>
    <t>A - FEMA</t>
  </si>
  <si>
    <t>Tim Braun (Example)</t>
  </si>
  <si>
    <t>Agency/Organization</t>
  </si>
  <si>
    <t>Name</t>
  </si>
  <si>
    <t>B - NWCG</t>
  </si>
  <si>
    <t>Jack Templeton (example)</t>
  </si>
  <si>
    <t>M</t>
  </si>
  <si>
    <t>II</t>
  </si>
  <si>
    <t>III</t>
  </si>
  <si>
    <t>IV</t>
  </si>
  <si>
    <t>5. Planning Section:</t>
  </si>
  <si>
    <t>Chief</t>
  </si>
  <si>
    <t>Resource Unit</t>
  </si>
  <si>
    <t>Situation Unit</t>
  </si>
  <si>
    <t>V</t>
  </si>
  <si>
    <t>Documentation Unit</t>
  </si>
  <si>
    <t>Demobilization Unit</t>
  </si>
  <si>
    <t>GISS</t>
  </si>
  <si>
    <t>FBAN</t>
  </si>
  <si>
    <t>IMET</t>
  </si>
  <si>
    <t>Training Tech Spec</t>
  </si>
  <si>
    <t>Air Operations Branch</t>
  </si>
  <si>
    <t>Director:</t>
  </si>
  <si>
    <t>Air Support Group Supervisor</t>
  </si>
  <si>
    <t>Air Tactical Group Supervisor</t>
  </si>
  <si>
    <t>6. Logistics Section</t>
  </si>
  <si>
    <t>Helibase Manager</t>
  </si>
  <si>
    <t>Supply Unit</t>
  </si>
  <si>
    <t>8. Finance/Administration Section:</t>
  </si>
  <si>
    <t>Facilities Unit</t>
  </si>
  <si>
    <t>Ground Support Unit</t>
  </si>
  <si>
    <t>Time Unit</t>
  </si>
  <si>
    <t>Communications Unit</t>
  </si>
  <si>
    <t>Procurement Unit</t>
  </si>
  <si>
    <t>Medical Unit</t>
  </si>
  <si>
    <t>Comp/Claims Unit</t>
  </si>
  <si>
    <t>Cost Unit</t>
  </si>
  <si>
    <t>Prepared By: Name:</t>
  </si>
  <si>
    <t xml:space="preserve">Position/Title: </t>
  </si>
  <si>
    <t>Signature: _______________________</t>
  </si>
  <si>
    <t>Date/Time:</t>
  </si>
  <si>
    <t>2300 hours</t>
  </si>
  <si>
    <t xml:space="preserve">        ORGANIZATION ASSIGNMENT LIST (ICS 203A)</t>
  </si>
  <si>
    <t>VI</t>
  </si>
  <si>
    <t>XII</t>
  </si>
  <si>
    <t>VII</t>
  </si>
  <si>
    <t>XIII</t>
  </si>
  <si>
    <t>VIII</t>
  </si>
  <si>
    <t>XIV</t>
  </si>
  <si>
    <t>IX</t>
  </si>
  <si>
    <t>XV</t>
  </si>
  <si>
    <t>X</t>
  </si>
  <si>
    <t>XVI</t>
  </si>
  <si>
    <t>XI</t>
  </si>
  <si>
    <t>XVII</t>
  </si>
  <si>
    <t>Prepared By:</t>
  </si>
  <si>
    <t>ICS 203A</t>
  </si>
  <si>
    <t>Branch Safety Officers</t>
  </si>
  <si>
    <t>Line Safety Officer Assignments</t>
  </si>
  <si>
    <t>Odd</t>
  </si>
  <si>
    <t>Even</t>
  </si>
  <si>
    <t>Branch Safety Officer Formula</t>
  </si>
  <si>
    <t>▼ Enter assignments here ▼</t>
  </si>
  <si>
    <t>Do Not Delete this Sheet! This a template for your 204s.</t>
  </si>
  <si>
    <t>ASSIGNMENT LIST (ICS 204)</t>
  </si>
  <si>
    <t>CONTROLLED UNCLASSIFIED INFORMATION//BASIC</t>
  </si>
  <si>
    <t>3.</t>
  </si>
  <si>
    <t xml:space="preserve">  Branch:</t>
  </si>
  <si>
    <t>4.    Operations Personnel:</t>
  </si>
  <si>
    <t>Div/Group:</t>
  </si>
  <si>
    <t>Operations Section Chief:</t>
  </si>
  <si>
    <t>Branch Director:</t>
  </si>
  <si>
    <t>Division/Group Supervisor:</t>
  </si>
  <si>
    <t>Page 1 of 1</t>
  </si>
  <si>
    <t>5. Resources Assigned:                  ** Resources Below in Bold are 12 Hour **</t>
  </si>
  <si>
    <t>Reporting Location, Special Equipment,
Remarks, Notes, and Information
  Time                      Location</t>
  </si>
  <si>
    <t>Resource Identifier</t>
  </si>
  <si>
    <t>Leader</t>
  </si>
  <si>
    <t>Personnel</t>
  </si>
  <si>
    <t>Request #</t>
  </si>
  <si>
    <t>6. Work Assignments:</t>
  </si>
  <si>
    <t>7. Special Instructions:</t>
  </si>
  <si>
    <t>8. Communications</t>
  </si>
  <si>
    <t xml:space="preserve">Radio information needed for this assignment:       </t>
  </si>
  <si>
    <t>Mode</t>
  </si>
  <si>
    <t>Notes</t>
  </si>
  <si>
    <t>9. Prepared by: Name:</t>
  </si>
  <si>
    <t xml:space="preserve">Pos/Title:  </t>
  </si>
  <si>
    <t>Signature:_______________________________________</t>
  </si>
  <si>
    <t>2200</t>
  </si>
  <si>
    <t>Personnel Count:</t>
  </si>
  <si>
    <t>ASSIGNMENT LIST (ICS 204 WF)</t>
  </si>
  <si>
    <t>3. Branch</t>
  </si>
  <si>
    <t>Division</t>
  </si>
  <si>
    <t>Night Ops:</t>
  </si>
  <si>
    <t>Branch Safety:</t>
  </si>
  <si>
    <t>Air Attack:</t>
  </si>
  <si>
    <t>5. Resources Assigned:</t>
  </si>
  <si>
    <t>Hours</t>
  </si>
  <si>
    <t>Reporting Location</t>
  </si>
  <si>
    <t>Signature:____________________________</t>
  </si>
  <si>
    <t>This doesn't work yet</t>
  </si>
  <si>
    <t>Branch Director - Div/Group Supervisors</t>
  </si>
  <si>
    <t>Scott Lindgren</t>
  </si>
  <si>
    <t>Michael Blankenheim</t>
  </si>
  <si>
    <t>Stevie Long</t>
  </si>
  <si>
    <t>Chad Porter</t>
  </si>
  <si>
    <t>Kevin Wegener, Paul Lohan (T)</t>
  </si>
  <si>
    <t>Brian Newman, Jim Robbins (T)</t>
  </si>
  <si>
    <t>Ron Roberts</t>
  </si>
  <si>
    <t>David Hawks</t>
  </si>
  <si>
    <t>Justin Benguerel, Jerry Sean (T)</t>
  </si>
  <si>
    <t>Chip Fowler, Robert Bartsch (T)</t>
  </si>
  <si>
    <t>Craig Konklin</t>
  </si>
  <si>
    <t>Matt Ryan</t>
  </si>
  <si>
    <t>There is no 204 here</t>
  </si>
  <si>
    <t>204s are created by using the NIMS IAP menu.</t>
  </si>
  <si>
    <t>You should enter your Divisions and Groups on the 203 first.</t>
  </si>
  <si>
    <t>Creating a single 204</t>
  </si>
  <si>
    <t>Creating all 204s</t>
  </si>
  <si>
    <t>COMMUNICATIONS WORKSHEET</t>
  </si>
  <si>
    <t>This sheet is designed to input COMMs information that will display on the 205 and the 204s. Do not enter information directly on the 204s or 205.   ****Read the instructions below on line 67.****</t>
  </si>
  <si>
    <t>2. Date/Time Prepared</t>
  </si>
  <si>
    <t>3. Operational Period:</t>
  </si>
  <si>
    <t>Date:</t>
  </si>
  <si>
    <t>Style for 205 pages</t>
  </si>
  <si>
    <t>Pages</t>
  </si>
  <si>
    <t>Time:</t>
  </si>
  <si>
    <t>Portrait</t>
  </si>
  <si>
    <t>4. Communications</t>
  </si>
  <si>
    <t>☑ Fire Load</t>
  </si>
  <si>
    <t>Assignments, Functions, Frequencies</t>
  </si>
  <si>
    <t>204 Assignment</t>
  </si>
  <si>
    <t>205 Order</t>
  </si>
  <si>
    <t>Name (channel ID)</t>
  </si>
  <si>
    <t>205 Assigned</t>
  </si>
  <si>
    <t>Function</t>
  </si>
  <si>
    <t>Rx Freq</t>
  </si>
  <si>
    <t>Rx Tone</t>
  </si>
  <si>
    <t>Tx Freq</t>
  </si>
  <si>
    <t>Tx Tone</t>
  </si>
  <si>
    <t>Alternate Command</t>
  </si>
  <si>
    <t>Alternate Air/Ground</t>
  </si>
  <si>
    <t>205 Page 1</t>
  </si>
  <si>
    <t>Incident Channels</t>
  </si>
  <si>
    <t>COMMAND</t>
  </si>
  <si>
    <t>CDF C1</t>
  </si>
  <si>
    <t>ALL DIVS</t>
  </si>
  <si>
    <t>AIR TO GROUND</t>
  </si>
  <si>
    <t>A/G CMD</t>
  </si>
  <si>
    <t>MEDICAL</t>
  </si>
  <si>
    <t>CALCORD</t>
  </si>
  <si>
    <t>EMERGENCY</t>
  </si>
  <si>
    <t>A/G YNP</t>
  </si>
  <si>
    <t>CDF T3</t>
  </si>
  <si>
    <t>DIV A</t>
  </si>
  <si>
    <t>CDF T4</t>
  </si>
  <si>
    <t>DIV B</t>
  </si>
  <si>
    <t>CDF T35</t>
  </si>
  <si>
    <t>205 Page 2</t>
  </si>
  <si>
    <t>Page 2</t>
  </si>
  <si>
    <t>P2.1</t>
  </si>
  <si>
    <t>FIRE NET</t>
  </si>
  <si>
    <t>P2.14</t>
  </si>
  <si>
    <t>INCIDENT</t>
  </si>
  <si>
    <t>P2.15</t>
  </si>
  <si>
    <t>P2.16</t>
  </si>
  <si>
    <t>GUARD</t>
  </si>
  <si>
    <t>A</t>
  </si>
  <si>
    <t>P2.2</t>
  </si>
  <si>
    <t>STF OPS T2</t>
  </si>
  <si>
    <t>P2.3</t>
  </si>
  <si>
    <t>C</t>
  </si>
  <si>
    <t>P2.4</t>
  </si>
  <si>
    <t>P2.5</t>
  </si>
  <si>
    <t>P2.6</t>
  </si>
  <si>
    <t>P2.7</t>
  </si>
  <si>
    <t>P2.8</t>
  </si>
  <si>
    <t>P2.9</t>
  </si>
  <si>
    <t>P2.10</t>
  </si>
  <si>
    <t>P2.11</t>
  </si>
  <si>
    <t>P2.12</t>
  </si>
  <si>
    <t>P2.13</t>
  </si>
  <si>
    <t>P2.17</t>
  </si>
  <si>
    <t>P2.18</t>
  </si>
  <si>
    <t>P2.19</t>
  </si>
  <si>
    <t>P2.20</t>
  </si>
  <si>
    <t>205 Page 3</t>
  </si>
  <si>
    <t>Page 3</t>
  </si>
  <si>
    <t>P3.1</t>
  </si>
  <si>
    <t>CDF C2</t>
  </si>
  <si>
    <t>P3.14</t>
  </si>
  <si>
    <t>P3.15</t>
  </si>
  <si>
    <t>A/G</t>
  </si>
  <si>
    <t>P3.16</t>
  </si>
  <si>
    <t>205 Page 4</t>
  </si>
  <si>
    <t>Page 4</t>
  </si>
  <si>
    <t>P4.1</t>
  </si>
  <si>
    <t>CDF C3</t>
  </si>
  <si>
    <t>P4.14</t>
  </si>
  <si>
    <t>P4.15</t>
  </si>
  <si>
    <t>P4.16</t>
  </si>
  <si>
    <t>205 Page 5</t>
  </si>
  <si>
    <t>Page 5</t>
  </si>
  <si>
    <t>P5.1</t>
  </si>
  <si>
    <t>CDF C4</t>
  </si>
  <si>
    <t>P5.14</t>
  </si>
  <si>
    <t>P5.15</t>
  </si>
  <si>
    <t>P5.16</t>
  </si>
  <si>
    <t>5. Special Instructions</t>
  </si>
  <si>
    <t>This is a test</t>
  </si>
  <si>
    <t xml:space="preserve">6. Prepared by (Communications Unit Leader): Name: </t>
  </si>
  <si>
    <t>General</t>
  </si>
  <si>
    <t>Only enter information in the yellow highlighted fields - all other fields use lookup information</t>
  </si>
  <si>
    <t xml:space="preserve">Click on the small down arrow for drop-down menus (Divisions and Radio Channels). </t>
  </si>
  <si>
    <t>If you want to add radio channels that are not in the drop-down list, add them on the "205 Channels" tab.</t>
  </si>
  <si>
    <t>204 Assignments</t>
  </si>
  <si>
    <t>The first 4 entries of the 204 assignment column are static - Generally, you shouldn't change them, unless you really want to.</t>
  </si>
  <si>
    <t>The other entries in the 204 Assignment column should be a exactly the same as the designator in the Division or Group</t>
  </si>
  <si>
    <t>If two divisions are sharing a frequency or channel, make a separate line for each Division with the designator letter/name for each 204.</t>
  </si>
  <si>
    <t>If assigning for groups, the group name should match exactly the group name on the 203 and 204.</t>
  </si>
  <si>
    <t>There is a drop-down that should list all division and groups - this helps to avoid errors</t>
  </si>
  <si>
    <t>If a small red flag appears in the upper right-hand corner of the field, it means that the Div or Group was not found on the 203 or 203A</t>
  </si>
  <si>
    <t xml:space="preserve">enter a number from 1-20 corresponding to the channel as it should appear on the 205. </t>
  </si>
  <si>
    <t>Generally, this should correspond to the position on the radio</t>
  </si>
  <si>
    <t>If two divisions are sharing a frequency, enter the same channel number on each line.</t>
  </si>
  <si>
    <t>Name (Channel ID)</t>
  </si>
  <si>
    <t>This is a drop down list of commonly used channels in California. If you're not in California, you can build your own list and place in on the 205 Channels tab.</t>
  </si>
  <si>
    <t>The TX, RX and tone fields will be filled in automatically from the information on the 205 Channels tab. If you need to make changes to frequencies or tones, do it on the 205 Channels tab</t>
  </si>
  <si>
    <t>Enter the assignment for the channel such as Div A, Western Structure Group or Staging</t>
  </si>
  <si>
    <t>If two divisions are sharing, enter it as "DIV A &amp; F", or something similar.</t>
  </si>
  <si>
    <t>Enter channel number with a "B." in front of them (be sure to include the period after the "B"). This avoids conflict with channels from the first page. The "B." will not be printed in the 205.</t>
  </si>
  <si>
    <t>Alternate Command or Alternate A/G</t>
  </si>
  <si>
    <t>If a Division or Group is going to be using a different Command channel or Air to Ground channel, enter the channel order number in either of the fields on the far right (Columns K and L).</t>
  </si>
  <si>
    <t>This is a list of all Divisions, Groups, and Branches on both the 203 and the 203A</t>
  </si>
  <si>
    <t>If any channels in column A turn red, that means you have a duplicate. The first occuring channel will be used for all lookups and formulas.</t>
  </si>
  <si>
    <t xml:space="preserve">                      CONTROLLED UNCLASSIFIED INFORMATION//BASIC                           </t>
  </si>
  <si>
    <t>Alpha Tag</t>
  </si>
  <si>
    <t>Freq Rx</t>
  </si>
  <si>
    <t>Freq Tx</t>
  </si>
  <si>
    <t>166.6125</t>
  </si>
  <si>
    <t>A/G TAC</t>
  </si>
  <si>
    <t>168.5625</t>
  </si>
  <si>
    <t>ANF 2</t>
  </si>
  <si>
    <t>FOREST</t>
  </si>
  <si>
    <t>172.3750</t>
  </si>
  <si>
    <t>164.9375</t>
  </si>
  <si>
    <t>OST</t>
  </si>
  <si>
    <t>TONE 9 100.0, TONE 13 141.3</t>
  </si>
  <si>
    <t>BDF ADMIN</t>
  </si>
  <si>
    <t>DISPATCH</t>
  </si>
  <si>
    <t>172.2250</t>
  </si>
  <si>
    <t>164.1375</t>
  </si>
  <si>
    <t>Tone 3, 4, 8, 13 &amp; 14</t>
  </si>
  <si>
    <t>BIA RPT</t>
  </si>
  <si>
    <t>(T12) 127.3</t>
  </si>
  <si>
    <t>CAMP NET 1</t>
  </si>
  <si>
    <t>LOGS</t>
  </si>
  <si>
    <t>CAMP NET 2</t>
  </si>
  <si>
    <t>CAMP NET 3</t>
  </si>
  <si>
    <t>HIA RPT</t>
  </si>
  <si>
    <t>Use Tone 6 (T6) 156.7</t>
  </si>
  <si>
    <t>HIA TAC1</t>
  </si>
  <si>
    <t>TACTICAL</t>
  </si>
  <si>
    <t>(T3) 131.8</t>
  </si>
  <si>
    <t>HIA TAC2</t>
  </si>
  <si>
    <t>(T4) 136.5</t>
  </si>
  <si>
    <t>HIA TAC3</t>
  </si>
  <si>
    <t>(T5) 146.2</t>
  </si>
  <si>
    <t>HIA TAC4</t>
  </si>
  <si>
    <t>(T6) 156.7</t>
  </si>
  <si>
    <t>NIFC C32</t>
  </si>
  <si>
    <t>NIFC C34</t>
  </si>
  <si>
    <t>NIFC C35</t>
  </si>
  <si>
    <t>NIFC C39</t>
  </si>
  <si>
    <t>NIFC C60</t>
  </si>
  <si>
    <t>NIFC C65</t>
  </si>
  <si>
    <t>NIFC C78</t>
  </si>
  <si>
    <t>NIFC T10</t>
  </si>
  <si>
    <t>NIFC T11</t>
  </si>
  <si>
    <t>R5 T1</t>
  </si>
  <si>
    <t>R5 T2</t>
  </si>
  <si>
    <t>SAR NFM</t>
  </si>
  <si>
    <t>155.1600</t>
  </si>
  <si>
    <t>SNF 4</t>
  </si>
  <si>
    <t>164.7875</t>
  </si>
  <si>
    <t>(T1) 110.9</t>
  </si>
  <si>
    <t>170.5000</t>
  </si>
  <si>
    <t>168.7500</t>
  </si>
  <si>
    <t>STF OPS T6</t>
  </si>
  <si>
    <t>USCG 17</t>
  </si>
  <si>
    <t>156.8500</t>
  </si>
  <si>
    <t>USCG 21A</t>
  </si>
  <si>
    <t>157.0500</t>
  </si>
  <si>
    <t>Wide Band</t>
  </si>
  <si>
    <t>USCG 23A</t>
  </si>
  <si>
    <t>157.1500</t>
  </si>
  <si>
    <t>USCG 6</t>
  </si>
  <si>
    <t>156.3000</t>
  </si>
  <si>
    <t>USCG 82A</t>
  </si>
  <si>
    <t>157.1250</t>
  </si>
  <si>
    <t>USCG 83A</t>
  </si>
  <si>
    <t>157.1750</t>
  </si>
  <si>
    <t>USCG 9</t>
  </si>
  <si>
    <t>156.4500</t>
  </si>
  <si>
    <t>USCG81A</t>
  </si>
  <si>
    <t>157.0750</t>
  </si>
  <si>
    <t>VCALL10</t>
  </si>
  <si>
    <t>155.7525</t>
  </si>
  <si>
    <t>VLAW 31</t>
  </si>
  <si>
    <t>155.4750</t>
  </si>
  <si>
    <t>VLAW 32</t>
  </si>
  <si>
    <t>155.4825</t>
  </si>
  <si>
    <t>WEATHER</t>
  </si>
  <si>
    <t>BLANK</t>
  </si>
  <si>
    <t>YNP FIRE</t>
  </si>
  <si>
    <t>172.7750</t>
  </si>
  <si>
    <t>166.3625</t>
  </si>
  <si>
    <t>Channels below are from the 2022 California MACS 441. DO NOT alter the section below. Add or delete channels above this section for incident use.</t>
  </si>
  <si>
    <t>AEU L</t>
  </si>
  <si>
    <t>(T5)  146.2</t>
  </si>
  <si>
    <t>AEU LOCAL NET</t>
  </si>
  <si>
    <t>AG-08</t>
  </si>
  <si>
    <t>IA Air/Ground Secondary CAO1</t>
  </si>
  <si>
    <t>AG-14</t>
  </si>
  <si>
    <t>IA Air/Ground Primary CAO2</t>
  </si>
  <si>
    <t>AG-24</t>
  </si>
  <si>
    <t>IA Air/Ground Secondary CAO3</t>
  </si>
  <si>
    <t>AG-41</t>
  </si>
  <si>
    <t>IA Air Ground Primary CAO3</t>
  </si>
  <si>
    <t>AG-43</t>
  </si>
  <si>
    <t>IA Air/Ground Primary CAO1</t>
  </si>
  <si>
    <t>AG-53</t>
  </si>
  <si>
    <t>IA Air/Ground Secondary CAO4</t>
  </si>
  <si>
    <t>AG-59</t>
  </si>
  <si>
    <t>IA Air/Ground Secondary CAO2 &amp;CAO4 PRI</t>
  </si>
  <si>
    <t>ANF SERV</t>
  </si>
  <si>
    <t>Angeles NF Service Net - A</t>
  </si>
  <si>
    <t>BDC A/G</t>
  </si>
  <si>
    <t>(T7)  167.9</t>
  </si>
  <si>
    <t>San Bernardino County Air to Ground</t>
  </si>
  <si>
    <t>BDC V 2</t>
  </si>
  <si>
    <t>SAN BERNARDINO CO 2</t>
  </si>
  <si>
    <t>BDC V 3</t>
  </si>
  <si>
    <t>SAN BERNARDINO CO 3</t>
  </si>
  <si>
    <t>BDC V 7</t>
  </si>
  <si>
    <t>SAN BERNARDINO CO 7</t>
  </si>
  <si>
    <t>BDU 1</t>
  </si>
  <si>
    <t>BDU LOCAL NET # 1</t>
  </si>
  <si>
    <t>BDU 2</t>
  </si>
  <si>
    <t>BDU LOCAL NET #2</t>
  </si>
  <si>
    <t>BDU 3</t>
  </si>
  <si>
    <t>BDU LOCAL NET #3</t>
  </si>
  <si>
    <t>BEU E</t>
  </si>
  <si>
    <t>(T6)  156.7</t>
  </si>
  <si>
    <t>BEU LOCAL NET EAST</t>
  </si>
  <si>
    <t>BEU W</t>
  </si>
  <si>
    <t>BEU LOCAL NET WEST</t>
  </si>
  <si>
    <t>BLM SOA</t>
  </si>
  <si>
    <t>BLM SCENE OF ACTION</t>
  </si>
  <si>
    <t>BLMCDD-F</t>
  </si>
  <si>
    <t>BLM FIRE NET South</t>
  </si>
  <si>
    <t>BLMCND-F</t>
  </si>
  <si>
    <t>BLM FIRE Bakersfield</t>
  </si>
  <si>
    <t>BLMNODEF</t>
  </si>
  <si>
    <t>BLM FIRE North East</t>
  </si>
  <si>
    <t>BLMNODW</t>
  </si>
  <si>
    <t>BLM ADMIN NET North West</t>
  </si>
  <si>
    <t>BTU L</t>
  </si>
  <si>
    <t>(T1)  110.9</t>
  </si>
  <si>
    <t>BTU LOCAL NET</t>
  </si>
  <si>
    <t>BUT SUPP</t>
  </si>
  <si>
    <t>(T2)  123.0</t>
  </si>
  <si>
    <t>BUTTE CO SUPPORT NET</t>
  </si>
  <si>
    <t>CAL CMD</t>
  </si>
  <si>
    <t>(T4)  136.5</t>
  </si>
  <si>
    <t>CALAVERAS COMMAND</t>
  </si>
  <si>
    <t>CDF A/G 1</t>
  </si>
  <si>
    <t>(T16) 192.8</t>
  </si>
  <si>
    <t>CDF Air to Ground #1</t>
  </si>
  <si>
    <t>CDF A/G 2</t>
  </si>
  <si>
    <t>CDF Air to Ground #2</t>
  </si>
  <si>
    <t>CDF A/G 3</t>
  </si>
  <si>
    <t>CDF Air to Ground #3</t>
  </si>
  <si>
    <t>(T8)  103.5</t>
  </si>
  <si>
    <t>CDF COMMAND 1</t>
  </si>
  <si>
    <t>CDF C10</t>
  </si>
  <si>
    <t>CDF COMMAND 10</t>
  </si>
  <si>
    <t>CDF C11</t>
  </si>
  <si>
    <t>CDF COMMAND 11 (PORTABLE)</t>
  </si>
  <si>
    <t>CDF C12</t>
  </si>
  <si>
    <t>CDF COMMAND 12</t>
  </si>
  <si>
    <t>CDF COMMAND 2</t>
  </si>
  <si>
    <t>CDF COMMAND 3</t>
  </si>
  <si>
    <t>CDF COMMAND 4</t>
  </si>
  <si>
    <t>CDF C6</t>
  </si>
  <si>
    <t>CDF COMMAND 6</t>
  </si>
  <si>
    <t>CDF C7</t>
  </si>
  <si>
    <t>CDF COMMAND 7</t>
  </si>
  <si>
    <t>CDF C8</t>
  </si>
  <si>
    <t>CDF COMMAND 8</t>
  </si>
  <si>
    <t>CDF C9</t>
  </si>
  <si>
    <t>CDF COMMAND 9</t>
  </si>
  <si>
    <t>CDF T1</t>
  </si>
  <si>
    <t>CDF TAC 1</t>
  </si>
  <si>
    <t>CDF T10</t>
  </si>
  <si>
    <t>CDF TAC 10</t>
  </si>
  <si>
    <t>CDF T11</t>
  </si>
  <si>
    <t>CDF TAC 11</t>
  </si>
  <si>
    <t>CDF T12</t>
  </si>
  <si>
    <t>CDF TAC 12</t>
  </si>
  <si>
    <t>CDF T13</t>
  </si>
  <si>
    <t>CDF TAC 13</t>
  </si>
  <si>
    <t>CDF T14</t>
  </si>
  <si>
    <t>CDF TAC 14</t>
  </si>
  <si>
    <t>CDF T15</t>
  </si>
  <si>
    <t>CDF TAC 15</t>
  </si>
  <si>
    <t>CDF T16</t>
  </si>
  <si>
    <t>CDF TAC 16</t>
  </si>
  <si>
    <t>CDF T17</t>
  </si>
  <si>
    <t>CDF TAC 17</t>
  </si>
  <si>
    <t>CDF T18</t>
  </si>
  <si>
    <t>CDF TAC 18</t>
  </si>
  <si>
    <t>CDF T19</t>
  </si>
  <si>
    <t>CDF TAC 19</t>
  </si>
  <si>
    <t>CDF T2</t>
  </si>
  <si>
    <t>CDF TAC 2</t>
  </si>
  <si>
    <t>CDF T20</t>
  </si>
  <si>
    <t>CDF TAC 20</t>
  </si>
  <si>
    <t>CDF T21</t>
  </si>
  <si>
    <t>CDF TAC 21</t>
  </si>
  <si>
    <t>CDF T22</t>
  </si>
  <si>
    <t>CDF TAC 22</t>
  </si>
  <si>
    <t>CDF T23</t>
  </si>
  <si>
    <t>CDF TAC 23</t>
  </si>
  <si>
    <t>CDF T24</t>
  </si>
  <si>
    <t>CDF TAC 24</t>
  </si>
  <si>
    <t>CDF T25</t>
  </si>
  <si>
    <t>CDF TAC 25</t>
  </si>
  <si>
    <t>CDF T26</t>
  </si>
  <si>
    <t>CDF TAC 26</t>
  </si>
  <si>
    <t>CDF T27</t>
  </si>
  <si>
    <t>CDF TAC 27</t>
  </si>
  <si>
    <t>CDF T28</t>
  </si>
  <si>
    <t>CDF TAC 28</t>
  </si>
  <si>
    <t>CDF T29</t>
  </si>
  <si>
    <t>CDF TAC 29</t>
  </si>
  <si>
    <t>CDF TAC 3</t>
  </si>
  <si>
    <t>CDF T30</t>
  </si>
  <si>
    <t>CDF TAC 30</t>
  </si>
  <si>
    <t>CDF T31</t>
  </si>
  <si>
    <t>CDF TAC 31</t>
  </si>
  <si>
    <t>CDF T32</t>
  </si>
  <si>
    <t>CDF TAC 32</t>
  </si>
  <si>
    <t>CDF T33</t>
  </si>
  <si>
    <t>CDF TAC 33</t>
  </si>
  <si>
    <t>CDF T34</t>
  </si>
  <si>
    <t>CDF TAC 34</t>
  </si>
  <si>
    <t>CDF TAC 35</t>
  </si>
  <si>
    <t>CDF T36</t>
  </si>
  <si>
    <t>CDF TAC 36</t>
  </si>
  <si>
    <t>CDF T37</t>
  </si>
  <si>
    <t>CDF TAC 37</t>
  </si>
  <si>
    <t>CDF TAC 4</t>
  </si>
  <si>
    <t>CDF T5</t>
  </si>
  <si>
    <t>CDF TAC 5</t>
  </si>
  <si>
    <t>CDF T6</t>
  </si>
  <si>
    <t>CDF TAC 6</t>
  </si>
  <si>
    <t>CDF T7</t>
  </si>
  <si>
    <t>CDF TAC 7</t>
  </si>
  <si>
    <t>CDF T8</t>
  </si>
  <si>
    <t>CDF TAC 8</t>
  </si>
  <si>
    <t>CDF T9</t>
  </si>
  <si>
    <t>CDF TAC 9</t>
  </si>
  <si>
    <t>CESRS</t>
  </si>
  <si>
    <t>CA TRAVEL NET Repeated</t>
  </si>
  <si>
    <t>CESRS-D</t>
  </si>
  <si>
    <t>CA TRAVEL NET - Direct</t>
  </si>
  <si>
    <t>CNF SERV</t>
  </si>
  <si>
    <t>Cleveland  NF Service Net - B</t>
  </si>
  <si>
    <t>CNT VC 72</t>
  </si>
  <si>
    <t>(T30) 179.9</t>
  </si>
  <si>
    <t>Santa Clara CO Command</t>
  </si>
  <si>
    <t>CZU L</t>
  </si>
  <si>
    <t>CZU LOCAL</t>
  </si>
  <si>
    <t>ENF SERV</t>
  </si>
  <si>
    <t>Eldorado NF Service Net - D</t>
  </si>
  <si>
    <t>FCO DST1</t>
  </si>
  <si>
    <t>(T3)  131.8</t>
  </si>
  <si>
    <t>FKU / FCO DISPATCH</t>
  </si>
  <si>
    <t>FIREOC</t>
  </si>
  <si>
    <t>Orange County Fire Channel</t>
  </si>
  <si>
    <t>FKU 1</t>
  </si>
  <si>
    <t>FKU LOCAL 1 NET</t>
  </si>
  <si>
    <t>FKU 2</t>
  </si>
  <si>
    <t>FKU LOCAL 2 NET</t>
  </si>
  <si>
    <t>FOOTHILL</t>
  </si>
  <si>
    <t>(T31) 186.2</t>
  </si>
  <si>
    <t>FOOTHILL FIRE</t>
  </si>
  <si>
    <t>FS ANF</t>
  </si>
  <si>
    <t>USFS Angeles NF</t>
  </si>
  <si>
    <t>FS BDF</t>
  </si>
  <si>
    <t>USFS San Bernardino NF</t>
  </si>
  <si>
    <t>FS CNF</t>
  </si>
  <si>
    <t>USFS Cleveland NF</t>
  </si>
  <si>
    <t>FS ENF</t>
  </si>
  <si>
    <t>USFS El Dorado NF</t>
  </si>
  <si>
    <t>FS HTF</t>
  </si>
  <si>
    <t>USFS Toiyabe NF (Bridgeport)</t>
  </si>
  <si>
    <t>FS INF N</t>
  </si>
  <si>
    <t>USFS Inyo NF North</t>
  </si>
  <si>
    <t>FS INF S</t>
  </si>
  <si>
    <t>USFS Inyo NF South</t>
  </si>
  <si>
    <t>FS KNF</t>
  </si>
  <si>
    <t>USFS Klamath NF</t>
  </si>
  <si>
    <t>FS LNF</t>
  </si>
  <si>
    <t>USFS Lassen NF</t>
  </si>
  <si>
    <t>FS LPF</t>
  </si>
  <si>
    <t>USFS Los Padres NF</t>
  </si>
  <si>
    <t>FS MDF</t>
  </si>
  <si>
    <t>USFS Modoc NF</t>
  </si>
  <si>
    <t>FS MNF</t>
  </si>
  <si>
    <t>USFS Mendocino NF</t>
  </si>
  <si>
    <t>FS PNF</t>
  </si>
  <si>
    <t>USFS Plumas NF</t>
  </si>
  <si>
    <t>FS SHF</t>
  </si>
  <si>
    <t>USFS Shasta-Trinity NF</t>
  </si>
  <si>
    <t>FS SNF</t>
  </si>
  <si>
    <t>USFS Sierra NF</t>
  </si>
  <si>
    <t>FS SQF</t>
  </si>
  <si>
    <t>USFS Sequoia NF</t>
  </si>
  <si>
    <t>FS SRF</t>
  </si>
  <si>
    <t>USFS Six Rivers NF</t>
  </si>
  <si>
    <t>FS STF</t>
  </si>
  <si>
    <t>USFS Stanislaus NF</t>
  </si>
  <si>
    <t>FS TMU 1</t>
  </si>
  <si>
    <t>USFS Lake Tahoe MU Basin 1 Net</t>
  </si>
  <si>
    <t>FS TNF</t>
  </si>
  <si>
    <t>USFS Tahoe NF</t>
  </si>
  <si>
    <t>AIRGUARD</t>
  </si>
  <si>
    <t>AIR GUARD - emerg. use only</t>
  </si>
  <si>
    <t>HUU L</t>
  </si>
  <si>
    <t>HUU LOCAL NET</t>
  </si>
  <si>
    <t>INF SERV</t>
  </si>
  <si>
    <t>Inyo NF Service Net - B</t>
  </si>
  <si>
    <t>KRN 1</t>
  </si>
  <si>
    <t>Kern Co FD Dispatch</t>
  </si>
  <si>
    <t>KRN 3</t>
  </si>
  <si>
    <t>KRN A/G</t>
  </si>
  <si>
    <t>Kern Co Air/Ground</t>
  </si>
  <si>
    <t>LAC A/G</t>
  </si>
  <si>
    <t>(T14) 151.4</t>
  </si>
  <si>
    <t>LA CO Air to Ground</t>
  </si>
  <si>
    <t>LAC V-1</t>
  </si>
  <si>
    <t>LA CO Command 1</t>
  </si>
  <si>
    <t>LAC V-10D</t>
  </si>
  <si>
    <t>LAC V-11D</t>
  </si>
  <si>
    <t>LAC V-12D</t>
  </si>
  <si>
    <t>LAC V-13D</t>
  </si>
  <si>
    <t>LAC V-2</t>
  </si>
  <si>
    <t>LAC COMMAND 2</t>
  </si>
  <si>
    <t>LAC V-3</t>
  </si>
  <si>
    <t>LAC COMMAND 3</t>
  </si>
  <si>
    <t>LAC V-4</t>
  </si>
  <si>
    <t>LAC COMMAND 4</t>
  </si>
  <si>
    <t>LAC V-5</t>
  </si>
  <si>
    <t>LAC COMMAND 5</t>
  </si>
  <si>
    <t>LAC V-7D</t>
  </si>
  <si>
    <t>LAC V-8D</t>
  </si>
  <si>
    <t>LAC V-9D</t>
  </si>
  <si>
    <t>LFD A/G</t>
  </si>
  <si>
    <t>(T9)  100.0</t>
  </si>
  <si>
    <t>LA CITY Air to Ground Shared w/LAPD</t>
  </si>
  <si>
    <t>LMU L</t>
  </si>
  <si>
    <t>LMU LOCAL NET</t>
  </si>
  <si>
    <t>LNF SERV</t>
  </si>
  <si>
    <t>Lassen NF Service Net - C</t>
  </si>
  <si>
    <t>LNU EAST</t>
  </si>
  <si>
    <t>LNU EAST NET</t>
  </si>
  <si>
    <t>LNU WEST</t>
  </si>
  <si>
    <t>LNU WEST NET</t>
  </si>
  <si>
    <t>LPF SERV</t>
  </si>
  <si>
    <t>Los Padres NF Serv Net - A</t>
  </si>
  <si>
    <t>MDF SERV</t>
  </si>
  <si>
    <t>Modoc NF Service Net - C</t>
  </si>
  <si>
    <t>MEU L</t>
  </si>
  <si>
    <t>MEU LOCAL NET</t>
  </si>
  <si>
    <t>MMU 1</t>
  </si>
  <si>
    <t>MMU LOCAL NET</t>
  </si>
  <si>
    <t>MMU 2</t>
  </si>
  <si>
    <t>MMU LOCAL NET #2</t>
  </si>
  <si>
    <t>MNF SERV</t>
  </si>
  <si>
    <t>Mendocino NF Service Net - B</t>
  </si>
  <si>
    <t>MRN</t>
  </si>
  <si>
    <t>MARIN CO. MU AID NET</t>
  </si>
  <si>
    <t>MVU 1</t>
  </si>
  <si>
    <t>MVU LOCAL NET</t>
  </si>
  <si>
    <t>MVU 2</t>
  </si>
  <si>
    <t>MVU LOCAL 2</t>
  </si>
  <si>
    <t>NEU EAST</t>
  </si>
  <si>
    <t>NEU EAST NET</t>
  </si>
  <si>
    <t>NEU WEST</t>
  </si>
  <si>
    <t>NEU LOCAL NET</t>
  </si>
  <si>
    <t>NEV CO</t>
  </si>
  <si>
    <t>NEVADA COUNTY FIRE</t>
  </si>
  <si>
    <t>NIFC C1</t>
  </si>
  <si>
    <t xml:space="preserve">The color coding indicates </t>
  </si>
  <si>
    <t>NIFC C10</t>
  </si>
  <si>
    <t>how repaters are "usually"</t>
  </si>
  <si>
    <t>NIFC C11</t>
  </si>
  <si>
    <t>paired up.</t>
  </si>
  <si>
    <t>NIFC C12</t>
  </si>
  <si>
    <t>NIFC C2</t>
  </si>
  <si>
    <t>NIFC C3</t>
  </si>
  <si>
    <t>NIFC C4</t>
  </si>
  <si>
    <t>NIFC C5</t>
  </si>
  <si>
    <t>NIFC C6</t>
  </si>
  <si>
    <t>NIFC C8</t>
  </si>
  <si>
    <t>NIFC C9</t>
  </si>
  <si>
    <t>NIFC T1</t>
  </si>
  <si>
    <t>NIFC TAC 1</t>
  </si>
  <si>
    <t>NIFC T2</t>
  </si>
  <si>
    <t>NIFC TAC 2</t>
  </si>
  <si>
    <t>NIFC T3</t>
  </si>
  <si>
    <t>NIFC TAC 3</t>
  </si>
  <si>
    <t>NIFC T5</t>
  </si>
  <si>
    <t>NIFC TAC 5</t>
  </si>
  <si>
    <t>NIFC T6</t>
  </si>
  <si>
    <t>NIFC TAC 6</t>
  </si>
  <si>
    <t>NIFC T7</t>
  </si>
  <si>
    <t>NIFC TAC 7</t>
  </si>
  <si>
    <t>OCACCESS</t>
  </si>
  <si>
    <t>Orange County Access</t>
  </si>
  <si>
    <t>OES 1A</t>
  </si>
  <si>
    <t>OES FIRE 1A</t>
  </si>
  <si>
    <t>OES 1B</t>
  </si>
  <si>
    <t>OES FIRE 1B</t>
  </si>
  <si>
    <t>OES 2A</t>
  </si>
  <si>
    <t>OES FIRE 2A</t>
  </si>
  <si>
    <t>OES 2B</t>
  </si>
  <si>
    <t>OES FIRE 2B</t>
  </si>
  <si>
    <t>PCF CMD</t>
  </si>
  <si>
    <t>PLACER CO Fire Dept. COMMAND</t>
  </si>
  <si>
    <t>PNF SERV</t>
  </si>
  <si>
    <t>Plumas NF Service Net - A</t>
  </si>
  <si>
    <t>R5 T4</t>
  </si>
  <si>
    <t>USFS RGN 5 TAC 4</t>
  </si>
  <si>
    <t>R5 T5</t>
  </si>
  <si>
    <t>USFS RGN 5 TAC 5</t>
  </si>
  <si>
    <t>R5 T6</t>
  </si>
  <si>
    <t>USFS RGN 5 TAC 6</t>
  </si>
  <si>
    <t>RRU 1 W</t>
  </si>
  <si>
    <t>RRU LOCAL NET West 1</t>
  </si>
  <si>
    <t>RRU 2</t>
  </si>
  <si>
    <t>RRU LOCAL NET # 2</t>
  </si>
  <si>
    <t>RRU 3 E</t>
  </si>
  <si>
    <t>RRU LOCAL NET East 3</t>
  </si>
  <si>
    <t>RVC A-G</t>
  </si>
  <si>
    <t>RVC AIR TO GROUND</t>
  </si>
  <si>
    <t>RVC C1</t>
  </si>
  <si>
    <t>RVC COMMAND 1</t>
  </si>
  <si>
    <t>SBC A/G</t>
  </si>
  <si>
    <t>Santa Barbara Air to Ground</t>
  </si>
  <si>
    <t>SBC C-1</t>
  </si>
  <si>
    <t>Santa Barbara CO Dispatch</t>
  </si>
  <si>
    <t>SBC C2</t>
  </si>
  <si>
    <t>S.B. CO. CMD 2</t>
  </si>
  <si>
    <t>SBC C3</t>
  </si>
  <si>
    <t>S.B. CO. CMD 3</t>
  </si>
  <si>
    <t>SBC T7</t>
  </si>
  <si>
    <t>SBC T8</t>
  </si>
  <si>
    <t>SBC T9</t>
  </si>
  <si>
    <t>SCC CMD</t>
  </si>
  <si>
    <t>SANTA CLARA CMD</t>
  </si>
  <si>
    <t>SCU L</t>
  </si>
  <si>
    <t>SCU LOCAL</t>
  </si>
  <si>
    <t>SF FED V</t>
  </si>
  <si>
    <t>$653</t>
  </si>
  <si>
    <t>SFFD Mutual Aid</t>
  </si>
  <si>
    <t>SF MA VA</t>
  </si>
  <si>
    <t>SHA CMD</t>
  </si>
  <si>
    <t>Shasta Co. Command</t>
  </si>
  <si>
    <t>SHF SERV</t>
  </si>
  <si>
    <t>Shasta-Trinity NF Service Net - A</t>
  </si>
  <si>
    <t>SHU L</t>
  </si>
  <si>
    <t>SHU LOCAL NET</t>
  </si>
  <si>
    <t>SKU L</t>
  </si>
  <si>
    <t>SKU LOCAL NET</t>
  </si>
  <si>
    <t>SLC</t>
  </si>
  <si>
    <t>(T22) 82.5</t>
  </si>
  <si>
    <t>SLC/SLU DISPATCH</t>
  </si>
  <si>
    <t>SLU L</t>
  </si>
  <si>
    <t>SLU LOCAL NET</t>
  </si>
  <si>
    <t>SQF SERV</t>
  </si>
  <si>
    <t>Sequoia NF Service Net - B</t>
  </si>
  <si>
    <t>SRF SERV</t>
  </si>
  <si>
    <t>Six Rivers NF Service Net</t>
  </si>
  <si>
    <t>TCU L</t>
  </si>
  <si>
    <t>TCU LOCAL NET</t>
  </si>
  <si>
    <t>TGU L</t>
  </si>
  <si>
    <t>TGU LOCAL NET</t>
  </si>
  <si>
    <t>TLC 1</t>
  </si>
  <si>
    <t>TULARE CO FIRE NET</t>
  </si>
  <si>
    <t>TLC 2</t>
  </si>
  <si>
    <t>TULARE CO COMMAND</t>
  </si>
  <si>
    <t>TLU CMD</t>
  </si>
  <si>
    <t>TUOLUMNE COMMAND</t>
  </si>
  <si>
    <t>TNF SERV</t>
  </si>
  <si>
    <t>Tahoe NF Service Net - B</t>
  </si>
  <si>
    <t>TUU L</t>
  </si>
  <si>
    <t>TUU LOCAL NET</t>
  </si>
  <si>
    <t>USCG 16</t>
  </si>
  <si>
    <t>MARINE</t>
  </si>
  <si>
    <t>DISTRESS, Safety, Calling</t>
  </si>
  <si>
    <t>USCG 22A</t>
  </si>
  <si>
    <t>Liaison to USCG</t>
  </si>
  <si>
    <t>V TAC 33</t>
  </si>
  <si>
    <t>Portable Tactical Repeater</t>
  </si>
  <si>
    <t>V TAC 34</t>
  </si>
  <si>
    <t>V TAC 35</t>
  </si>
  <si>
    <t>V TAC 36</t>
  </si>
  <si>
    <t>V TAC 37</t>
  </si>
  <si>
    <t>V TAC 38</t>
  </si>
  <si>
    <t>VCALL 10</t>
  </si>
  <si>
    <t>VFIRE 21</t>
  </si>
  <si>
    <t>NAT INTEROP</t>
  </si>
  <si>
    <t>VFIRE 22</t>
  </si>
  <si>
    <t>VFIRE 23</t>
  </si>
  <si>
    <t>VFIRE 24</t>
  </si>
  <si>
    <t>VFIRE 25</t>
  </si>
  <si>
    <t>VFIRE 26</t>
  </si>
  <si>
    <t>VMED 28</t>
  </si>
  <si>
    <t>VMED 29</t>
  </si>
  <si>
    <t>VNC A/G</t>
  </si>
  <si>
    <t>VENTURA CO. Air to Ground</t>
  </si>
  <si>
    <t>VNC C 2</t>
  </si>
  <si>
    <t>(T21) 79.7</t>
  </si>
  <si>
    <t>VENTURA CO. CMD 2</t>
  </si>
  <si>
    <t>VNC C 5</t>
  </si>
  <si>
    <t>(T23) 85.4</t>
  </si>
  <si>
    <t>VNC C 8</t>
  </si>
  <si>
    <t>VENTURA CO. CMD 8</t>
  </si>
  <si>
    <t>VNC T3</t>
  </si>
  <si>
    <t>VNC T6</t>
  </si>
  <si>
    <t>VNC T9</t>
  </si>
  <si>
    <t>VSAR16</t>
  </si>
  <si>
    <t>VTAC 11</t>
  </si>
  <si>
    <t>VHF INTEROP National</t>
  </si>
  <si>
    <t>VTAC 12</t>
  </si>
  <si>
    <t>VTAC 13</t>
  </si>
  <si>
    <t>VTAC 14</t>
  </si>
  <si>
    <t>VXCC C1</t>
  </si>
  <si>
    <t>Contra Costa CO Command</t>
  </si>
  <si>
    <t>XAM CMD</t>
  </si>
  <si>
    <t>Amador OA CMD Net</t>
  </si>
  <si>
    <t>XED CMD</t>
  </si>
  <si>
    <t>El Dorado OA CMD Net</t>
  </si>
  <si>
    <t>XMA CMD</t>
  </si>
  <si>
    <t>MADERA COMMAND</t>
  </si>
  <si>
    <t>XNA FIRE</t>
  </si>
  <si>
    <t>NAPA CO FIRE</t>
  </si>
  <si>
    <t>XSD A/G</t>
  </si>
  <si>
    <t>(T10) 107.2</t>
  </si>
  <si>
    <t>SAN DIEGO CO. Air/Ground</t>
  </si>
  <si>
    <t>XSD CMD 1</t>
  </si>
  <si>
    <t>San Diego Co. CMD 1</t>
  </si>
  <si>
    <t>XSD CMD 11</t>
  </si>
  <si>
    <t>SD Co CMD 11</t>
  </si>
  <si>
    <t>XSD CMD 2</t>
  </si>
  <si>
    <t>San Diego Co. CMD 2</t>
  </si>
  <si>
    <t>XSD CMD 3</t>
  </si>
  <si>
    <t>San Diego Co. Old: Border CMD</t>
  </si>
  <si>
    <t>XSD CMD 4</t>
  </si>
  <si>
    <t>SD CTY OLD SND CMD</t>
  </si>
  <si>
    <t>XSD CMD 5</t>
  </si>
  <si>
    <t>San Diego Co.old XSD NCMD(Pendleton)</t>
  </si>
  <si>
    <t>XSL C4</t>
  </si>
  <si>
    <t>SLC COUNTY COMMAND 4</t>
  </si>
  <si>
    <t>XSL C5</t>
  </si>
  <si>
    <t>SLC COUNTY COMMAND 5</t>
  </si>
  <si>
    <t>XSM CMD51</t>
  </si>
  <si>
    <t>San Mateo County Command</t>
  </si>
  <si>
    <t>ICS 205 - INCIDENT RADIO COMMUNICATIONS PLAN</t>
  </si>
  <si>
    <t>Ch#</t>
  </si>
  <si>
    <t>Assigned To</t>
  </si>
  <si>
    <t>Signature:____________________________________________</t>
  </si>
  <si>
    <t>ICS 205  -  CONTROLLED UNCLASSIFIED INFORMATION//BASIC</t>
  </si>
  <si>
    <t xml:space="preserve"> Signature:____________________________________________</t>
  </si>
  <si>
    <t xml:space="preserve"> ICS 205 - INCIDENT RADIO COMMUNICATIONS PLAN</t>
  </si>
  <si>
    <t xml:space="preserve"> Date From:</t>
  </si>
  <si>
    <t xml:space="preserve"> Time From:</t>
  </si>
  <si>
    <t xml:space="preserve"> Date:</t>
  </si>
  <si>
    <t xml:space="preserve"> Time:</t>
  </si>
  <si>
    <t>COMMUNICATIONS LIST (ICS 205A)</t>
  </si>
  <si>
    <t xml:space="preserve">1. Incident Name:  </t>
  </si>
  <si>
    <t xml:space="preserve">Date From: </t>
  </si>
  <si>
    <t xml:space="preserve">Date To: </t>
  </si>
  <si>
    <t>3. Basic Local Communications Information</t>
  </si>
  <si>
    <t>Method(s) of Contact</t>
  </si>
  <si>
    <t>Incident Assigned Position</t>
  </si>
  <si>
    <t>(phone, pager, cell, etc.)</t>
  </si>
  <si>
    <t>XXX-XXX-XXXX</t>
  </si>
  <si>
    <r>
      <rPr>
        <rFont val="Arial"/>
        <b/>
        <color rgb="FF000000"/>
        <sz val="10.0"/>
      </rPr>
      <t xml:space="preserve">4. Prepared by: </t>
    </r>
    <r>
      <rPr>
        <rFont val="Arial"/>
        <b/>
        <color rgb="FF000000"/>
        <sz val="10.0"/>
      </rPr>
      <t xml:space="preserve">Name:  </t>
    </r>
    <r>
      <rPr>
        <rFont val="Arial"/>
        <b/>
        <color rgb="FF000000"/>
        <sz val="10.0"/>
        <u/>
      </rPr>
      <t xml:space="preserve">                                                </t>
    </r>
  </si>
  <si>
    <t>Position/Title:</t>
  </si>
  <si>
    <t>COML</t>
  </si>
  <si>
    <t>ICS 205A</t>
  </si>
  <si>
    <t>IAP Page _____</t>
  </si>
  <si>
    <t xml:space="preserve">Date/Time:  </t>
  </si>
  <si>
    <t>MEDICAL PLAN (ICS 206)</t>
  </si>
  <si>
    <t>3. Medical Aid Stations:</t>
  </si>
  <si>
    <t>Location</t>
  </si>
  <si>
    <t>Contact Number/Freq</t>
  </si>
  <si>
    <t>Paramedics</t>
  </si>
  <si>
    <t>4. Transportation (indicate air or ground):</t>
  </si>
  <si>
    <t>Ambulance Service</t>
  </si>
  <si>
    <t>Contact Number</t>
  </si>
  <si>
    <t>Level of Service</t>
  </si>
  <si>
    <t>5. Hospitals:</t>
  </si>
  <si>
    <t>Hospital Name</t>
  </si>
  <si>
    <t>Address,</t>
  </si>
  <si>
    <t>Contact Number(s)/ Frequency</t>
  </si>
  <si>
    <t>Travel Time</t>
  </si>
  <si>
    <t>Trauma Center</t>
  </si>
  <si>
    <t>Burn Center</t>
  </si>
  <si>
    <t>Helipad</t>
  </si>
  <si>
    <t>Lat &amp; Long Helipad</t>
  </si>
  <si>
    <t>Air</t>
  </si>
  <si>
    <t>Ground</t>
  </si>
  <si>
    <t>6. Special Medical Emergency Procedures</t>
  </si>
  <si>
    <r>
      <rPr>
        <rFont val="Arial"/>
        <b/>
        <color rgb="FF000000"/>
        <sz val="8.0"/>
      </rPr>
      <t xml:space="preserve">Line Emergency
</t>
    </r>
    <r>
      <rPr>
        <rFont val="Arial"/>
        <b val="0"/>
        <color rgb="FF000000"/>
        <sz val="8.0"/>
      </rPr>
      <t>Crew Supervisor will contact Division Supervisor with patient
complaint/condition and location.
 - Division Group Supervisor Contacts:
   1. Closest EMS resource
   2. Communications Unit 
 - Communications Unit Contacts:
   1. Ground or Air ambulance as requested.
   2. Operations
   3. Safety 
   4. Medical Unit
 - Division Supervisor or designee will serve as point of contact and 
   run medical emergency on assigned channel. 
   1. A pre-assigned tactical frequency (i.e. CALCORD) should be used
       for IWI and only for duration of the emergency.
 - Communications Unit will clear the Command channel for emergency
   traffic as needed for duration of the need.</t>
    </r>
    <r>
      <rPr>
        <rFont val="Arial"/>
        <b/>
        <color rgb="FF000000"/>
        <sz val="8.0"/>
      </rPr>
      <t xml:space="preserve">
Camp Emergency</t>
    </r>
    <r>
      <rPr>
        <rFont val="Arial"/>
        <b val="0"/>
        <color rgb="FF000000"/>
        <sz val="8.0"/>
      </rPr>
      <t xml:space="preserve">
Contact Medical Unit with patient complaint/condition and location.
Medical staff will respond to stabilize the patient.
 - Medical Unit contacts
   1. Communications
   2. Safety
   3. Logistics
   4. Operations
   5. Crew Supervisor
   6. Comp/Claims</t>
    </r>
  </si>
  <si>
    <t>Injury Reporting Procedures
Nature of Injury:_______________________________
Location of Patient:____________________________
Point of Contact:______________________________
Transportation Requested by: Air____ Ground_____
Point of Pick-Up:______________________________
            Lat:______________ Long:________________
Patient Unit ID:________________________________
Is an EMT with Patient: Yes______ No________
Age:_________ Sex: Male________ Female_________
   All Emergencies - Secure the area and identified
   witnesses for later investigation. Keep accurate log 
   of events.</t>
  </si>
  <si>
    <r>
      <rPr>
        <rFont val="Arimo"/>
        <color rgb="FF000000"/>
        <sz val="10.0"/>
      </rPr>
      <t xml:space="preserve">    </t>
    </r>
    <r>
      <rPr>
        <rFont val="Arimo"/>
        <color rgb="FF000000"/>
        <sz val="18.0"/>
      </rPr>
      <t>□</t>
    </r>
    <r>
      <rPr>
        <rFont val="Arimo"/>
        <color rgb="FF000000"/>
        <sz val="10.0"/>
      </rPr>
      <t xml:space="preserve">  Check box if aviation assets are utilized for rescue.  If assets are used, coordinate with Air Operations.</t>
    </r>
  </si>
  <si>
    <t>7. Prepared by (Medical Unit Leader):</t>
  </si>
  <si>
    <t>Signature:______________________________</t>
  </si>
  <si>
    <t>8. Approved by (Safety Officer):</t>
  </si>
  <si>
    <t>Hospital List</t>
  </si>
  <si>
    <t>Lat</t>
  </si>
  <si>
    <t>Lng</t>
  </si>
  <si>
    <t>National Trauma Center Map:</t>
  </si>
  <si>
    <t>https://www.amtrauma.org/page/FindTraumaCenter</t>
  </si>
  <si>
    <t>Database Used</t>
  </si>
  <si>
    <t>Up to Date?</t>
  </si>
  <si>
    <t>Hospitals</t>
  </si>
  <si>
    <t>Prev Hospitals</t>
  </si>
  <si>
    <r>
      <rPr>
        <rFont val="arial,sans,sans-serif"/>
      </rPr>
      <t xml:space="preserve">This page allows you to find Trauma Centers and Burn Centers. Results may be sorted by Air Miles, Air Transport Time, Ground Miles, or Ground Transport Time.
</t>
    </r>
    <r>
      <rPr>
        <rFont val="arial,sans,sans-serif"/>
        <b/>
      </rPr>
      <t>To add a hospital to the 206, check the box to its left and click on the "Add to 206 Button".</t>
    </r>
  </si>
  <si>
    <t>Incident</t>
  </si>
  <si>
    <t>National Burn Center Map:</t>
  </si>
  <si>
    <t>http://ameriburn.org/public-resources/burn-center-regional-map/</t>
  </si>
  <si>
    <t>Last Updated</t>
  </si>
  <si>
    <t>California</t>
  </si>
  <si>
    <t>Please Note: This page is designed to assist in the development of the 206. This list may not include hospitals without trauma center classification (smaller community hospitals).  It also may not be inclusive of all trauma centers and burn centers. All information MUST be verified by the Medical Unit Leader.</t>
  </si>
  <si>
    <t>Sort By:</t>
  </si>
  <si>
    <t>Air Miles</t>
  </si>
  <si>
    <t>Air Speed</t>
  </si>
  <si>
    <t>Limit to:</t>
  </si>
  <si>
    <t>Closest Hospitals by Air Miles</t>
  </si>
  <si>
    <t>Sort By</t>
  </si>
  <si>
    <t>Helicopter</t>
  </si>
  <si>
    <t>Speed (MPH)</t>
  </si>
  <si>
    <t>State List</t>
  </si>
  <si>
    <t>Type of Helicopter:</t>
  </si>
  <si>
    <t>Average</t>
  </si>
  <si>
    <t>State:</t>
  </si>
  <si>
    <t>Air Time</t>
  </si>
  <si>
    <t>Blackhawk</t>
  </si>
  <si>
    <t>Closest
Hospitals</t>
  </si>
  <si>
    <t>Address</t>
  </si>
  <si>
    <t>Phone</t>
  </si>
  <si>
    <t>Trauma</t>
  </si>
  <si>
    <t>Burn</t>
  </si>
  <si>
    <t>Air Time hh:mm</t>
  </si>
  <si>
    <t>Ground Miles</t>
  </si>
  <si>
    <t>Ground Time</t>
  </si>
  <si>
    <t>Huey Uh-1H</t>
  </si>
  <si>
    <t>Do Not Edit Hospital Information in this Box - Edits Shoud be Done on the Primary List below line 29.</t>
  </si>
  <si>
    <t>I30:I530</t>
  </si>
  <si>
    <t>Yes</t>
  </si>
  <si>
    <t>Bell 206</t>
  </si>
  <si>
    <t>Bell 407</t>
  </si>
  <si>
    <t>H30:H530</t>
  </si>
  <si>
    <t>Chinook</t>
  </si>
  <si>
    <t>Level 1</t>
  </si>
  <si>
    <t>G30:G530</t>
  </si>
  <si>
    <t>AW139</t>
  </si>
  <si>
    <t>Level 2</t>
  </si>
  <si>
    <t>All Hospitals</t>
  </si>
  <si>
    <t>Adventist Health And Rideout</t>
  </si>
  <si>
    <t>726 4th Street, Marysville, CA 95901</t>
  </si>
  <si>
    <t>(530) 749-4300</t>
  </si>
  <si>
    <t>Level 3</t>
  </si>
  <si>
    <t>Adventist Health Bakersfield</t>
  </si>
  <si>
    <t>2615 Chester Avenue, Bakersfield, CA 93301</t>
  </si>
  <si>
    <t>Adventist Health Clearlake</t>
  </si>
  <si>
    <t>15630 18Th Ave - Hwy 53, Clearlake, CA 95422</t>
  </si>
  <si>
    <t>Adventist Health Hanford</t>
  </si>
  <si>
    <t>115 Mall Drive, Hanford, CA 93230</t>
  </si>
  <si>
    <t>Adventist Health Howard Memorial</t>
  </si>
  <si>
    <t>1 Marcela Dr, Willits, CA 95490</t>
  </si>
  <si>
    <t>Level 4</t>
  </si>
  <si>
    <t>Adventist Health Lodi Memorial</t>
  </si>
  <si>
    <t>975 S Fairmont Avenue, Lodi, CA 95240</t>
  </si>
  <si>
    <t>Adventist Health Reedley</t>
  </si>
  <si>
    <t>372 W Cypress Ave, Reedley, CA 93654</t>
  </si>
  <si>
    <t>Adventist Health Simi Valley</t>
  </si>
  <si>
    <t>2975 N Sycamore Dr, Simi Valley, CA 93065</t>
  </si>
  <si>
    <t>Adventist Health Sonora</t>
  </si>
  <si>
    <t>1000 Greenley Road, Sonora, CA 95370</t>
  </si>
  <si>
    <t>Adventist Health St Helena</t>
  </si>
  <si>
    <t>10 Woodland Road, Saint Helena, CA 94574</t>
  </si>
  <si>
    <t>Adventist Health Tehachapi Valley</t>
  </si>
  <si>
    <t>1100 Magellan, Tehachapi, CA 93561</t>
  </si>
  <si>
    <t>Adventist Health Ukiah Valley Medical Center</t>
  </si>
  <si>
    <t>275 Hospital Drive, Ukiah, CA 95482</t>
  </si>
  <si>
    <t>(707) 462-3111</t>
  </si>
  <si>
    <t>Ahmc Anaheim Regional Medical Center</t>
  </si>
  <si>
    <t>1111 W La Palma Avenue, Anaheim, CA 92801</t>
  </si>
  <si>
    <t>Alhambra Hospital Medical Center</t>
  </si>
  <si>
    <t>100 S Raymond Ave, Alhambra, CA 91801</t>
  </si>
  <si>
    <t>Alvarado Hospital Medical Center</t>
  </si>
  <si>
    <t>6655 Alvarado Road, San Diego, CA 92120</t>
  </si>
  <si>
    <t>Anaheim Global Medical Center</t>
  </si>
  <si>
    <t>1025 S Anaheim Blvd, Anaheim, CA 92805</t>
  </si>
  <si>
    <t>Antelope Valley Hospital</t>
  </si>
  <si>
    <t>1600 West Avenue J, Lancaster, CA 93534</t>
  </si>
  <si>
    <t>(661) 949-5000</t>
  </si>
  <si>
    <t xml:space="preserve">Level 2 </t>
  </si>
  <si>
    <t>Arrowhead Regional Medical Center</t>
  </si>
  <si>
    <t>400 N. Pepper Ave., Colton, CA 92324</t>
  </si>
  <si>
    <t>(909) 580-1000</t>
  </si>
  <si>
    <t>Asante Ashland Community Hospital</t>
  </si>
  <si>
    <t>280 Maple Street, Ashland, OR 97520</t>
  </si>
  <si>
    <t>(541) 201-4000</t>
  </si>
  <si>
    <t>No</t>
  </si>
  <si>
    <t>Asante Rogue Regional Medical Center</t>
  </si>
  <si>
    <t>2825 East Barnett Road, Medford, OR 97504</t>
  </si>
  <si>
    <t>(541) 789-7000</t>
  </si>
  <si>
    <t>Asante Three Rivers Medical Center</t>
  </si>
  <si>
    <t>500 SW Ramsey Avenue, Grants Pass, OR 97527</t>
  </si>
  <si>
    <t>(541) 472-7000</t>
  </si>
  <si>
    <t>Bakersfield Heart Hospital</t>
  </si>
  <si>
    <t>3001 Sillect Avenue, Bakersfield, CA 93308</t>
  </si>
  <si>
    <t>Bakersfield Memorial Hospital</t>
  </si>
  <si>
    <t>420 34Th St, Bakersfield, CA 93301</t>
  </si>
  <si>
    <t>Banner Lassen Medical Center</t>
  </si>
  <si>
    <t>1800 Spring Ridge Drive, Susanville, CA 96130</t>
  </si>
  <si>
    <t>Barstow Community Hospital</t>
  </si>
  <si>
    <t>820 E Mountain View Street, Barstow, CA 92311</t>
  </si>
  <si>
    <t>Barton Memorial Hospital</t>
  </si>
  <si>
    <t>2170 South Ave., South Lake Tahoe, CA 96150</t>
  </si>
  <si>
    <t>(530) 541-3420</t>
  </si>
  <si>
    <t>Bear Valley Community Hospital</t>
  </si>
  <si>
    <t>41870 Garstin Dr, Big Bear Lake, CA 92315</t>
  </si>
  <si>
    <t>Beverly Hospital</t>
  </si>
  <si>
    <t>309 W Beverly Blvd, Montebello, CA 90640</t>
  </si>
  <si>
    <t>Bothin Burn Center at Saint Francis Memorial Hospital (verified)</t>
  </si>
  <si>
    <t>900 Hyde St, San Francisco, CA</t>
  </si>
  <si>
    <t>(415) 353-6255</t>
  </si>
  <si>
    <t>None</t>
  </si>
  <si>
    <t>California Hospital Medical Center La</t>
  </si>
  <si>
    <t>1401 South Grand Avenue, Los Angeles, CA 90015</t>
  </si>
  <si>
    <t>California Pacific Medical Center - Mission Bernal</t>
  </si>
  <si>
    <t>3555 Cesar Chavez Street, San Francisco, CA 94110</t>
  </si>
  <si>
    <t>California Pacific Medical Ctr-Davies Campus Hosp</t>
  </si>
  <si>
    <t>601 Duboce Ave, San Francisco, CA 94117</t>
  </si>
  <si>
    <t>California Pacific Medical Ctr-Pacific Campus Hosp</t>
  </si>
  <si>
    <t>2333 Buchanan Street, San Francisco, CA 94115</t>
  </si>
  <si>
    <t>Casa Colina Hospital</t>
  </si>
  <si>
    <t>255 E Bonita Ave, Pomona, CA 91767</t>
  </si>
  <si>
    <t>Cedar-Sinai Marina Del Rey Hospital</t>
  </si>
  <si>
    <t>4650 Lincoln Blvd, Marina Del Rey, CA 90291</t>
  </si>
  <si>
    <t>Cedars-Sinai Medical Center</t>
  </si>
  <si>
    <t>8700 Beverly Blvd., Los Angeles, CA 90048</t>
  </si>
  <si>
    <t>(310) 423-5000</t>
  </si>
  <si>
    <t>Centinela Hospital Medical Center</t>
  </si>
  <si>
    <t>555 East Hardy Street, Inglewood, CA 90301</t>
  </si>
  <si>
    <t>Chapman Global Medical Center</t>
  </si>
  <si>
    <t>2601 E Chapman Ave, Orange, CA 92869</t>
  </si>
  <si>
    <t>Chinese Hospital</t>
  </si>
  <si>
    <t>845 Jackson St, San Francisco, CA 94133</t>
  </si>
  <si>
    <t>Chino Valley Medical Center</t>
  </si>
  <si>
    <t>5451 Walnut Ave, Chino, CA 91710</t>
  </si>
  <si>
    <t>Citrus Valley Medical Center-Ic Campus</t>
  </si>
  <si>
    <t>210 W San Bernardino Road, Covina, CA 91723</t>
  </si>
  <si>
    <t>City Of Hope Helford Clinical Research Hospital</t>
  </si>
  <si>
    <t>1500 E Duarte Road, Duarte, CA 91010</t>
  </si>
  <si>
    <t>Clovis Community Medical Center</t>
  </si>
  <si>
    <t>2755 Herndon Ave, Clovis, CA 93611</t>
  </si>
  <si>
    <t>Coalinga Regional Medical Center</t>
  </si>
  <si>
    <t>1191 Phelps Avenue, Coalinga, CA 93210</t>
  </si>
  <si>
    <t>Coast Plaza Hospital</t>
  </si>
  <si>
    <t>13100 Studerbaker Road, Norwalk, CA 90650</t>
  </si>
  <si>
    <t>College Hospital Costa Mesa</t>
  </si>
  <si>
    <t>301 Victoria Street, Costa Mesa, CA 92627</t>
  </si>
  <si>
    <t>College Medical Center</t>
  </si>
  <si>
    <t>2776 Pacific Avenue, Long Beach, CA 90806</t>
  </si>
  <si>
    <t>Colorado River Medical Center</t>
  </si>
  <si>
    <t>1401 Bailey Ave, Needles, CA 92363</t>
  </si>
  <si>
    <t>Community Hospital Of Huntington Park</t>
  </si>
  <si>
    <t>2623 E Slauson Ave, Huntington Park, CA 90255</t>
  </si>
  <si>
    <t>Community Hospital Of Long Beach</t>
  </si>
  <si>
    <t>1720 Termino Avenue, Long Beach, CA 90804</t>
  </si>
  <si>
    <t>Community Hospital Of San Bernardino</t>
  </si>
  <si>
    <t>1805 Medical Center Drive, San Bernardino, CA 92411</t>
  </si>
  <si>
    <t>Community Hospital Of The Monterey Peninsula</t>
  </si>
  <si>
    <t>23625 W R Holman Highway, Monterey, CA 93940</t>
  </si>
  <si>
    <t>Community Memorial Hospital San Buenaventura</t>
  </si>
  <si>
    <t>147 N Brent St, Ventura, CA 93003</t>
  </si>
  <si>
    <t>Community Regional Medical Center</t>
  </si>
  <si>
    <t>2823 Fresno St., Fresno, CA 93721</t>
  </si>
  <si>
    <t>(559) 459-6000</t>
  </si>
  <si>
    <t>Corona Regional Medical Center</t>
  </si>
  <si>
    <t>800 South Main Street, Corona, CA 92882</t>
  </si>
  <si>
    <t>Dameron Hospital</t>
  </si>
  <si>
    <t>525 West Acacia Street, Stockton, CA 95203</t>
  </si>
  <si>
    <t>Delano Regional Medical Center</t>
  </si>
  <si>
    <t>1401 Garces Highway, Delano, CA 93215</t>
  </si>
  <si>
    <t>Desert Regional Medical Center</t>
  </si>
  <si>
    <t>1150 North Indian Canyon Drive, Palm Springs, CA 92262</t>
  </si>
  <si>
    <t>(760) 323-6511</t>
  </si>
  <si>
    <t>Desert Valley Hospital</t>
  </si>
  <si>
    <t>16850 Bear Valley Rd, Victorville, CA 92395</t>
  </si>
  <si>
    <t>Dignity Health California Hospital Medical Center</t>
  </si>
  <si>
    <t>1401 S. Grand Ave., Los Angeles, CA 90015</t>
  </si>
  <si>
    <t>(213) 748-2411</t>
  </si>
  <si>
    <t>Dignity Health Marian Regional Medical Center</t>
  </si>
  <si>
    <t>1400 E Church Street, Santa Maria, CA 93454</t>
  </si>
  <si>
    <t>(805) 739-3000</t>
  </si>
  <si>
    <t>Dignity Health Mercy Medical Center Mt. Shasta</t>
  </si>
  <si>
    <t>914 Pine St., Mount Shasta, CA 96067</t>
  </si>
  <si>
    <t>(530) 926-6111</t>
  </si>
  <si>
    <t>Dignity Health Mercy Medical Center Redding</t>
  </si>
  <si>
    <t>2175 Rosaline Ave, Redding, CA 96001</t>
  </si>
  <si>
    <t>(530) 225-6000</t>
  </si>
  <si>
    <t>Dignity Health Mercy San Juan Medical Center</t>
  </si>
  <si>
    <t>6501 Coyle Ave., Carmichael, CA 95608</t>
  </si>
  <si>
    <t>(916) 537-5000</t>
  </si>
  <si>
    <t>Dignity Health Northridge Hospital Medical Center</t>
  </si>
  <si>
    <t>18300 Roscoe Blvd., Northridge, CA 91328</t>
  </si>
  <si>
    <t xml:space="preserve"> (818) 885-8500</t>
  </si>
  <si>
    <t>Dignity Health St. Elizabeth Community Hospital</t>
  </si>
  <si>
    <t>2550 Sr. Mary Columba Dr., Red Bluff, CA 96080</t>
  </si>
  <si>
    <t>(530) 529-8000</t>
  </si>
  <si>
    <t>Dignity Health St. Mary Medical Center</t>
  </si>
  <si>
    <t>1050 Linden Ave, Long Beach, CA 90813</t>
  </si>
  <si>
    <t>(562) 491-9000</t>
  </si>
  <si>
    <t>Doctors Hospital Of Manteca</t>
  </si>
  <si>
    <t>1205 E North Street, Manteca, CA 95336</t>
  </si>
  <si>
    <t>Doctors Medical Center</t>
  </si>
  <si>
    <t>1441 Florida Ave., Modesto, CA 95350</t>
  </si>
  <si>
    <t>(209) 578-1211</t>
  </si>
  <si>
    <t>yes</t>
  </si>
  <si>
    <t>Dominican Hospital</t>
  </si>
  <si>
    <t>1555 Soquel Drive, Santa Cruz, CA 95065</t>
  </si>
  <si>
    <t>East Los Angeles Doctors Hospital</t>
  </si>
  <si>
    <t>4060 Whittier Blvd, Los Angeles, CA 90023</t>
  </si>
  <si>
    <t>Eastern Plumas Hospital - Portola Campus</t>
  </si>
  <si>
    <t>500 First Avenue, Portola, CA 96122</t>
  </si>
  <si>
    <t>Eisenhower Medical Center</t>
  </si>
  <si>
    <t>39-000 Bob Hope Drive, Rancho Mirage, CA 92270</t>
  </si>
  <si>
    <t>El Camino Hospital</t>
  </si>
  <si>
    <t>2500 Grant Road, Mountain View, CA 94040</t>
  </si>
  <si>
    <t>El Centro Regional Medical Center</t>
  </si>
  <si>
    <t>1415 Ross Avenue, El Centro, CA 92243</t>
  </si>
  <si>
    <t>(760) 339-7100</t>
  </si>
  <si>
    <t>Emanate Health Foothill Presbyterian Hospital</t>
  </si>
  <si>
    <t>250 S Grand Ave, Glendora, CA 91740</t>
  </si>
  <si>
    <t>Emanuel Medical Center</t>
  </si>
  <si>
    <t>825 Delbon Ave, Turlock, CA 95382</t>
  </si>
  <si>
    <t>Encino Hospital Medical Center</t>
  </si>
  <si>
    <t>16237 Ventura Blvd, Encino, CA 91436</t>
  </si>
  <si>
    <t>Enloe Medical Center</t>
  </si>
  <si>
    <t>1531 Esplanade, Chico, CA 95926</t>
  </si>
  <si>
    <t>(530) 332-7300</t>
  </si>
  <si>
    <t>Fairchild Medical Center</t>
  </si>
  <si>
    <t>444 Bruce Street, Yreka, CA 96097</t>
  </si>
  <si>
    <t>(530) 842-4121</t>
  </si>
  <si>
    <t>Lawn</t>
  </si>
  <si>
    <t>Fairview Developmental Center</t>
  </si>
  <si>
    <t>2501 Harbor Boulevard, Costa Mesa, CA 92626</t>
  </si>
  <si>
    <t>Foothill Regional Medical Center</t>
  </si>
  <si>
    <t>14662 Newport Ave, Tustin, CA 92780</t>
  </si>
  <si>
    <t>Fountain Valley Regional Hospital &amp; Medical Center</t>
  </si>
  <si>
    <t>17100 Euclid Street, Fountain Valley, CA 92708</t>
  </si>
  <si>
    <t>French Hospital Medical Center</t>
  </si>
  <si>
    <t>1911 Johnson Ave, San Luis Obispo, CA 93401</t>
  </si>
  <si>
    <t>Fresno Heart And Surgical Hospital</t>
  </si>
  <si>
    <t>15 East Audubon Drive, Fresno, CA 93720</t>
  </si>
  <si>
    <t>Fresno Surgical Hospital</t>
  </si>
  <si>
    <t>6125 North Fresno St, Fresno, CA 93710</t>
  </si>
  <si>
    <t>Garden Grove Hospital &amp; Medical Center</t>
  </si>
  <si>
    <t>12601 Garden Grove Blvd, Garden Grove, CA 92843</t>
  </si>
  <si>
    <t>Gardens Regional Hospital And Medical Center</t>
  </si>
  <si>
    <t>21530 S Pioneer Blvd, Hawaiian Gardens, CA 90716</t>
  </si>
  <si>
    <t>Garfield Medical Center</t>
  </si>
  <si>
    <t>525 N Garfield Ave, Monterey Park, CA 91754</t>
  </si>
  <si>
    <t>George L Mee Memorial Hospital</t>
  </si>
  <si>
    <t>300 Canal Street, King City, CA 93930</t>
  </si>
  <si>
    <t>Glendale Adventist Medical Center</t>
  </si>
  <si>
    <t>1509 E Wilson Terrace, Glendale, CA 91206</t>
  </si>
  <si>
    <t>Glendale Mem Hospital &amp; Hlth Center</t>
  </si>
  <si>
    <t>1420 S Central Ave, Glendale, CA 91204</t>
  </si>
  <si>
    <t>Glendora Community Hospital</t>
  </si>
  <si>
    <t>150 West Route 66, Glendora, CA 91740</t>
  </si>
  <si>
    <t>Glenn Medical Center</t>
  </si>
  <si>
    <t>1133 W Sycamore St, Willows, CA 95988</t>
  </si>
  <si>
    <t>Goleta Valley Cottage Hospital</t>
  </si>
  <si>
    <t>351 S Patterson Ave, Santa Barbara, CA 93111</t>
  </si>
  <si>
    <t>Good Samaritan Hospital</t>
  </si>
  <si>
    <t>901 Olive Drive, Bakersfield, CA 93308</t>
  </si>
  <si>
    <t>1225 Wilshire Boulevard, Los Angeles, CA 90017</t>
  </si>
  <si>
    <t>2425 Samaritan Drive, San Jose, CA 95124</t>
  </si>
  <si>
    <t>Greater El Monte Community Hospital</t>
  </si>
  <si>
    <t>1701 Santa Anita Ave, South El Monte, CA 91733</t>
  </si>
  <si>
    <t>Grossmont Hospital</t>
  </si>
  <si>
    <t>5555 Grossmont Center Drive Box 58, La Mesa, CA 91942</t>
  </si>
  <si>
    <t>Harbor UCLA Medical Center</t>
  </si>
  <si>
    <t>1000 W Carson St, Torrance, CA 90502</t>
  </si>
  <si>
    <t>(310) 222-2345</t>
  </si>
  <si>
    <t>Havasu Regional Medical Center</t>
  </si>
  <si>
    <t>101 Civic Center Lane, Lake Havasu City, AZ 86403</t>
  </si>
  <si>
    <t>(928) 855-8185</t>
  </si>
  <si>
    <t>Hazel Hawkins Memorial Hospital</t>
  </si>
  <si>
    <t>911 Sunset Drive, Hollister, CA 95023</t>
  </si>
  <si>
    <t>Healdsburg District Hospital</t>
  </si>
  <si>
    <t>1375 University Avenue, Healdsburg, CA 95448</t>
  </si>
  <si>
    <t>Hemet Valley Medical Center</t>
  </si>
  <si>
    <t>1117 East Devonshire, Hemet, CA 92543</t>
  </si>
  <si>
    <t>Henry Mayo Newhall Memorial Hospital</t>
  </si>
  <si>
    <t>23845 McBean Parkway, Valencia, CA 91355</t>
  </si>
  <si>
    <t>(661) 253-8000</t>
  </si>
  <si>
    <t>Hi-Desert Medical Center</t>
  </si>
  <si>
    <t>6601 White Feather Road, Joshua Tree, CA 92252</t>
  </si>
  <si>
    <t>Highland Hospital/A member of Alameda Health System</t>
  </si>
  <si>
    <t>1411 East 31st St., Oakland, CA 94602</t>
  </si>
  <si>
    <t>(510) 437-4800</t>
  </si>
  <si>
    <t>Hoag Memorial Hospital Presbyterian</t>
  </si>
  <si>
    <t>One Hoag Drive, Newport Beach, CA 92663</t>
  </si>
  <si>
    <t>Hollywood Presbyterian Medical Center</t>
  </si>
  <si>
    <t>1300 N Vermont Ave, Los Angeles, CA 90027</t>
  </si>
  <si>
    <t>Huntington Beach Hospital</t>
  </si>
  <si>
    <t>17772 Beach Blvd, Huntington Beach, CA 92647</t>
  </si>
  <si>
    <t>Huntington Memorial Hospital</t>
  </si>
  <si>
    <t>100 W. California Blvd., Pasadena, CA 91105</t>
  </si>
  <si>
    <t>(626) 397-5000</t>
  </si>
  <si>
    <t>Inland Valley Medical Center</t>
  </si>
  <si>
    <t>36485 Inland Valley Rd, Wildomar, CA 92595</t>
  </si>
  <si>
    <t>(951) 677-1111</t>
  </si>
  <si>
    <t>Jerold Phelps Community Hospital</t>
  </si>
  <si>
    <t>733 Cedar St, Garberville, CA 95542</t>
  </si>
  <si>
    <t>John C Fremont Healthcare District</t>
  </si>
  <si>
    <t>5189 Hospital Road, Mariposa, CA 95338</t>
  </si>
  <si>
    <t>John F Kennedy Memorial Hospital</t>
  </si>
  <si>
    <t>47111 Monroe Street, Indio, CA 92201</t>
  </si>
  <si>
    <t xml:space="preserve">
</t>
  </si>
  <si>
    <t>John Muir/Walnut Creek Medical Center</t>
  </si>
  <si>
    <t>1601 Ygnacio Valley Road, Walnut Creek, CA 94598</t>
  </si>
  <si>
    <t>(925) 939-3000</t>
  </si>
  <si>
    <t>Kaiser Foundation Hosp So Sacramento</t>
  </si>
  <si>
    <t>6600 Bruceville Road, Sacramento, CA 95823</t>
  </si>
  <si>
    <t>Kaiser Foundation Hospital - Baldwin Park</t>
  </si>
  <si>
    <t>1011 Baldwin Park Blvd, Baldwin Park, CA 91706</t>
  </si>
  <si>
    <t>Kaiser Foundation Hospital - Downey</t>
  </si>
  <si>
    <t>9333 Imperial Highway, Downey, CA 90242</t>
  </si>
  <si>
    <t>Kaiser Foundation Hospital - Fresno</t>
  </si>
  <si>
    <t>7300 North Fresno St, Fresno, CA 93720</t>
  </si>
  <si>
    <t>Kaiser Foundation Hospital - Los Angeles</t>
  </si>
  <si>
    <t>4867 Sunset Blvd, Los Angeles, CA 90027</t>
  </si>
  <si>
    <t>Kaiser Foundation Hospital - Orange County - Anahe</t>
  </si>
  <si>
    <t>3440 E La Palma Ave, Anaheim, CA 92806</t>
  </si>
  <si>
    <t>Kaiser Foundation Hospital - Panorama City</t>
  </si>
  <si>
    <t>13652 Cantara St, Panorama City, CA 91402</t>
  </si>
  <si>
    <t>Kaiser Foundation Hospital - Redwood City</t>
  </si>
  <si>
    <t>1100 Veterans Boulevard, Redwood City, CA 94063</t>
  </si>
  <si>
    <t>Kaiser Foundation Hospital - Roseville</t>
  </si>
  <si>
    <t>1600 Eureka Road, Roseville, CA 95661</t>
  </si>
  <si>
    <t>Kaiser Foundation Hospital - Sacramento</t>
  </si>
  <si>
    <t>2025 Morse Avenue, Sacramento, CA 95825</t>
  </si>
  <si>
    <t>Kaiser Foundation Hospital - San Francisco</t>
  </si>
  <si>
    <t>2425 Geary Blvd, San Francisco, CA 94115</t>
  </si>
  <si>
    <t>Kaiser Foundation Hospital - San Rafael</t>
  </si>
  <si>
    <t>99 Monticello Rd, San Rafael, CA 94903</t>
  </si>
  <si>
    <t>(415) 444-2000</t>
  </si>
  <si>
    <t>EDAT</t>
  </si>
  <si>
    <t>Kaiser Foundation Hospital - South Bay</t>
  </si>
  <si>
    <t>25825 South Vermont Avenue, Harbor City, CA 90710</t>
  </si>
  <si>
    <t>Kaiser Foundation Hospital - South San Francisco</t>
  </si>
  <si>
    <t>1200 El Camino Real, South San Francisco, CA 94080</t>
  </si>
  <si>
    <t>Kaiser Foundation Hospital - Vacaville</t>
  </si>
  <si>
    <t>1 Quality Drive, Vacaville, CA 95688</t>
  </si>
  <si>
    <t>(707) 624-2275</t>
  </si>
  <si>
    <t>Kaiser Foundation Hospital - Walnut Creek</t>
  </si>
  <si>
    <t>1425 S Main Street, Walnut Creek, CA 94596</t>
  </si>
  <si>
    <t>Kaiser Foundation Hospital - West La</t>
  </si>
  <si>
    <t>6041 Cadillac Ave, Los Angeles, CA 90034</t>
  </si>
  <si>
    <t>Kaiser Foundation Hospital - Woodland Hills</t>
  </si>
  <si>
    <t>5601 De Soto Avenue, Woodland Hills, CA 91367</t>
  </si>
  <si>
    <t>Kaiser Foundation Hospital - Zion</t>
  </si>
  <si>
    <t>4647 Zion Ave, San Diego, CA 92120</t>
  </si>
  <si>
    <t>Kaiser Foundation Hospital And Rehab Center</t>
  </si>
  <si>
    <t>975 Sereno Dr, Vallejo, CA 94589</t>
  </si>
  <si>
    <t>Kaiser Foundation Hospital Fontana</t>
  </si>
  <si>
    <t>9961 Sierra Ave, Fontana, CA 92335</t>
  </si>
  <si>
    <t>Kaiser Foundation Hospital Manteca</t>
  </si>
  <si>
    <t>1777 West Yosemite Ave, Manteca, CA 95337</t>
  </si>
  <si>
    <t>Kaiser Foundation Hospital-Moreno Valley</t>
  </si>
  <si>
    <t>27300 Iris Avenue, Moreno Valley, CA 92555</t>
  </si>
  <si>
    <t>Kaiser Foundation Hospital-San Jose</t>
  </si>
  <si>
    <t>250 Hospital Parkway, San Jose, CA 95119</t>
  </si>
  <si>
    <t>Kaiser Foundation Hospital-Santa Clara</t>
  </si>
  <si>
    <t>700 Lawrence Expressway, Santa Clara, CA 95051</t>
  </si>
  <si>
    <t>Kaiser Foundation Hospital-Santa Rosa</t>
  </si>
  <si>
    <t>401 Bicentennial Way, Santa Rosa, CA 95403</t>
  </si>
  <si>
    <t>Kaiser Foundation Hospital, Riverside</t>
  </si>
  <si>
    <t>10800 Magnolia Avenue, Riverside, CA 92505</t>
  </si>
  <si>
    <t>Kaiser Permanente South Sacramento</t>
  </si>
  <si>
    <t>(916) 688-2430</t>
  </si>
  <si>
    <t>Kaweah Delta Medical Center</t>
  </si>
  <si>
    <t>400 W Mineral King Avenue, Visalia, CA 93291</t>
  </si>
  <si>
    <t>Keck Hospital Of Usc</t>
  </si>
  <si>
    <t>1500 San Pablo Street, Los Angeles, CA 90033</t>
  </si>
  <si>
    <t>Kern Medical Center</t>
  </si>
  <si>
    <t>1700 Mount Vernon Avenue, Bakersfield, CA 93306</t>
  </si>
  <si>
    <t>(661) 326-2000</t>
  </si>
  <si>
    <t>Kern Valley Healthcare District</t>
  </si>
  <si>
    <t>6412 Laurel Ave, Lake Isabella, CA 93240</t>
  </si>
  <si>
    <t>La Palma Intercommunity Hospital</t>
  </si>
  <si>
    <t>7901 Walker Street, La Palma, CA 90623</t>
  </si>
  <si>
    <t>La Paz Regional Hospital</t>
  </si>
  <si>
    <t>1200 West Mohave Road, Parker, AZ 85344</t>
  </si>
  <si>
    <t>(928) 669-9201</t>
  </si>
  <si>
    <t>LAC + USC Medical Center</t>
  </si>
  <si>
    <t>1200 N. State St., Los Angeles, CA 90033</t>
  </si>
  <si>
    <t>(323) 226-2622</t>
  </si>
  <si>
    <t>Lac/Harbor-Ucla Med Center</t>
  </si>
  <si>
    <t>Lac/Olive View-Ucla Medical Center</t>
  </si>
  <si>
    <t>14445 Olive View Drive, Sylmar, CA 91342</t>
  </si>
  <si>
    <t>Lac/Rancho Los Amigos National Rehabilitation Ctr</t>
  </si>
  <si>
    <t>7601 East Imperial Highway, Downey, CA 90242</t>
  </si>
  <si>
    <t>Lac+Usc Medical Center</t>
  </si>
  <si>
    <t>1200 N State St, Room C2K100, Los Angeles, CA 90033</t>
  </si>
  <si>
    <t>Laguna Honda Hospital &amp; Rehabilitation Center</t>
  </si>
  <si>
    <t>375 Laguna Honda Blvd, San Francisco, CA 94116</t>
  </si>
  <si>
    <t>Lake District Hospital</t>
  </si>
  <si>
    <t>700 South 'J' Street, Lakeview, OR 97630</t>
  </si>
  <si>
    <t>(541) 947-2114</t>
  </si>
  <si>
    <t>Lakewood Regional Medical Center</t>
  </si>
  <si>
    <t>3700 E South St, Lakewood, CA 90712</t>
  </si>
  <si>
    <t>Loma Linda University Children'S Hospital</t>
  </si>
  <si>
    <t>11234 Anderson Street Suite A, Loma Linda, CA 92354</t>
  </si>
  <si>
    <t>Loma Linda University Medical Center</t>
  </si>
  <si>
    <t>11234 Anderson St, Loma Linda, CA 92354</t>
  </si>
  <si>
    <t>(909) 558-4000</t>
  </si>
  <si>
    <t>Loma Linda University Medical Center-Murrieta</t>
  </si>
  <si>
    <t>28062 Baxter Road, Murrieta, CA 92563</t>
  </si>
  <si>
    <t>Lompoc Valley Medical Center</t>
  </si>
  <si>
    <t>1515 E Ocean Avenue, Lompoc, CA 93436</t>
  </si>
  <si>
    <t>Long Beach Memorial Medical Center</t>
  </si>
  <si>
    <t>2801 Atlantic Ave., Long Beach, CA 90806</t>
  </si>
  <si>
    <t>(562) 933-2000</t>
  </si>
  <si>
    <t>Los Alamitos Medical Center</t>
  </si>
  <si>
    <t>3751 Katella Avenue, Los Alamitos, CA 90720</t>
  </si>
  <si>
    <t>Los Angeles Community Hospital</t>
  </si>
  <si>
    <t>4081 E Olympic Blvd, Los Angeles, CA 90023</t>
  </si>
  <si>
    <t>Los Robles Hospital &amp; Medical Center</t>
  </si>
  <si>
    <t>215 West Janss Road, Thousand Oaks, CA 91360</t>
  </si>
  <si>
    <t>(805) 497-2727</t>
  </si>
  <si>
    <t>Mad River Community Hospital</t>
  </si>
  <si>
    <t>3800 Janes Rd, Arcata, CA 95521</t>
  </si>
  <si>
    <t>Madera Community Hospital</t>
  </si>
  <si>
    <t>1250 E Almond Ave, Madera, CA 93637</t>
  </si>
  <si>
    <t>Mammoth Hospital</t>
  </si>
  <si>
    <t>85 Sierra Park Road Po Box 660, Mammoth Lakes, CA 93546</t>
  </si>
  <si>
    <t>Marian Regional Medical Center</t>
  </si>
  <si>
    <t>1400 E Church St, Santa Maria, CA 93454</t>
  </si>
  <si>
    <t>Marian Regional Medical Center, Arroyo Grande</t>
  </si>
  <si>
    <t>345 S Halcyon Rd, Arroyo Grande, CA 93420</t>
  </si>
  <si>
    <t>MarinHealth Medical Center</t>
  </si>
  <si>
    <t>250 Bon Air Rd., L103, Greenbrae, CA 94904</t>
  </si>
  <si>
    <t>(415) 925-7000</t>
  </si>
  <si>
    <t>Marshall Medical Center</t>
  </si>
  <si>
    <t>1100 Marshall Way, Placerville, CA 95667</t>
  </si>
  <si>
    <t>(530) 622-1441</t>
  </si>
  <si>
    <t>Martin Luther King, Jr. Community Hospital</t>
  </si>
  <si>
    <t>1680 East 120Th Street, Los Angeles, CA 90059</t>
  </si>
  <si>
    <t>Mayers Memorial Hospital</t>
  </si>
  <si>
    <t>43563 Hwy 299 East, Fall River Mills, CA 96028</t>
  </si>
  <si>
    <t>Memorial Hospital Los Banos</t>
  </si>
  <si>
    <t>520 West I St, Los Banos, CA 93635</t>
  </si>
  <si>
    <t>Memorial Hospital Of Gardena</t>
  </si>
  <si>
    <t>1145 W Redondo Beach Blvd, Gardena, CA 90247</t>
  </si>
  <si>
    <t>Memorial Medical Center</t>
  </si>
  <si>
    <t>1700 Coffee Rd., Modesto, CA 95355</t>
  </si>
  <si>
    <t>(209) 526-4500</t>
  </si>
  <si>
    <t>Memorialcare Saddleback Medical Center</t>
  </si>
  <si>
    <t>24451 Health Center Drive, Laguna Hills, CA 92653</t>
  </si>
  <si>
    <t>Mendocino Coast District Hospital</t>
  </si>
  <si>
    <t>700 River Dr, Fort Bragg, CA 95437</t>
  </si>
  <si>
    <t>Menifee Valley Medical Center</t>
  </si>
  <si>
    <t>28400 Mccall B0Ulevard, Sun City, CA 92585</t>
  </si>
  <si>
    <t>Menlo Park Surgical Hospital</t>
  </si>
  <si>
    <t>570 Willow Road, Menlo Park, CA 94025</t>
  </si>
  <si>
    <t>Mercy General Hospital</t>
  </si>
  <si>
    <t>4001 J St, Sacramento, CA 95819</t>
  </si>
  <si>
    <t>Mercy Hospital</t>
  </si>
  <si>
    <t>2215 Truxtun Avenue, Bakersfield, CA 93301</t>
  </si>
  <si>
    <t>Mercy Hospital Of Folsom</t>
  </si>
  <si>
    <t>1650 Creekside Drive, Folsom, CA 95630</t>
  </si>
  <si>
    <t>Mercy Medical Center</t>
  </si>
  <si>
    <t>333 Mercy Avenue, Merced, CA 95340</t>
  </si>
  <si>
    <t>Mercy Medical Center Mt Shasta</t>
  </si>
  <si>
    <t>914 Pine Street, Mount Shasta, CA 96067</t>
  </si>
  <si>
    <t>Mercy Medical Center Redding</t>
  </si>
  <si>
    <t>2175 Rosaline Ave, Clairmont Hgts, Redding, CA 96001</t>
  </si>
  <si>
    <t>Mercy San Juan Medical Center</t>
  </si>
  <si>
    <t>6501 Coyle Ave, Carmichael, CA 95608</t>
  </si>
  <si>
    <t>Methodist Hospital Of Sacramento</t>
  </si>
  <si>
    <t>7500 Hospital Drive, Sacramento, CA 95823</t>
  </si>
  <si>
    <t>Methodist Hospital Of Southern Ca</t>
  </si>
  <si>
    <t>300 W Huntington Dr, Arcadia, CA 91006</t>
  </si>
  <si>
    <t>Mills-Peninsula Medical Center</t>
  </si>
  <si>
    <t>1501 Trousdale Drive, Burlingame, CA 94010</t>
  </si>
  <si>
    <t>Miracle Mile Medical Center</t>
  </si>
  <si>
    <t>6000 San Vicente Blvd, Los Angeles, CA 90036</t>
  </si>
  <si>
    <t>Mission Community Hospital</t>
  </si>
  <si>
    <t>14850 Roscoe Blvd, Panorama City, CA 91402</t>
  </si>
  <si>
    <t>Mission Hospital Regional Medical Center</t>
  </si>
  <si>
    <t>27700 Medical Center Rd., Mission Viejo, CA 92691</t>
  </si>
  <si>
    <t>(949) 364-1400</t>
  </si>
  <si>
    <t>Modoc Medical Center</t>
  </si>
  <si>
    <t>228 W Mcdowell Ave, Alturas, CA 96101</t>
  </si>
  <si>
    <t>Montclair Hospital Medical Center</t>
  </si>
  <si>
    <t>5000 San Bernardino St, Montclair, CA 91763</t>
  </si>
  <si>
    <t>Ground Time hh:mm</t>
  </si>
  <si>
    <t>Helipad
Adventist + Rideout Health</t>
  </si>
  <si>
    <t>"726 4th Street, Marysville, CA 95901"</t>
  </si>
  <si>
    <t>"2,419.80"</t>
  </si>
  <si>
    <t>"1600 West Avenue J, Lancaster, CA 93534"</t>
  </si>
  <si>
    <t>"2,349.70"</t>
  </si>
  <si>
    <t>"400 N. Pepper Ave., Colton, CA 92324"</t>
  </si>
  <si>
    <t>"2,324.40"</t>
  </si>
  <si>
    <t>Yes
Barton Memorial Hospital</t>
  </si>
  <si>
    <t>"2170 South Ave., South Lake Tahoe, CA 96150"</t>
  </si>
  <si>
    <t>"2,340.50"</t>
  </si>
  <si>
    <t>"8700 Beverly Blvd., Los Angeles, CA 90048"</t>
  </si>
  <si>
    <t>"2,379.50"</t>
  </si>
  <si>
    <t>"2823 Fresno St., Fresno, CA 93721"</t>
  </si>
  <si>
    <t>"2,380.70"</t>
  </si>
  <si>
    <t>Yes
Dignity Health California Hospital Medical Center</t>
  </si>
  <si>
    <t>"1401 S. Grand Ave., Los Angeles, CA 90015"</t>
  </si>
  <si>
    <t>"2,374.50"</t>
  </si>
  <si>
    <t>"1400 E Church Street, Santa Maria, CA 93454"</t>
  </si>
  <si>
    <t>"2,462.90"</t>
  </si>
  <si>
    <t>"914 Pine St., Mount Shasta, CA 96067"</t>
  </si>
  <si>
    <t>"2,414.00"</t>
  </si>
  <si>
    <t>"2175 Rosaline Ave, Redding, CA 96001"</t>
  </si>
  <si>
    <t>"2,432.00"</t>
  </si>
  <si>
    <t>"6501 Coyle Ave., Carmichael, CA 95608"</t>
  </si>
  <si>
    <t>"2,415.50"</t>
  </si>
  <si>
    <t>"18300 Roscoe Blvd., Northridge, CA 91328"</t>
  </si>
  <si>
    <t>(818) 885-8500</t>
  </si>
  <si>
    <t>"2,383.40"</t>
  </si>
  <si>
    <t>"2550 Sr. Mary Columba Dr., Red Bluff, CA 96080"</t>
  </si>
  <si>
    <t>"2,431.30"</t>
  </si>
  <si>
    <t>"1050 Linden Ave, Long Beach, CA 90813"</t>
  </si>
  <si>
    <t>"2,377.90"</t>
  </si>
  <si>
    <t>"1441 Florida Ave., Modesto, CA 95350"</t>
  </si>
  <si>
    <t>"2,422.30"</t>
  </si>
  <si>
    <t>"1531 Esplanade, Chico, CA 95926"</t>
  </si>
  <si>
    <t>"2,420.30"</t>
  </si>
  <si>
    <t>"1000 W Carson St, Torrance, CA 90502"</t>
  </si>
  <si>
    <t>"2,382.10"</t>
  </si>
  <si>
    <t>"23845 McBean Parkway, Valencia, CA 91355"</t>
  </si>
  <si>
    <t>"2,379.30"</t>
  </si>
  <si>
    <t>"1411 East 31st St., Oakland, CA 94602"</t>
  </si>
  <si>
    <t>"2,484.60"</t>
  </si>
  <si>
    <t>"100 W. California Blvd., Pasadena, CA 91105"</t>
  </si>
  <si>
    <t>"2,365.50"</t>
  </si>
  <si>
    <t>"36485 Inland Valley Rd, Wildomar, CA 92595"</t>
  </si>
  <si>
    <t>"2,332.90"</t>
  </si>
  <si>
    <t>"1601 Ygnacio Valley Road, Walnut Creek, CA 94598"</t>
  </si>
  <si>
    <t>"2,471.70"</t>
  </si>
  <si>
    <t>"1 Quality Drive, Vacaville, CA 95688"</t>
  </si>
  <si>
    <t>"2,455.00"</t>
  </si>
  <si>
    <t>"6600 Bruceville Road, Sacramento, CA 95823"</t>
  </si>
  <si>
    <t>"2,425.80"</t>
  </si>
  <si>
    <t>"400 W Mineral King Avenue, Visalia, CA 93291"</t>
  </si>
  <si>
    <t>(559) 624-2867</t>
  </si>
  <si>
    <t>"2,365.40"</t>
  </si>
  <si>
    <t>"1200 N. State St., Los Angeles, CA 90033"</t>
  </si>
  <si>
    <t>"2,370.80"</t>
  </si>
  <si>
    <t>Yes
Loma Linda University Medical Center</t>
  </si>
  <si>
    <t>"11234 Anderson St, Loma Linda, CA 92354"</t>
  </si>
  <si>
    <t>"2,320.50"</t>
  </si>
  <si>
    <t>"2801 Atlantic Ave., Long Beach, CA 90806"</t>
  </si>
  <si>
    <t>"2,377.10"</t>
  </si>
  <si>
    <t>"215 West Janss Road, Thousand Oaks, CA 91360"</t>
  </si>
  <si>
    <t>"2,402.50"</t>
  </si>
  <si>
    <t>"250 Bon Air Rd., L103, Greenbrae, CA 94904"</t>
  </si>
  <si>
    <t>"2,497.20"</t>
  </si>
  <si>
    <t>"1100 Marshall Way, Placerville, CA 95667"</t>
  </si>
  <si>
    <t>"2,386.60"</t>
  </si>
  <si>
    <t>"1700 Coffee Rd., Modesto, CA 95355"</t>
  </si>
  <si>
    <t>"2,421.00"</t>
  </si>
  <si>
    <t>"27700 Medical Center Rd., Mission Viejo, CA 92691"</t>
  </si>
  <si>
    <t>"2,356.70"</t>
  </si>
  <si>
    <t>"1441 Consitution Blvd., Salinas, CA 93906"</t>
  </si>
  <si>
    <t>(831) 647-7611</t>
  </si>
  <si>
    <t>"2,480.50"</t>
  </si>
  <si>
    <t>"1200 B. Gale Wilson Blvd., Fairfield, CA 94533"</t>
  </si>
  <si>
    <t>(707) 646-5000</t>
  </si>
  <si>
    <t>"2,463.70"</t>
  </si>
  <si>
    <t>"1001 N. Tustin Ave., Santa Ana, CA 92705"</t>
  </si>
  <si>
    <t>(714) 835-3555</t>
  </si>
  <si>
    <t>"2,359.80"</t>
  </si>
  <si>
    <t>Yes
Palomar Medical Center</t>
  </si>
  <si>
    <t>"2185 Citracado Parkway, Escondido, CA 92029"</t>
  </si>
  <si>
    <t>(442) 281-5000</t>
  </si>
  <si>
    <t>"2,341.30"</t>
  </si>
  <si>
    <t>"15031 Rinaldi St., Mission Hills, CA 91345"</t>
  </si>
  <si>
    <t>(818) 365-8051</t>
  </si>
  <si>
    <t>"2,377.70"</t>
  </si>
  <si>
    <t>"1000 Trancas Street, Napa, CA 94558"</t>
  </si>
  <si>
    <t>(707) 252-4411</t>
  </si>
  <si>
    <t>"2,475.50"</t>
  </si>
  <si>
    <t>"225 North Jackson Ave., San Jose, CA 95116-1691"</t>
  </si>
  <si>
    <t>(408) 259-5000</t>
  </si>
  <si>
    <t>"2,475.00"</t>
  </si>
  <si>
    <t>"4445 Magnolia Avenue, Riverside, CA 92501"</t>
  </si>
  <si>
    <t>(951) 788-3000</t>
  </si>
  <si>
    <t>"2,329.00"</t>
  </si>
  <si>
    <t>"757 Westwood Plaza, Los Angeles, CA 90095"</t>
  </si>
  <si>
    <t>(310) 825-9111</t>
  </si>
  <si>
    <t>"2,383.30"</t>
  </si>
  <si>
    <t>"500 W. Hospital Rd., French Camp, CA 95231"</t>
  </si>
  <si>
    <t>(209) 468-6000</t>
  </si>
  <si>
    <t>"2,432.10"</t>
  </si>
  <si>
    <t>"West Junipero St. and, Castillo St, Santa Barbara, CA 93105"</t>
  </si>
  <si>
    <t>"2,441.00"</t>
  </si>
  <si>
    <t>"751 S. Bascom Ave., San Jose, CA 95128"</t>
  </si>
  <si>
    <t>(408) 885-5000</t>
  </si>
  <si>
    <t>"2,480.80"</t>
  </si>
  <si>
    <t>Yes
Santa Rosa Memorial Hospital</t>
  </si>
  <si>
    <t>"1165 Montgomery Dr., Santa Rosa, CA 95405"</t>
  </si>
  <si>
    <t>(707) 546-3210</t>
  </si>
  <si>
    <t>"2,494.10"</t>
  </si>
  <si>
    <t>"9888 Genessee Ave., La Jolla, CA 92037"</t>
  </si>
  <si>
    <t>(858) 626-4123</t>
  </si>
  <si>
    <t>"2,354.20"</t>
  </si>
  <si>
    <t>"4077 5th Ave., San Diego, CA 92103"</t>
  </si>
  <si>
    <t>(619) 294-8111</t>
  </si>
  <si>
    <t>"2,354.90"</t>
  </si>
  <si>
    <t>"7901 Frost St., San Diego, CA 92123"</t>
  </si>
  <si>
    <t>(858) 939 3400</t>
  </si>
  <si>
    <t>"2,353.10"</t>
  </si>
  <si>
    <t>"1010 Murray Ave, San Luis Obispo, CA 93405"</t>
  </si>
  <si>
    <t>(805) 546-7600</t>
  </si>
  <si>
    <t>"2,466.80"</t>
  </si>
  <si>
    <t>"300 Pasteur Dr., Stanford, CA 94305"</t>
  </si>
  <si>
    <t>(650) 723-4000</t>
  </si>
  <si>
    <t>"2,490.60"</t>
  </si>
  <si>
    <t>"20103 Lake Chabot Road, Castro Valley, CA 94546"</t>
  </si>
  <si>
    <t>(510) 537-1234</t>
  </si>
  <si>
    <t>"2,479.60"</t>
  </si>
  <si>
    <t>"One Medical Plaza Dr., Roseville, CA 95661"</t>
  </si>
  <si>
    <t>(916) 781-1000</t>
  </si>
  <si>
    <t>"2,409.90"</t>
  </si>
  <si>
    <t>"101 The City Drive South, Route 14, Bldg 10, Room LL013, Orange, CA 92868-3298"</t>
  </si>
  <si>
    <t>"2,361.80"</t>
  </si>
  <si>
    <t>Yes
UC San Diego Medical Center</t>
  </si>
  <si>
    <t>"200 West Arbor Drive, San Diego, CA 92103"</t>
  </si>
  <si>
    <t>(619) 543-6222</t>
  </si>
  <si>
    <t>"2,355.10"</t>
  </si>
  <si>
    <t>Yes
"University of California</t>
  </si>
  <si>
    <t xml:space="preserve"> Davis Medical Center"</t>
  </si>
  <si>
    <t>"2315 Stockton Blvd., Room 4206, Sacramento, CA 95817"</t>
  </si>
  <si>
    <t>(916) 734-2011</t>
  </si>
  <si>
    <t>"2,425.50"</t>
  </si>
  <si>
    <t>Yes
Ventura County Medical Center</t>
  </si>
  <si>
    <t>"3291 Loma Vista Rd., Ventura, CA 93003"</t>
  </si>
  <si>
    <t>(805) 652-6000</t>
  </si>
  <si>
    <t>"2,420.20"</t>
  </si>
  <si>
    <t>"1001 Potrero Ave., Ward 3A, San Francisco, CA 94110"</t>
  </si>
  <si>
    <t>(415) 206-8000</t>
  </si>
  <si>
    <t>"2,494.90"</t>
  </si>
  <si>
    <t>No
Bothin Burn Center at Saint Francis Memorial Hospital (verified)</t>
  </si>
  <si>
    <t>"900 Hyde St, San Francisco, CA"</t>
  </si>
  <si>
    <t>"2,494.70"</t>
  </si>
  <si>
    <t>No
The Grossman Burn Center at West Hills Hospital and Medical Center (verified)</t>
  </si>
  <si>
    <t>"7300 Medical Center Drive, West Hills, CA"</t>
  </si>
  <si>
    <t>(818) 676-4177</t>
  </si>
  <si>
    <t>"2,389.00"</t>
  </si>
  <si>
    <t>Yes
Torrance Memorial Medical Center Burn Center</t>
  </si>
  <si>
    <t>"1000 W Carson St, Torrance, CA"</t>
  </si>
  <si>
    <t>(310) 517-4622</t>
  </si>
  <si>
    <t>Yes*
Sutter Lakeside Hospital</t>
  </si>
  <si>
    <t>"5176 Hill Road East, Lakeport, CA 95453"</t>
  </si>
  <si>
    <t>(707) 263-5000</t>
  </si>
  <si>
    <t>"2,489.80"</t>
  </si>
  <si>
    <t>"275 Hospital Drive, Ukiah, CA 95482"</t>
  </si>
  <si>
    <t>"2,504.40"</t>
  </si>
  <si>
    <t>"One Marcela Drive, Willits, CA 95490"</t>
  </si>
  <si>
    <t>(707) 459-6801</t>
  </si>
  <si>
    <t>"2,506.30"</t>
  </si>
  <si>
    <t>"2400 South Avenue A, Yuma, AZ 85364"</t>
  </si>
  <si>
    <t>(928) 344-2000</t>
  </si>
  <si>
    <t>"2,222.30"</t>
  </si>
  <si>
    <t>"1415 Ross Avenue, El Centro, CA 92243"</t>
  </si>
  <si>
    <t>"2,268.90"</t>
  </si>
  <si>
    <t>"207 West Legion Road, Brawley, CA 92227"</t>
  </si>
  <si>
    <t>(760) 351-3333</t>
  </si>
  <si>
    <t>"2,262.50"</t>
  </si>
  <si>
    <t>"101 Civic Center Lane, Lake Havasu City, AZ 86403"</t>
  </si>
  <si>
    <t>"2,151.70"</t>
  </si>
  <si>
    <t>"1200 West Mohave Road, Parker, AZ 85344"</t>
  </si>
  <si>
    <t>"2,158.90"</t>
  </si>
  <si>
    <t>"26520 Cactus Avenue, Moreno Valley, CA 92555"</t>
  </si>
  <si>
    <t>(951) 486-4000</t>
  </si>
  <si>
    <t>"2,321.00"</t>
  </si>
  <si>
    <t>"1150 North Indian Canyon Drive, Palm Springs, CA 92262"</t>
  </si>
  <si>
    <t>"2,288.30"</t>
  </si>
  <si>
    <t>"1081 North China Lake Boulevard, Ridgecrest, CA 93555"</t>
  </si>
  <si>
    <t>(760) 446-3551</t>
  </si>
  <si>
    <t>"2,297.00"</t>
  </si>
  <si>
    <t>"500 West Hospital Road, French Camp, CA 95231"</t>
  </si>
  <si>
    <t>"1700 Mount Vernon Avenue, Bakersfield, CA 93306"</t>
  </si>
  <si>
    <t>"2,373.50"</t>
  </si>
  <si>
    <t>"444 Bruce Street, Yreka, CA 96097"</t>
  </si>
  <si>
    <t>"2,423.60"</t>
  </si>
  <si>
    <t>"700 South 'J' Street, Lakeview, OR 97630"</t>
  </si>
  <si>
    <t>"2,297.20"</t>
  </si>
  <si>
    <t>"2865 Daggett Avenue, Klamath Falls, OR 97601"</t>
  </si>
  <si>
    <t>(541) 882-6311</t>
  </si>
  <si>
    <t>"2,370.00"</t>
  </si>
  <si>
    <t>"280 Maple Street, Ashland, OR 97520"</t>
  </si>
  <si>
    <t>"2,419.20"</t>
  </si>
  <si>
    <t>"2825 East Barnett Road, Medford, OR 97504"</t>
  </si>
  <si>
    <t>"2,422.80"</t>
  </si>
  <si>
    <t>"1111 Crater Lake Avenue, Medford, OR 97504"</t>
  </si>
  <si>
    <t>(541) 732-5000</t>
  </si>
  <si>
    <t>"2,424.10"</t>
  </si>
  <si>
    <t>"500 SW Ramsey Avenue, Grants Pass, OR 97527"</t>
  </si>
  <si>
    <t>"2,447.50"</t>
  </si>
  <si>
    <t>"1155 Mill Street, Reno, NV 89502"</t>
  </si>
  <si>
    <t>(775) 982-4100</t>
  </si>
  <si>
    <t>"2,316.80"</t>
  </si>
  <si>
    <t>"1800 W. Charleston Blvd, Las Vegas, NV 89102"</t>
  </si>
  <si>
    <t>(702) 383-2000</t>
  </si>
  <si>
    <t>"2,149.70"</t>
  </si>
  <si>
    <t>"All Hospitals",Address,Phone,Lat,Lng,Air Miles,Air Time hh:mm,Ground Miles,Ground Time hh:mm,Trauma,Burn,Helipad
Adventist + Rideout Health,"726 4th Street, Marysville, CA 95901",(530) 749-4300,39.1382,-121.5942,"2,419.80",17:55,430.16,6:37,Level 3,,Yes
Antelope Valley Hospital,"1600 West Avenue J, Lancaster, CA 93534",(661) 949-5000,34.6885,-118.1585,"2,349.70",17:24,83.8,1:25,Level 2,,Yes
Arrowhead Regional Medical Center,"400 N. Pepper Ave., Colton, CA 92324",(909) 580-1000,34.0741,-117.3511,"2,324.40",17:13,124.37,2:15,Level 2,Yes,Yes
Barton Memorial Hospital,"2170 South Ave., South Lake Tahoe, CA 96150",(530) 541-3420,38.9122,-119.9966,"2,340.50",17:20,317.55,5:33,Level 3,,Yes
Cedars-Sinai Medical Center,"8700 Beverly Blvd., Los Angeles, CA 90048",(310) 423-5000,34.0752,-118.3802,"2,379.50",17:37,152.18,2:36,Level 1,,Yes
Community Regional Medical Center,"2823 Fresno St., Fresno, CA 93721",(559) 459-6000,36.7429,-119.7844,"2,380.70",17:38,221.95,3:29,Level 1,Yes,Yes
Dignity Health California Hospital Medical Center,"1401 S. Grand Ave., Los Angeles, CA 90015",(213) 748-2411,34.0375,-118.2661,"2,374.50",17:35,156.27,2:36,Level 2,,Yes
Dignity Health Marian Regional Medical Center,"1400 E Church Street, Santa Maria, CA 93454",(805) 739-3000,34.9509,-120.4132,"2,462.90",18:14,218.34,3:51,Level 3,,Yes
Dignity Health Mercy Medical Center Mt. Shasta,"914 Pine St., Mount Shasta, CA 96067",(530) 926-6111,41.3187,-122.3209,"2,414.00",17:52,609.85,9:23,Level 3,,Yes
Dignity Health Mercy Medical Center Redding,"2175 Rosaline Ave, Redding, CA 96001",(530) 225-6000,40.572,-122.3952,"2,432.00",18:00,552.37,8:29,Level 2,,Yes
Dignity Health Mercy San Juan Medical Center,"6501 Coyle Ave., Carmichael, CA 95608",(916) 537-5000,38.6693,-121.314,"2,415.50",17:53,400.34,6:13,Level 2,,Yes
Dignity Health Northridge Hospital Medical Center,"18300 Roscoe Blvd., Northridge, CA 91328",(818) 885-8500,34.2208,-118.5331,"2,383.40",17:39,138.28,2:15,Level 2,,Yes
Dignity Health St. Elizabeth Community Hospital,"2550 Sr. Mary Columba Dr., Red Bluff, CA 96080",(530) 529-8000,40.1486,-122.219,"2,431.30",18:00,518.05,7:53,Level 3,,Yes
Dignity Health St. Mary Medical Center,"1050 Linden Ave, Long Beach, CA 90813",(562) 491-9000,33.78,-118.186,"2,377.90",17:36,175.6,2:53,Level 2,,Yes
Doctors Medical Center,"1441 Florida Ave., Modesto, CA 95350",(209) 578-1211,37.6658,-120.9973,"2,422.30",17:56,318,4:58,Level 2,,yes
Enloe Medical Center,"1531 Esplanade, Chico, CA 95926",(530) 332-7300,39.7426,-121.8497,"2,420.30",17:55,476.54,7:32,Level 2,,Yes
Harbor UCLA Medical Center,"1000 W Carson St, Torrance, CA 90502",(310) 222-2345,33.8308,-118.2926,"2,382.10",17:38,167.74,2:42,Level 1,,Yes
Henry Mayo Newhall Memorial Hospital,"23845 McBean Parkway, Valencia, CA 91355",(661) 253-8000,34.3979,-118.5539,"2,379.30",17:37,132.97,2:08,Level 2,,Yes
Highland Hospital/A member of Alameda Health System,"1411 East 31st St., Oakland, CA 94602",(510) 437-4800,37.7986,-122.2317,"2,484.60",18:24,383.14,5:56,Level 1,,No
Huntington Memorial Hospital,"100 W. California Blvd., Pasadena, CA 91105",(626) 397-5000,34.1339,-118.1521,"2,365.50",17:31,154.06,2:26,Level 2,,Yes
Inland Valley Medical Center,"36485 Inland Valley Rd, Wildomar, CA 92595",(951) 677-1111,33.5917,-117.2377,"2,332.90",17:16,163.15,2:49,Level 2,,Yes
John Muir/Walnut Creek Medical Center,"1601 Ygnacio Valley Road, Walnut Creek, CA 94598",(925) 939-3000,37.9129,-122.0409,"2,471.70",18:18,379.66,5:55,Level 2,,Yes
Kaiser Foundation Hospital - Vacaville,"1 Quality Drive, Vacaville, CA 95688",(707) 624-2275,38.3882,-121.9388,"2,455.00",18:11,416.89,6:25,Level 2,,Yes
Kaiser Permanente South Sacramento,"6600 Bruceville Road, Sacramento, CA 95823",(916) 688-2430,38.4699,-121.4216,"2,425.80",17:58,379.97,5:54,Level 2,,Yes
Kaweah Delta Medical Center,"400 W Mineral King Avenue, Visalia, CA 93291",(559) 624-2867,36.3286,-119.295,"2,365.40",17:31,190.85,3:01,Level 3,,Yes
LAC + USC Medical Center,"1200 N. State St., Los Angeles, CA 90033",(323) 226-2622,34.0581,-118.2087,"2,370.80",17:33,153.31,2:30,Level 1,Yes,Yes
Loma Linda University Medical Center,"11234 Anderson St, Loma Linda, CA 92354",(909) 558-4000,34.0495,-117.2642,"2,320.50",17:11,124.2,2:17,Level 1,,Yes
Long Beach Memorial Medical Center,"2801 Atlantic Ave., Long Beach, CA 90806",(562) 933-2000,33.8085,-118.186,"2,377.10",17:36,173.28,2:48,Level 2,,Yes
Los Robles Hospital &amp; Medical Center,"215 West Janss Road, Thousand Oaks, CA 91360",(805) 497-2727,34.2068,-118.8831,"2,402.50",17:47,164.03,2:35,Level 2,,Yes
MarinHealth Medical Center,"250 Bon Air Rd., L103, Greenbrae, CA 94904",(415) 925-7000,37.9474,-122.536,"2,497.20",18:29,405.87,6:23,Level 3,,No
Marshall Medical Center,"1100 Marshall Way, Placerville, CA 95667",(530) 622-1441,38.7247,-120.7917,"2,386.60",17:40,364.65,6:27,Level 3,,No
Memorial Medical Center,"1700 Coffee Rd., Modesto, CA 95355",(209) 526-4500,37.6686,-120.9746,"2,421.00",17:56,317.65,5:01,Level 2,,Yes
Mission Hospital Regional Medical Center,"27700 Medical Center Rd., Mission Viejo, CA 92691",(949) 364-1400,33.5619,-117.6651,"2,356.70",17:27,170.37,2:57,Level 2,,Yes
Natividad Medical Center,"1441 Consitution Blvd., Salinas, CA 93906",(831) 647-7611,36.6967,-121.6331,"2,480.50",18:22,319.04,5:12,Level 2,,Yes
NorthBay Medical Center,"1200 B. Gale Wilson Blvd., Fairfield, CA 94533",(707) 646-5000,38.262,-122.0473,"2,463.70",18:15,408.47,6:20,Level 2,,Yes
Orange County Global Medical Center,"1001 N. Tustin Ave., Santa Ana, CA 92705",(714) 835-3555,33.7543,-117.8328,"2,359.80",17:28,158.04,2:46,Level 2,Yes,Yes
Palomar Medical Center,"2185 Citracado Parkway, Escondido, CA 92029",(442) 281-5000,33.0979,-117.1109,"2,341.30",17:20,196.39,3:21,Level 2,,Yes
Providence Holy Cross Medical Center,"15031 Rinaldi St., Mission Hills, CA 91345",(818) 365-8051,34.2798,-118.46,"2,377.70",17:36,132.04,2:07,Level 2,,Yes
Queen of the Valley Medical Center,"1000 Trancas Street, Napa, CA 94558",(707) 252-4411,38.3245,-122.2971,"2,475.50",18:20,418.49,6:32,Level 3,,Yes
Regional Medical Center,"225 North Jackson Ave., San Jose, CA 95116-1691",(408) 259-5000,37.3622,-121.849,"2,475.00",18:20,354.64,5:37,Level 2,,Yes
Riverside Community Hospital,"4445 Magnolia Avenue, Riverside, CA 92501",(951) 788-3000,33.9772,-117.3816,"2,329.00",17:15,129.15,2:20,Level 2,,Yes
Ronald Reagan UCLA Medical Center,"757 Westwood Plaza, Los Angeles, CA 90095",(310) 825-9111,34.0665,-118.4466,"2,383.30",17:39,147.34,2:25,Level 1,,Yes
San Joaquin General Hospital,"500 W. Hospital Rd., French Camp, CA 95231",(209) 468-6000,37.8867,-121.2826,"2,432.10",18:00,339.81,5:19,Level 3,,Yes
Santa Barbara Cottage Hospital,"West Junipero St. and, Castillo St, Santa Barbara, CA 93105",,34.4305,-119.7242,"2,441.00",18:04,209.6,3:22,Level 1,,Yes
Santa Clara Valley Medical Center,"751 S. Bascom Ave., San Jose, CA 95128",(408) 885-5000,37.3129,-121.9333,"2,480.80",18:22,357,5:41,Level 1,Yes,Yes
Santa Rosa Memorial Hospital,"1165 Montgomery Dr., Santa Rosa, CA 95405",(707) 546-3210,38.4438,-122.7011,"2,494.10",18:28,443.03,6:56,Level 2,,Yes
Scripps Memorial Hospital,"9888 Genessee Ave., La Jolla, CA 92037",(858) 626-4123,32.8852,-117.2255,"2,354.20",17:26,219.02,3:40,Level 2,,Yes
Scripps Mercy Hospital,"4077 5th Ave., San Diego, CA 92103",(619) 294-8111,32.7516,-117.1604,"2,354.90",17:26,221.95,3:42,Level 1,,Yes
Sharp Memorial Hospital,"7901 Frost St., San Diego, CA 92123",(858) 939 3400,32.7997,-117.1546,"2,353.10",17:25,219.43,3:40,Level 2,,Yes
Sierra Vista Regional Medical Center,"1010 Murray Ave, San Luis Obispo, CA 93405",(805) 546-7600,35.2922,-120.6658,"2,466.80",18:16,249.66,4:08,Level 3,,Yes
Stanford Health Care,"300 Pasteur Dr., Stanford, CA 94305",(650) 723-4000,37.4331,-122.175,"2,490.60",18:26,374.21,5:57,Level 1,,Yes
Sutter Health Eden Medical Center,"20103 Lake Chabot Road, Castro Valley, CA 94546",(510) 537-1234,37.6983,-122.0903,"2,479.60",18:22,371.37,5:46,Level 2,,Yes
Sutter Roseville Medical Center,"One Medical Plaza Dr., Roseville, CA 95661",(916) 781-1000,38.766,-121.2496,"2,409.90",17:51,406.09,6:18,Level 2,,Yes
UC Irvine Health,"101 The City Drive South, Route 14, Bldg 10, Room LL013, Orange, CA 92868-3298",,33.7873,-117.8883,"2,361.80",17:29,158.07,2:50,Level 1,Yes,Yes
UC San Diego Medical Center,"200 West Arbor Drive, San Diego, CA 92103",(619) 543-6222,32.7543,-117.1661,"2,355.10",17:26,222.28,3:44,Level 1,Yes,Yes
"University of California, Davis Medical Center","2315 Stockton Blvd., Room 4206, Sacramento, CA 95817",(916) 734-2011,38.5549,-121.4546,"2,425.50",17:58,387.92,6:03,Level 1,Yes,Yes
Ventura County Medical Center,"3291 Loma Vista Rd., Ventura, CA 93003",(805) 652-6000,34.277,-119.2521,"2,420.20",17:55,177.76,2:55,Level 2,,Yes
Zuckerberg San Francisco General Hospital and Trauma Center,"1001 Potrero Ave., Ward 3A, San Francisco, CA 94110",(415) 206-8000,37.7557,-122.4047,"2,494.90",18:28,397.17,6:14,Level 1,Yes,No
Bothin Burn Center at Saint Francis Memorial Hospital (verified),"900 Hyde St, San Francisco, CA",(415) 353-6255,37.7894,-122.4167,"2,494.70",18:28,395.44,6:16,None,Yes,No
The Grossman Burn Center at West Hills Hospital and Medical Center (verified),"7300 Medical Center Drive, West Hills, CA",(818) 676-4177,34.2029,-118.6288,"2,389.00",17:41,146.74,2:27,,Yes,Yes
Torrance Memorial Medical Center Burn Center,"1000 W Carson St, Torrance, CA",(310) 517-4622,33.8308,-118.2926,"2,382.10",17:38,167.74,2:42,Level 1,Yes,Yes*
Sutter Lakeside Hospital,"5176 Hill Road East, Lakeport, CA 95453",(707) 263-5000,39.1047,-122.907,"2,489.80",18:26,508.37,8:05,Level 4,,Yes
Adventist Health Ukiah Valley Medical Center,"275 Hospital Drive, Ukiah, CA 95482",(707) 462-3111,39.1531,-123.2029,"2,504.40",18:33,502.59,7:50,Level 4,,Yes
Frank R. Howard Memorial Hospital,"One Marcela Drive, Willits, CA 95490",(707) 459-6801,39.3899,-123.3389,"2,506.30",18:33,523.43,8:09,Level 4,,Yes
Yuma Regional Medical Center,"2400 South Avenue A, Yuma, AZ 85364",(928) 344-2000,32.6819,-114.6354,"2,222.30",16:27,338.4,5:34,Level 4,,Yes
El Centro Regional Medical Center,"1415 Ross Avenue, El Centro, CA 92243",(760) 339-7100,32.7804,-115.5686,"2,268.90",16:48,278.62,4:37,Level 4,,Yes
Pioneers Memorial Healthcare District,"207 West Legion Road, Brawley, CA 92227",(760) 351-3333,32.9587,-115.5544,"2,262.50",16:45,264.83,4:25,Level 4,,Yes
Havasu Regional Medical Center,"101 Civic Center Lane, Lake Havasu City, AZ 86403",(928) 855-8185,34.4804,-114.3389,"2,151.70",15:56,266.68,4:19,Level 3,,Yes
La Paz Regional Hospital,"1200 West Mohave Road, Parker, AZ 85344",(928) 669-9201,34.1356,-114.2848,"2,158.90",15:59,292.65,4:45,Level 4,,Yes
Riverside University Health System - Medical Center,"26520 Cactus Avenue, Moreno Valley, CA 92555",(951) 486-4000,33.9121,-117.1957,"2,321.00",17:11,140.03,2:31,Level 2,,Yes
Desert Regional Medical Center,"1150 North Indian Canyon Drive, Palm Springs, CA 92262",(760) 323-6511,33.8387,-116.5435,"2,288.30",16:57,171.09,2:57,Level 2,,Yes
Ridgecrest Regional Hospital,"1081 North China Lake Boulevard, Ridgecrest, CA 93555",(760) 446-3551,35.6409,-117.6712,"2,297.00",17:00,1.41,0:04,Level 4,,Yes
San Joaquin General Hospital,"500 West Hospital Road, French Camp, CA 95231",(209) 468-6000,37.8867,-121.2826,"2,432.10",18:00,339.81,5:19,Level 3,,Yes
Kern Medical Center,"1700 Mount Vernon Avenue, Bakersfield, CA 93306",(661) 326-2000,35.3829,-118.9705,"2,373.50",17:34,110.1,1:53,Level 2,,Yes
Fairchild Medical Center,"444 Bruce Street, Yreka, CA 96097",(530) 842-4121,41.7193,-122.6457,"2,423.60",17:57,645.25,9:57,Level 4,,Lawn
Lake District Hospital,"700 South 'J' Street, Lakeview, OR 97630",(541) 947-2114,42.1811,-120.3526,"2,297.20",17:00,562.6,9:19,Level 4,,Yes
Sky Lakes Medical Center,"2865 Daggett Avenue, Klamath Falls, OR 97601",(541) 882-6311,42.2529,-121.785,"2,370.00",17:33,593.3,9:58,Level 3,,Yes
Asante Ashland Community Hospital,"280 Maple Street, Ashland, OR 97520",(541) 201-4000,42.206,-122.725,"2,419.20",17:55,688.85,10:42,Level 4,,No
Asante Rogue Regional Medical Center,"2825 East Barnett Road, Medford, OR 97504",(541) 789-7000,42.3175,-122.8312,"2,422.80",17:56,695.91,10:48,Level 2,,Yes
Providence Medford Medical Center,"1111 Crater Lake Avenue, Medford, OR 97504",(541) 732-5000,42.3396,-122.8626,"2,424.10",17:57,697.33,10:52,Level 3,,Yes
Asante Three Rivers Medical Center,"500 SW Ramsey Avenue, Grants Pass, OR 97527",(541) 472-7000,42.4212,-123.3426,"2,447.50",18:07,726.37,11:19,Level 4,,No
Renown Regional Medical Center,"1155 Mill Street, Reno, NV 89502",(775) 982-4100,39.5255,-119.7952,"2,316.80",17:09,339.38,5:45,Level 2,,Yes
University Medical Center of Southern NV,"1800 W. Charleston Blvd, Las Vegas, NV 89102",(702) 383-2000,36.1609,-115.1681,"2,149.70",15:55,236.78,3:39,Level 1,</t>
  </si>
  <si>
    <t>"All Hospitals"</t>
  </si>
  <si>
    <t>Monterey Park Hospital</t>
  </si>
  <si>
    <t>900 S Atlantic Blvd, Monterey Park, CA 91754</t>
  </si>
  <si>
    <t>Mountains Community Hospital</t>
  </si>
  <si>
    <t>29101 Hospital Road, Lake Arrowhead, CA 92352</t>
  </si>
  <si>
    <t>Natividad Medical Center</t>
  </si>
  <si>
    <t>1441 Consitution Blvd., Salinas, CA 93906</t>
  </si>
  <si>
    <t>(831) 755-4111</t>
  </si>
  <si>
    <t>NorthBay Medical Center</t>
  </si>
  <si>
    <t>1200 B. Gale Wilson Blvd., Fairfield, CA 94533</t>
  </si>
  <si>
    <t>Northern Inyo Hospital</t>
  </si>
  <si>
    <t>150 Pioneer Lane, Bishop, CA 93514</t>
  </si>
  <si>
    <t>Northridge Hospital Medical Center</t>
  </si>
  <si>
    <t>18300 Roscoe Blvd, Northridge, CA 91325</t>
  </si>
  <si>
    <t>Novato Community Hospital</t>
  </si>
  <si>
    <t>180 Rowland Way, Novato, CA 94945</t>
  </si>
  <si>
    <t>(415) 209-1300</t>
  </si>
  <si>
    <t>O'Connor Hospital</t>
  </si>
  <si>
    <t>2105 Forest Avenue, San Jose, CA 95128</t>
  </si>
  <si>
    <t>Oak Valley Hospital District</t>
  </si>
  <si>
    <t>350 S Oak Ave, Oakdale, CA 95361</t>
  </si>
  <si>
    <t>Ojai Valley Community Hospital</t>
  </si>
  <si>
    <t>1306 Maricopa Hwy, Ojai, CA 93023</t>
  </si>
  <si>
    <t>Olympia Medical Center</t>
  </si>
  <si>
    <t>5900 West Olympic Boulevard, Los Angeles, CA 90036</t>
  </si>
  <si>
    <t>Orange Coast Memorial Medical Center</t>
  </si>
  <si>
    <t>9920 Talbert Avenue, Fountain Valley, CA 92708</t>
  </si>
  <si>
    <t>Orange County Global Medical Center</t>
  </si>
  <si>
    <t>1001 N. Tustin Ave., Santa Ana, CA 92705</t>
  </si>
  <si>
    <t>(714) 953-3500</t>
  </si>
  <si>
    <t>Pacific Alliance Medical Center</t>
  </si>
  <si>
    <t>531 W College St, Los Angeles, CA 90012</t>
  </si>
  <si>
    <t>Pacifica Hospital Of The Valley</t>
  </si>
  <si>
    <t>9449 San Fernando Rd, Sun Valley, CA 91352</t>
  </si>
  <si>
    <t>Palmdale Regional Medical Center</t>
  </si>
  <si>
    <t>38600 Medical Center Drive, Palmdale, CA 93552</t>
  </si>
  <si>
    <t>Palo Verde Hospital</t>
  </si>
  <si>
    <t>250 North First Street, Blythe, CA 92225</t>
  </si>
  <si>
    <t>Palomar Health Downtown Campus</t>
  </si>
  <si>
    <t>555 East Valley Parkway, Escondido, CA 92025</t>
  </si>
  <si>
    <t>Palomar Medical Center</t>
  </si>
  <si>
    <t>2185 Citracado Parkway, Escondido, CA 92029</t>
  </si>
  <si>
    <t>Paradise Valley Hospital</t>
  </si>
  <si>
    <t>2400 East 4Th St, National City, CA 91950</t>
  </si>
  <si>
    <t>Parkview Community Hospital Medical Center</t>
  </si>
  <si>
    <t>3865 Jackson Street, Riverside, CA 92503</t>
  </si>
  <si>
    <t>Patients' Hospital Of Redding</t>
  </si>
  <si>
    <t>2900 Eureka Way, Redding, CA 96001</t>
  </si>
  <si>
    <t>Petaluma Valley Hospital</t>
  </si>
  <si>
    <t>400 N Mcdowell Blvd, Petaluma, CA 94954</t>
  </si>
  <si>
    <t>Pih Health Hospital-Whittier</t>
  </si>
  <si>
    <t>12401 Washington Blvd, Whittier, CA 90602</t>
  </si>
  <si>
    <t>Pih Hospital - Downey</t>
  </si>
  <si>
    <t>11500 Brookshire Avenue, Downey, CA 90241</t>
  </si>
  <si>
    <t>Pioneers Memorial Healthcare District</t>
  </si>
  <si>
    <t>207 West Legion Road, Brawley, CA 92227</t>
  </si>
  <si>
    <t>Placentia Linda Hospital</t>
  </si>
  <si>
    <t>1301 N Rose Drive, Placentia, CA 92870</t>
  </si>
  <si>
    <t>Plumas District Hospital</t>
  </si>
  <si>
    <t>1065 Bucks Lake Road, Quincy, CA 95971</t>
  </si>
  <si>
    <t>Pomerado Hospital</t>
  </si>
  <si>
    <t>15615 Pomerado Road, Poway, CA 92064</t>
  </si>
  <si>
    <t>Pomona Valley Hospital Medical Center</t>
  </si>
  <si>
    <t>1798 N Garey Ave, Pomona, CA 91767</t>
  </si>
  <si>
    <t>Porterville Developmental Center</t>
  </si>
  <si>
    <t>26501 Avenue 140, Porterville, CA 93257</t>
  </si>
  <si>
    <t>Providence Holy Cross Medical Center</t>
  </si>
  <si>
    <t>15031 Rinaldi St., Mission Hills, CA 91345</t>
  </si>
  <si>
    <t>Providence Little Co Of Mary Med Ctr San Pedro</t>
  </si>
  <si>
    <t>1300 W 7Th St, San Pedro, CA 90732</t>
  </si>
  <si>
    <t>Providence Little Company Of Mary Med Ctr Torrance</t>
  </si>
  <si>
    <t>4101 Torrance Blvd, Torrance, CA 90503</t>
  </si>
  <si>
    <t>Providence Medford Medical Center</t>
  </si>
  <si>
    <t>1111 Crater Lake Avenue, Medford, OR 97504</t>
  </si>
  <si>
    <t>Providence Saint John'S Health Center</t>
  </si>
  <si>
    <t>2121 Santa Monica Blvd, Santa Monica, CA 90404</t>
  </si>
  <si>
    <t>Providence Saint Joseph Medical Ctr</t>
  </si>
  <si>
    <t>501 South Buena Vista Street, Burbank, CA 91505</t>
  </si>
  <si>
    <t>Providence Tarzana Medical Center</t>
  </si>
  <si>
    <t>18321 Clark Street, Tarzana, CA 91356</t>
  </si>
  <si>
    <t>Queen of the Valley Medical Center</t>
  </si>
  <si>
    <t>1000 Trancas Street, Napa, CA 94558</t>
  </si>
  <si>
    <t>Redlands Community Hospital</t>
  </si>
  <si>
    <t>350 Terracina Blvd, Redlands, CA 92373</t>
  </si>
  <si>
    <t>Redwood Memorial Hospital</t>
  </si>
  <si>
    <t>3300 Renner Drive, Fortuna, CA 95540</t>
  </si>
  <si>
    <t>Regional Medical Center</t>
  </si>
  <si>
    <t>225 North Jackson Ave., San Jose, CA 95116-1691</t>
  </si>
  <si>
    <t>Renown Regional Medical Center</t>
  </si>
  <si>
    <t>1155 Mill Street, Reno, NV 89502</t>
  </si>
  <si>
    <t>Ridgecrest Regional Hospital</t>
  </si>
  <si>
    <t>1081 North China Lake Boulevard, Ridgecrest, CA 93555</t>
  </si>
  <si>
    <t>Riverside Community Hospital</t>
  </si>
  <si>
    <t>4445 Magnolia Avenue, Riverside, CA 92501</t>
  </si>
  <si>
    <t>Riverside University Health System - Medical Center</t>
  </si>
  <si>
    <t>26520 Cactus Avenue, Moreno Valley, CA 92555</t>
  </si>
  <si>
    <t>Ronald Reagan U C L A Medical Center</t>
  </si>
  <si>
    <t>757 Westwood Plaza, Los Angeles, CA 90095</t>
  </si>
  <si>
    <t>Ronald Reagan UCLA Medical Center</t>
  </si>
  <si>
    <t>Saint Agnes Medical Center</t>
  </si>
  <si>
    <t>1303 E Herndon Ave, Fresno, CA 93710</t>
  </si>
  <si>
    <t>Saint Francis Medical Center</t>
  </si>
  <si>
    <t>3630 East Imperial Highway, Lynwood, CA 90262</t>
  </si>
  <si>
    <t>Saint Francis Memorial Hospital</t>
  </si>
  <si>
    <t>900 Hyde St, San Francisco, CA 94109</t>
  </si>
  <si>
    <t>Saint Vincent Medical Center</t>
  </si>
  <si>
    <t>2131 W 3Rd St, Los Angeles, CA 90057</t>
  </si>
  <si>
    <t>Salinas Valley Memorial Hospital</t>
  </si>
  <si>
    <t>450 East Romie Lane, Salinas, CA 93901</t>
  </si>
  <si>
    <t>San Antonio Regional Hospital</t>
  </si>
  <si>
    <t>999 San Bernardino Road, Upland, CA 91786</t>
  </si>
  <si>
    <t>San Dimas Community Hospital</t>
  </si>
  <si>
    <t>1350 W Covina Blvd, San Dimas, CA 91773</t>
  </si>
  <si>
    <t>San Gabriel Valley Medical Center</t>
  </si>
  <si>
    <t>438 W Las Tunas Drive, San Gabriel, CA 91776</t>
  </si>
  <si>
    <t>San Gorgonio Memorial Hospital</t>
  </si>
  <si>
    <t>600 North Highland Springs Avenue, Banning, CA 92220</t>
  </si>
  <si>
    <t>San Joaquin General Hospital</t>
  </si>
  <si>
    <t>500 West Hospital Road, French Camp, CA 95231</t>
  </si>
  <si>
    <t>San Mateo Medical Center</t>
  </si>
  <si>
    <t>222 W 39Th Ave, San Mateo, CA 94403</t>
  </si>
  <si>
    <t>Santa Barbara Cottage Hospital</t>
  </si>
  <si>
    <t>400 West Pueblo, Santa Barbara, CA 93102</t>
  </si>
  <si>
    <t>Santa Clara Valley Medical Center</t>
  </si>
  <si>
    <t>751 S. Bascom Ave., San Jose, CA 95128</t>
  </si>
  <si>
    <t>Santa Monica - Ucla Med Ctr &amp; Orthopaedic Hospital</t>
  </si>
  <si>
    <t>1250 16Th Street, Santa Monica, CA 90404</t>
  </si>
  <si>
    <t>Santa Rosa Memorial Hospital</t>
  </si>
  <si>
    <t>1165 Montgomery Dr., Santa Rosa, CA 95405</t>
  </si>
  <si>
    <t>Santa Ynez Valley Cottage Hospital</t>
  </si>
  <si>
    <t>2050 Viborg Rd, Solvang, CA 93463</t>
  </si>
  <si>
    <t>Scripps Green Hospital</t>
  </si>
  <si>
    <t>10666 North Torrey Pines Road, La Jolla, CA 92037</t>
  </si>
  <si>
    <t>Scripps Memorial Hospital</t>
  </si>
  <si>
    <t>9888 Genessee Ave., La Jolla, CA 92037</t>
  </si>
  <si>
    <t>Scripps Memorial Hospital - Encinitas</t>
  </si>
  <si>
    <t>354 Santa Fe Drive, Encinitas, CA 92024</t>
  </si>
  <si>
    <t>Scripps Mercy Hospital</t>
  </si>
  <si>
    <t>4077 5th Ave., San Diego, CA 92103</t>
  </si>
  <si>
    <t>Seneca District Hospital</t>
  </si>
  <si>
    <t>130 Brentwood Drive, Chester, CA 96020</t>
  </si>
  <si>
    <t>Sequoia Hospital</t>
  </si>
  <si>
    <t>170 Alameda De Las Pulgas, Redwood City, CA 94062</t>
  </si>
  <si>
    <t>Seton Medical Center</t>
  </si>
  <si>
    <t>1900 Sullivan Avenue, Daly City, CA 94015</t>
  </si>
  <si>
    <t>Sharp Chula Vista Medical Center</t>
  </si>
  <si>
    <t>751 Medical Center Court, Chula Vista, CA 91911</t>
  </si>
  <si>
    <t>Sharp Coronado Hospital And Hlthcr Ctr</t>
  </si>
  <si>
    <t>250 Prospect Place, Coronado, CA 92118</t>
  </si>
  <si>
    <t>Sharp Memorial Hospital</t>
  </si>
  <si>
    <t>7901 Frost St., San Diego, CA 92123</t>
  </si>
  <si>
    <t>Shasta Regional Medical Center</t>
  </si>
  <si>
    <t>1100 Butte St, Redding, CA 96001</t>
  </si>
  <si>
    <t>Sherman Oaks Hospital</t>
  </si>
  <si>
    <t>4929 Van Nuys Blvd, Sherman Oaks, CA 91403</t>
  </si>
  <si>
    <t>Sierra Nevada Memorial Hospital</t>
  </si>
  <si>
    <t>155 Glasson Way, Grass Valley, CA 95945</t>
  </si>
  <si>
    <t>Sierra View Medical Center</t>
  </si>
  <si>
    <t>465 W Putnam Ave, Porterville, CA 93257</t>
  </si>
  <si>
    <t>Sierra Vista Regional Medical Center</t>
  </si>
  <si>
    <t>1010 Murray Ave, San Luis Obispo, CA 93405</t>
  </si>
  <si>
    <t>Silver Lake Medical Center</t>
  </si>
  <si>
    <t>1711 West Temple Street, Los Angeles, CA 90026</t>
  </si>
  <si>
    <t>Sky Lakes Medical Center</t>
  </si>
  <si>
    <t>2865 Daggett Avenue, Klamath Falls, OR 97601</t>
  </si>
  <si>
    <t>Sonoma Valley Hospital</t>
  </si>
  <si>
    <t>347 Andrieux St, Sonoma, CA 95476</t>
  </si>
  <si>
    <t>South Coast Global Medical Center</t>
  </si>
  <si>
    <t>2701 S Bristol St, Santa Ana, CA 92704</t>
  </si>
  <si>
    <t>Southern California Hospital At Hollywood</t>
  </si>
  <si>
    <t>6245 De Longpre Ave, Hollywood, CA 90028</t>
  </si>
  <si>
    <t>Southern Inyo Hospital</t>
  </si>
  <si>
    <t>501 East Locust Street, Lone Pine, CA 93545</t>
  </si>
  <si>
    <t>Southwest Healthcare System</t>
  </si>
  <si>
    <t>25500 Medical Center Drive, Murrieta, CA 92562</t>
  </si>
  <si>
    <t>St Bernardine Medical Center</t>
  </si>
  <si>
    <t>2101 N Waterman Ave, San Bernardino, CA 92404</t>
  </si>
  <si>
    <t>St Elizabeth Community Hospital</t>
  </si>
  <si>
    <t>2550 Sister Mary Columba Drive, Red Bluff, CA 96080</t>
  </si>
  <si>
    <t>St Johns Pleasant Valley Hospital</t>
  </si>
  <si>
    <t>2309 Antonio Ave, Camarillo, CA 93010</t>
  </si>
  <si>
    <t>St Johns Regional Medical Center</t>
  </si>
  <si>
    <t>1600 N Rose Ave, Oxnard, CA 93030</t>
  </si>
  <si>
    <t>St Joseph Hospital</t>
  </si>
  <si>
    <t>2700 Dolbeer St, Eureka, CA 95501</t>
  </si>
  <si>
    <t>1100 West Stewart Dr, Orange, CA 92868</t>
  </si>
  <si>
    <t>St Joseph'S Medical Center Of Stockton</t>
  </si>
  <si>
    <t>1800 N California St, Stockton, CA 95204</t>
  </si>
  <si>
    <t>St Jude Medical Center</t>
  </si>
  <si>
    <t>101 E Valencia Mesa Drive, Fullerton, CA 92835</t>
  </si>
  <si>
    <t>St Louise Regional Hospital</t>
  </si>
  <si>
    <t>9400 No Name Uno, Gilroy, CA 95020</t>
  </si>
  <si>
    <t>St Mary Medical Center</t>
  </si>
  <si>
    <t>18300 Highway 18, Apple Valley, CA 92307</t>
  </si>
  <si>
    <t>St Mary'S Medical Center</t>
  </si>
  <si>
    <t>450 Stanyan St, San Francisco, CA 94117</t>
  </si>
  <si>
    <t>Stanford Health Care</t>
  </si>
  <si>
    <t>300 Pasteur Dr., Stanford, CA 94305</t>
  </si>
  <si>
    <t>Stanislaus Surgical Hospital</t>
  </si>
  <si>
    <t>1421 Oakdale Road, Modesto, CA 95355</t>
  </si>
  <si>
    <t>Surprise Valley Community Hospital</t>
  </si>
  <si>
    <t>741 North Main Street, Cedarville, CA 96104</t>
  </si>
  <si>
    <t>Sutter Auburn Faith Hospital</t>
  </si>
  <si>
    <t>11815 Education Street, Auburn, CA 95603</t>
  </si>
  <si>
    <t>Sutter Coast Hospital</t>
  </si>
  <si>
    <t>800 E Washington Blvd, Crescent City, CA 95531</t>
  </si>
  <si>
    <t>Sutter Davis Hospital</t>
  </si>
  <si>
    <t>2000 Sutter Place, Davis, CA 95616</t>
  </si>
  <si>
    <t>Sutter Delta Medical Center</t>
  </si>
  <si>
    <t>3901 Lone Tree Way, Antioch, CA 94509</t>
  </si>
  <si>
    <t>Sutter Health Eden Medical Center</t>
  </si>
  <si>
    <t>20103 Lake Chabot Road, Castro Valley, CA 94546</t>
  </si>
  <si>
    <t>Sutter Lakeside Hospital</t>
  </si>
  <si>
    <t>5176 Hill Road East, Lakeport, CA 95453</t>
  </si>
  <si>
    <t>Sutter Maternity &amp; Surgery Center Of Santa Cruz</t>
  </si>
  <si>
    <t>2900 Chanticleer Avenue, Santa Cruz, CA 95065</t>
  </si>
  <si>
    <t>Sutter Medical Center, Sacramento</t>
  </si>
  <si>
    <t>2825 Capitol Avenue, Sacramento, CA 95816</t>
  </si>
  <si>
    <t>Sutter Roseville Medical Center</t>
  </si>
  <si>
    <t>One Medical Plaza Dr.,  Roseville, CA 95661</t>
  </si>
  <si>
    <t>Sutter Santa Rosa Regional Hospital</t>
  </si>
  <si>
    <t>30 Mark West Springs Road, Santa Rosa, CA 95403</t>
  </si>
  <si>
    <t>Sutter Solano Medical Center</t>
  </si>
  <si>
    <t>300 Hospital Dr, Vallejo, CA 94589</t>
  </si>
  <si>
    <t>Sutter Surgical Hospital - North Valley</t>
  </si>
  <si>
    <t>455 Plumas Blvd, Yuba City, CA 95991</t>
  </si>
  <si>
    <t>Sutter Tracy Community Hospital</t>
  </si>
  <si>
    <t>1420 North Tracy Blvd, Tracy, CA 95376</t>
  </si>
  <si>
    <t>Tahoe Forest Hospital</t>
  </si>
  <si>
    <t>10121 Pine Ave, Truckee, CA 96161</t>
  </si>
  <si>
    <t>Temecula Valley Hospital</t>
  </si>
  <si>
    <t>31700 Temecula Pkwy, Temecula, CA 92592</t>
  </si>
  <si>
    <t>The Grossman Burn Center at West Hills Hospital and Medical Center (verified)</t>
  </si>
  <si>
    <t>7300 Medical Center Drive, West Hills, CA</t>
  </si>
  <si>
    <t>Torrance Memorial Medical Center</t>
  </si>
  <si>
    <t>3330 Lomita Blvd, Torrance, CA 90509</t>
  </si>
  <si>
    <t>Tri-City Medical Center</t>
  </si>
  <si>
    <t>4002 Vista Way, Oceanside, CA 92056</t>
  </si>
  <si>
    <t>Trinity Hospital</t>
  </si>
  <si>
    <t>60 Easter Avenue, Weaverville, CA 96093</t>
  </si>
  <si>
    <t>Twin Cities Community Hospital</t>
  </si>
  <si>
    <t>1100 Las Tablas Rd, Templeton, CA 93465</t>
  </si>
  <si>
    <t>UC Irvine Health</t>
  </si>
  <si>
    <t>101 The City Drive South, Route 14, Bldg 10, Room LL013, Orange, CA 92868-3298</t>
  </si>
  <si>
    <t>UC San Diego Health Hillcrest - Hillcrest Med Ctr</t>
  </si>
  <si>
    <t>200 West Arbor Drive, San Diego, CA 92103</t>
  </si>
  <si>
    <t>UC San Diego Medical Center</t>
  </si>
  <si>
    <t>200 West Arbor Drive,  San Diego, CA 92103</t>
  </si>
  <si>
    <t>Ucsf Medical Center</t>
  </si>
  <si>
    <t>505 Parnassus Ave, Box 0296, San Francisco, CA 94143</t>
  </si>
  <si>
    <t>University Medical Center of Southern NV</t>
  </si>
  <si>
    <t>1800 W. Charleston Blvd, Las Vegas, NV 89102</t>
  </si>
  <si>
    <t>University Of California Irvine Med Center</t>
  </si>
  <si>
    <t>101 City Drive South, Orange, CA 92868</t>
  </si>
  <si>
    <t>University of California, Davis Medical Center</t>
  </si>
  <si>
    <t>2315 Stockton Blvd., Room 4206, Sacramento, CA 95817</t>
  </si>
  <si>
    <t>USC Kenneth Norris Jr Cancer Hospital</t>
  </si>
  <si>
    <t>1441 Eastlake Ave, Los Angeles, CA 90089</t>
  </si>
  <si>
    <t>USC Verdugo Hills Hospital</t>
  </si>
  <si>
    <t>1812 Verdugo Blvd, Glendale, CA 91209</t>
  </si>
  <si>
    <t>Valley Presbyterian Hospital</t>
  </si>
  <si>
    <t>15107 Vanowen St, Van Nuys, CA 91406</t>
  </si>
  <si>
    <t>Ventura County Medical Center</t>
  </si>
  <si>
    <t>3291 Loma Vista Rd., Ventura, CA 93003</t>
  </si>
  <si>
    <t>300 Hillmont Avenue, Ventura, CA 93003</t>
  </si>
  <si>
    <t>Victor Valley Global Medical Center</t>
  </si>
  <si>
    <t>15248 11Th St, Victorville, CA 92392</t>
  </si>
  <si>
    <t>Watsonville Community Hospital</t>
  </si>
  <si>
    <t>75 Nielson Street, Watsonville, CA 95076</t>
  </si>
  <si>
    <t>West Anaheim Medical Center</t>
  </si>
  <si>
    <t>3033 W Orange Avenue, Anaheim, CA 92804</t>
  </si>
  <si>
    <t>West Covina Medical Center, Inc</t>
  </si>
  <si>
    <t>725 S Orange Ave, West Covina, CA 91790</t>
  </si>
  <si>
    <t>West Hills Hospital &amp; Medical Center</t>
  </si>
  <si>
    <t>7300 Medical Center Dr, West Hills, CA 91307</t>
  </si>
  <si>
    <t>White Memorial Medical Center</t>
  </si>
  <si>
    <t>1720 E Cesar Avenue, Los Angeles, CA 90033</t>
  </si>
  <si>
    <t>Whittier Hospital Medical Center</t>
  </si>
  <si>
    <t>9080 Colima Rd, Whittier, CA 90605</t>
  </si>
  <si>
    <t>Woodland Memorial Hospital</t>
  </si>
  <si>
    <t>1325 Cottonwood Street, Woodland, CA 95695</t>
  </si>
  <si>
    <t>Yuma Regional Medical Center</t>
  </si>
  <si>
    <t>2400 South Avenue A, Yuma, AZ 85364</t>
  </si>
  <si>
    <t>Zuckerberg San Francisco General Hospital and Trauma Center</t>
  </si>
  <si>
    <t>1001 Potrero Ave., Ward 3A, San Francisco, CA 94110</t>
  </si>
  <si>
    <t>Stanford Valley Care</t>
  </si>
  <si>
    <t>5555 W Las Positas Blvd Pleasanton CA 94588</t>
  </si>
  <si>
    <t>925-847-3000</t>
  </si>
  <si>
    <t>Washington Hospital</t>
  </si>
  <si>
    <t>2000 Mowry Ave Fremont CA 94538</t>
  </si>
  <si>
    <t>510-797-1111</t>
  </si>
  <si>
    <t>Incident Name</t>
  </si>
  <si>
    <t>Incident Commander</t>
  </si>
  <si>
    <t>Operational Period</t>
  </si>
  <si>
    <t>From</t>
  </si>
  <si>
    <t>To</t>
  </si>
  <si>
    <t>Public Information Officer</t>
  </si>
  <si>
    <t>Planning Section</t>
  </si>
  <si>
    <t>Logistics Section</t>
  </si>
  <si>
    <t>Finance Section</t>
  </si>
  <si>
    <t>Staging Area Manager</t>
  </si>
  <si>
    <t>Air Ops Branch</t>
  </si>
  <si>
    <t xml:space="preserve">SAFETY MESSAGE/PLAN (ICS 208) </t>
  </si>
  <si>
    <t>S</t>
  </si>
  <si>
    <t>T</t>
  </si>
  <si>
    <t>F</t>
  </si>
  <si>
    <t>Steep winding roads are throughout the incident. Slow down when driving on loose gravel and blind curves. Drive defensively with headlights on and use hands free devices.</t>
  </si>
  <si>
    <t>'</t>
  </si>
  <si>
    <t>E</t>
  </si>
  <si>
    <t>Working on steep, uneven terrain.  Be mindful of rolling materials.</t>
  </si>
  <si>
    <t>Y</t>
  </si>
  <si>
    <t>U</t>
  </si>
  <si>
    <t>Ensure radios are properly programmed for today's IAP and that crews are trained in communications procedures for the incident.</t>
  </si>
  <si>
    <t>P</t>
  </si>
  <si>
    <t>Maintain situational awareness. Look up, Look down, Look around</t>
  </si>
  <si>
    <t>O</t>
  </si>
  <si>
    <t>Stay hydrated!!!  Time to think = time to drink. Document rest and hydration on 214.</t>
  </si>
  <si>
    <t>Remain mindful of what is going on around you! LCES!</t>
  </si>
  <si>
    <t>HEADS UP!!!  Lookout for SNAGS when working around areas with burned trees.  Evaluate all wind damaged trees with large limbs before working under around them.</t>
  </si>
  <si>
    <t>!</t>
  </si>
  <si>
    <t>Avoid complacency!!!! Experiencing extreme fire behavior due to low live and dead fuel  moistures, persistent drought, and elevated fire danger rating values.</t>
  </si>
  <si>
    <t>5. Prepared By:</t>
  </si>
  <si>
    <t>SOFR</t>
  </si>
  <si>
    <t>/ 2030</t>
  </si>
  <si>
    <t>SAFETY MESSAGE/PLAN (ICS 208)</t>
  </si>
  <si>
    <t>4. Site Safety Plan Required?</t>
  </si>
  <si>
    <t xml:space="preserve">                      Approved Site Safety Plan(s) Located At:</t>
  </si>
  <si>
    <t>INCIDENT CHECK-IN LIST (ICS 211)</t>
  </si>
  <si>
    <t>INCIDENT CHECK-IN LIST</t>
  </si>
  <si>
    <t>Check-In Location</t>
  </si>
  <si>
    <t>Crew</t>
  </si>
  <si>
    <t>Base</t>
  </si>
  <si>
    <t>Camp</t>
  </si>
  <si>
    <t>Staging</t>
  </si>
  <si>
    <t xml:space="preserve">ICP </t>
  </si>
  <si>
    <t>Time</t>
  </si>
  <si>
    <t>Engines</t>
  </si>
  <si>
    <t>Dozers</t>
  </si>
  <si>
    <t>Helicopters</t>
  </si>
  <si>
    <t>Aircraft</t>
  </si>
  <si>
    <t>Helibase</t>
  </si>
  <si>
    <t>Fireline</t>
  </si>
  <si>
    <t>Check-In Information</t>
  </si>
  <si>
    <t>List single resource personnel (overhead) by agency and name, OR list resources by the following format:</t>
  </si>
  <si>
    <t>Request No.</t>
  </si>
  <si>
    <t>Date / Time Check-in</t>
  </si>
  <si>
    <t>Last Work Day</t>
  </si>
  <si>
    <t>Leader's Name</t>
  </si>
  <si>
    <t xml:space="preserve">Total # </t>
  </si>
  <si>
    <t>Phone / Contact</t>
  </si>
  <si>
    <t>Home Base</t>
  </si>
  <si>
    <t>Departure Point</t>
  </si>
  <si>
    <t>Method of Travel</t>
  </si>
  <si>
    <t>Incident Assignment</t>
  </si>
  <si>
    <t>Other Quals</t>
  </si>
  <si>
    <t>Sent to Restat</t>
  </si>
  <si>
    <t>State</t>
  </si>
  <si>
    <t>Agency</t>
  </si>
  <si>
    <t>Kind</t>
  </si>
  <si>
    <t>Type</t>
  </si>
  <si>
    <t>I.D. or Name</t>
  </si>
  <si>
    <t xml:space="preserve">Page 1 of </t>
  </si>
  <si>
    <t xml:space="preserve">   Prepared by (Name and position)</t>
  </si>
  <si>
    <t>INCIDENT ACTION PLAN SAFETY ANALYSIS (ICS 215A)</t>
  </si>
  <si>
    <t>Incident Area</t>
  </si>
  <si>
    <t>Hazard/Risks</t>
  </si>
  <si>
    <t>Mitigations</t>
  </si>
  <si>
    <t>FATIGUE</t>
  </si>
  <si>
    <t>Be alert for signs of fatigue and take breaks as necessary.
Drink water before, during and after your shift.
Be alert for signs of heat disorder in yourself and others.</t>
  </si>
  <si>
    <t>DRIVING HAZARDS</t>
  </si>
  <si>
    <t>Drive defensively! Expect the unexpected around every turn.
Drive with headlights on, use wheel chocks and always look before backing.
Increase following distances on dusty roads.</t>
  </si>
  <si>
    <t>Be thoroughly familiar with weather predictions and monitor conditions on the ground for changes.
Carry proper equipment</t>
  </si>
  <si>
    <t>DEHYDRATION</t>
  </si>
  <si>
    <t>Drink water before, during, and after your shift.  Logistics will have water available.</t>
  </si>
  <si>
    <t>ANIMAL ATTACK</t>
  </si>
  <si>
    <t>Keep distance from animals and identify aggressive animals.  Be mindful of any injuries that could develop into infection.</t>
  </si>
  <si>
    <t>IMPROVISED WEAPONS</t>
  </si>
  <si>
    <t>Pre-planned walk through and identify and remove potential hazards.  Officers to have proper equipment (hats/bats) for protection.</t>
  </si>
  <si>
    <t>Import - Overhead Selection/Exclusion List</t>
  </si>
  <si>
    <t>Ross Target Desciption (these must match ROSS exactly)</t>
  </si>
  <si>
    <t>204 Abreviation</t>
  </si>
  <si>
    <t>Import Y/N</t>
  </si>
  <si>
    <t>Note</t>
  </si>
  <si>
    <t>***AAA</t>
  </si>
  <si>
    <t>XXXX</t>
  </si>
  <si>
    <t>*** not found in list</t>
  </si>
  <si>
    <t>***TECHNICAL SPECIALIST COST -APP.</t>
  </si>
  <si>
    <t>N</t>
  </si>
  <si>
    <t>AGENCY ADMINISTRATOR</t>
  </si>
  <si>
    <t>ADMN</t>
  </si>
  <si>
    <t>AGENCY REPRESENTATIVE</t>
  </si>
  <si>
    <t>AREP</t>
  </si>
  <si>
    <t>AIR OPERATIONS BRANCH DIRECTOR</t>
  </si>
  <si>
    <t>AIR SUPPORT GROUP SUPERVISOR</t>
  </si>
  <si>
    <t>AIRCRAFT BASE RADIO OPERATOR</t>
  </si>
  <si>
    <t>ARCHEOLOGIST</t>
  </si>
  <si>
    <t>ARCH</t>
  </si>
  <si>
    <t>BASE CAMP MANAGER</t>
  </si>
  <si>
    <t>BCMG</t>
  </si>
  <si>
    <t>BATTALION MILITARY LIASON</t>
  </si>
  <si>
    <t>CAMP HELP</t>
  </si>
  <si>
    <t>CHIEF OFFICER</t>
  </si>
  <si>
    <t>CHIEF</t>
  </si>
  <si>
    <t>COMPENSATION FOR INJURY SPECIALIST</t>
  </si>
  <si>
    <t>COMPENSATION/CLAIMS UNIT LEADER</t>
  </si>
  <si>
    <t>COMP</t>
  </si>
  <si>
    <t>COMPUTER TECHNICAL SPECIALIST</t>
  </si>
  <si>
    <t>COST APPORTIONMENT TECHNICIAN</t>
  </si>
  <si>
    <t>CATS</t>
  </si>
  <si>
    <t>COST UNIT LEADER</t>
  </si>
  <si>
    <t>COST</t>
  </si>
  <si>
    <t>CREW BOSS</t>
  </si>
  <si>
    <t>CRWB</t>
  </si>
  <si>
    <t>CREW REPRESENTATIVE</t>
  </si>
  <si>
    <t>CREP</t>
  </si>
  <si>
    <t>DECK COORDINATOR</t>
  </si>
  <si>
    <t>DEMOBILIZATION UNIT LEADER</t>
  </si>
  <si>
    <t>DMOB</t>
  </si>
  <si>
    <t>DISPLAY PROCESSOR</t>
  </si>
  <si>
    <t>DPRO</t>
  </si>
  <si>
    <t>DIVISION/GROUP SUPERVISOR</t>
  </si>
  <si>
    <t>DIVS</t>
  </si>
  <si>
    <t>DOCUMENTATION UNIT LEADER</t>
  </si>
  <si>
    <t>DOCL</t>
  </si>
  <si>
    <t>DRIVER CLASS B (ALL HAZARD)</t>
  </si>
  <si>
    <t>DRIVER/OPERATOR</t>
  </si>
  <si>
    <t>DRIV</t>
  </si>
  <si>
    <t>EMERGENCY MEDICAL TECHNICIAN, FIRELINE</t>
  </si>
  <si>
    <t>EMERGENCY MEDICAL TECHNICIAN - PARAMEDIC</t>
  </si>
  <si>
    <t>ENGINE BOSS</t>
  </si>
  <si>
    <t>ENGB</t>
  </si>
  <si>
    <t>ENGINE OPERATOR</t>
  </si>
  <si>
    <t>ENOP</t>
  </si>
  <si>
    <t>EQUIPMENT INSPECTOR</t>
  </si>
  <si>
    <t>EQXX</t>
  </si>
  <si>
    <t>EQUIPMENT MANAGER</t>
  </si>
  <si>
    <t>EQPM</t>
  </si>
  <si>
    <t>EQUIPMENT TECHNICAL SPECIALIST</t>
  </si>
  <si>
    <t>TESP</t>
  </si>
  <si>
    <t>EQUIPMENT TIME RECORDER</t>
  </si>
  <si>
    <t>EQTR</t>
  </si>
  <si>
    <t>EXPANDED DISPATCH RECORDER</t>
  </si>
  <si>
    <t>FACILITIES UNIT LEADER</t>
  </si>
  <si>
    <t>FACL</t>
  </si>
  <si>
    <t>FIELD OBSERVER</t>
  </si>
  <si>
    <t>FINANCE TECHNICAL SPECIALIST</t>
  </si>
  <si>
    <t>FINANCE/ADMINISTRATION SECTION CHIEF, TYPE 1</t>
  </si>
  <si>
    <t>FSC1</t>
  </si>
  <si>
    <t>FIRE BEHAVIOR ANALYST</t>
  </si>
  <si>
    <t>FIRE FIGHTER TYPE 2</t>
  </si>
  <si>
    <t>FFT2</t>
  </si>
  <si>
    <t>FIREFIGHTER, TYPE 1</t>
  </si>
  <si>
    <t>FFT1</t>
  </si>
  <si>
    <t>FIRELINE EMT</t>
  </si>
  <si>
    <t>FIRELINE PARAMEDIC</t>
  </si>
  <si>
    <t>FIXED WING PARKING TENDER</t>
  </si>
  <si>
    <t>FOOD UNIT LEADER</t>
  </si>
  <si>
    <t>FDUL</t>
  </si>
  <si>
    <t>GENERAL MECHANIC</t>
  </si>
  <si>
    <t>GMEC</t>
  </si>
  <si>
    <t>GIS SPECIALIST</t>
  </si>
  <si>
    <t>GROUND SUPPORT UNIT LEADER</t>
  </si>
  <si>
    <t>GSUL</t>
  </si>
  <si>
    <t>HEAVY EQUIPMENT BOSS, SINGLE RESOURCE</t>
  </si>
  <si>
    <t>HEQB</t>
  </si>
  <si>
    <t>HELIBASE MANAGER, 1 TO 5 HELICOPTERS</t>
  </si>
  <si>
    <t>HELIBASE MANAGER, 6 OR MORE HELICOPTERS</t>
  </si>
  <si>
    <t>HEB1</t>
  </si>
  <si>
    <t>HELICOPTER COORDINATOR</t>
  </si>
  <si>
    <t>HLCO</t>
  </si>
  <si>
    <t>HELICOPTER CREWMEMBER</t>
  </si>
  <si>
    <t>HECM</t>
  </si>
  <si>
    <t>HELICOPTER MANAGER, CWN</t>
  </si>
  <si>
    <t>HEMG</t>
  </si>
  <si>
    <t>HELICOPTER MANAGER, SINGLE RESOURCE</t>
  </si>
  <si>
    <t>HUMAN RESOURCE SPECIALIST</t>
  </si>
  <si>
    <t>INCIDENT COMMANDER, TYPE 1</t>
  </si>
  <si>
    <t>ICT1</t>
  </si>
  <si>
    <t>INCIDENT COMMANDER, TYPE 3</t>
  </si>
  <si>
    <t>INCIDENT COMMUNICATIONS MANAGER</t>
  </si>
  <si>
    <t>INCM</t>
  </si>
  <si>
    <t>INCIDENT COMMUNICATIONS TECHNICIAN</t>
  </si>
  <si>
    <t>INCIDENT METEOROLOGIST</t>
  </si>
  <si>
    <t>INCINET ADMINISTRATOR</t>
  </si>
  <si>
    <t>INCA</t>
  </si>
  <si>
    <t>INCINET STATUS/CHECK-IN RECORDER</t>
  </si>
  <si>
    <t>SCKI</t>
  </si>
  <si>
    <t>INITIAL ATTACK DISPATCHER</t>
  </si>
  <si>
    <t>IADP</t>
  </si>
  <si>
    <t>LAW ENFORCEMENT LIASON</t>
  </si>
  <si>
    <t>LIAISON OFFICER</t>
  </si>
  <si>
    <t>LOFR</t>
  </si>
  <si>
    <t>LOGISTICS SECTION CHIEF, TYPE 1</t>
  </si>
  <si>
    <t>LSC1</t>
  </si>
  <si>
    <t>MAFFS AIRTANKER BASE MANAGER</t>
  </si>
  <si>
    <t>MEDICAL EMERGENCY RESPONSE TEAM</t>
  </si>
  <si>
    <t>MERT</t>
  </si>
  <si>
    <t>MEDICAL UNIT LEADER</t>
  </si>
  <si>
    <t>MEDL</t>
  </si>
  <si>
    <t>MILITARY CREW ADVISOR</t>
  </si>
  <si>
    <t>MCAD</t>
  </si>
  <si>
    <t>MOBILE COMMAND CENTER TECHNICAL SPECIALIST</t>
  </si>
  <si>
    <t>MCCT</t>
  </si>
  <si>
    <t>MOBILE KITCHEN UNIT MANAGER</t>
  </si>
  <si>
    <t>Module, Faller</t>
  </si>
  <si>
    <t>FALM</t>
  </si>
  <si>
    <t>MOTEL TECHNICAL SPECIALIST</t>
  </si>
  <si>
    <t>MOTL</t>
  </si>
  <si>
    <t>OPERATIONS BRANCH DIRECTOR</t>
  </si>
  <si>
    <t>OPBD</t>
  </si>
  <si>
    <t>OPERATIONS SECTION CHIEF, TYPE 1</t>
  </si>
  <si>
    <t>OSC1</t>
  </si>
  <si>
    <t>OPERATIONS SECTION CHIEF, TYPE 2</t>
  </si>
  <si>
    <t>OSC2</t>
  </si>
  <si>
    <t>ORDERING MANAGER</t>
  </si>
  <si>
    <t>ORDM</t>
  </si>
  <si>
    <t>PARAMEDIC, FIRELINE</t>
  </si>
  <si>
    <t>PAYMENT PROCESS TECHNICAL SPECIALIST</t>
  </si>
  <si>
    <t>PERSONNEL TIME RECORDER</t>
  </si>
  <si>
    <t>PTRC</t>
  </si>
  <si>
    <t>PLANNING SECTION CHIEF, TYPE 1</t>
  </si>
  <si>
    <t>PSC1</t>
  </si>
  <si>
    <t>PLANNING SECTION CHIEF, TYPE 2</t>
  </si>
  <si>
    <t>PROCUREMENT UNIT LEADER</t>
  </si>
  <si>
    <t>PROC</t>
  </si>
  <si>
    <t>PUBLIC INFORMATION OFFICER</t>
  </si>
  <si>
    <t>PIO</t>
  </si>
  <si>
    <t>PUBLIC INFORMATION OFFICER, TYPE 1</t>
  </si>
  <si>
    <t>IOF1</t>
  </si>
  <si>
    <t>PUBLIC INFORMATION OFFICER, TYPE 2</t>
  </si>
  <si>
    <t>IOF2</t>
  </si>
  <si>
    <t>PUBLIC SAFETY COMMUNICATIONS TECHNICIAN</t>
  </si>
  <si>
    <t>PURCHASING TECHNICAL SPECIALIST CAL-CARD</t>
  </si>
  <si>
    <t>RADIO OPERATOR</t>
  </si>
  <si>
    <t>RADP</t>
  </si>
  <si>
    <t>RECEIVING/DISTRIBUTION MANAGER</t>
  </si>
  <si>
    <t>RCDM</t>
  </si>
  <si>
    <t>RECYCLING / LANDFILL MONITORING SPECIALIST</t>
  </si>
  <si>
    <t>REHABILITATION SPECIALIST</t>
  </si>
  <si>
    <t>RESP</t>
  </si>
  <si>
    <t>RESOURCE ADVISOR</t>
  </si>
  <si>
    <t>READ</t>
  </si>
  <si>
    <t>RESOURCE UNIT LEADER</t>
  </si>
  <si>
    <t>SAFETY OFFICER, LINE</t>
  </si>
  <si>
    <t>SAFETY OFFICER, TYPE 1</t>
  </si>
  <si>
    <t>SOF1</t>
  </si>
  <si>
    <t>SAFETY OFFICER, TYPE 2</t>
  </si>
  <si>
    <t>SOF2</t>
  </si>
  <si>
    <t>SECURITY MANAGER</t>
  </si>
  <si>
    <t>SECURITY SPECIALIST - LEVEL 1</t>
  </si>
  <si>
    <t>SECURITY SPECIALIST - LEVEL 2</t>
  </si>
  <si>
    <t>SITUATION UNIT LEADER</t>
  </si>
  <si>
    <t>SITL</t>
  </si>
  <si>
    <t>STAGING AREA MANAGER</t>
  </si>
  <si>
    <t>STAM</t>
  </si>
  <si>
    <t>STATUS CHECK-IN RECORDER</t>
  </si>
  <si>
    <t>SCKN</t>
  </si>
  <si>
    <t>STRIKE TEAM LEADER, CREW</t>
  </si>
  <si>
    <t>STCR</t>
  </si>
  <si>
    <t>STRIKE TEAM LEADER, ENGINE</t>
  </si>
  <si>
    <t>STEN</t>
  </si>
  <si>
    <t>STRIKE TEAM LEADER, HEAVY EQUIPMENT</t>
  </si>
  <si>
    <t>STDZ</t>
  </si>
  <si>
    <t>SUPERVISORY DISPATCHER</t>
  </si>
  <si>
    <t>SUPPLY UNIT LEADER</t>
  </si>
  <si>
    <t>SUPPORT DISPATCHER</t>
  </si>
  <si>
    <t>TASK FORCE LEADER</t>
  </si>
  <si>
    <t>TFLD</t>
  </si>
  <si>
    <t>TECHNICAL SPECIALIST</t>
  </si>
  <si>
    <t>THSP</t>
  </si>
  <si>
    <t>TECHNICAL SPECIALIST - CREWS</t>
  </si>
  <si>
    <t>THSC</t>
  </si>
  <si>
    <t>TECHNICAL SPECIALIST COST -APP.</t>
  </si>
  <si>
    <t>TIME UNIT LEADER</t>
  </si>
  <si>
    <t>TIME</t>
  </si>
  <si>
    <t>TRAINING SPECIALIST</t>
  </si>
  <si>
    <t>TNSP</t>
  </si>
  <si>
    <t>VEHICLE SERVICE AND REPAIR TECHNICAL SPECIALIST</t>
  </si>
  <si>
    <t>WILDLAND FIRE INVESTIGATOR</t>
  </si>
  <si>
    <t>Air Operations Summary (ICS 220)</t>
  </si>
  <si>
    <t>3. Sunrise:</t>
  </si>
  <si>
    <t xml:space="preserve">Sunset: </t>
  </si>
  <si>
    <t xml:space="preserve">Date From:     </t>
  </si>
  <si>
    <t xml:space="preserve">Time From:     </t>
  </si>
  <si>
    <t>4. Remarks (safety notes, hazards, air operations special equipment, etc.):</t>
  </si>
  <si>
    <t>5. Ready Alert Aircraft:</t>
  </si>
  <si>
    <t xml:space="preserve">6. Temporary Flight Restriction Number: </t>
  </si>
  <si>
    <t>Medivac:</t>
  </si>
  <si>
    <t xml:space="preserve">Altitude:  </t>
  </si>
  <si>
    <t xml:space="preserve">New Incident:  </t>
  </si>
  <si>
    <t xml:space="preserve">Center Point:  </t>
  </si>
  <si>
    <t>8. Frequencies:</t>
  </si>
  <si>
    <t>AM</t>
  </si>
  <si>
    <t>FM</t>
  </si>
  <si>
    <t>9. Fixed-Wing (category/kind/type, make/model, N#, base):</t>
  </si>
  <si>
    <t>Air/Air Fixed-Wing</t>
  </si>
  <si>
    <t>Air Tactical Group Supervisor Aircraft:</t>
  </si>
  <si>
    <t>7. Personnel:</t>
  </si>
  <si>
    <t>Name:</t>
  </si>
  <si>
    <t>Phone Number:</t>
  </si>
  <si>
    <t>Air/Air Rotary-Wing – Flight Following</t>
  </si>
  <si>
    <t>Air Operations Branch Director</t>
  </si>
  <si>
    <t>Air/Ground</t>
  </si>
  <si>
    <t>Command</t>
  </si>
  <si>
    <t>Other Fixed-Wing Aircraft:</t>
  </si>
  <si>
    <t>Deck Coordinator</t>
  </si>
  <si>
    <t>Helicopter Coordinator</t>
  </si>
  <si>
    <t>Take-Off &amp; Landing Coordinator</t>
  </si>
  <si>
    <t>Air Guard</t>
  </si>
  <si>
    <t>10. Helicopters (use additional sheets as necessary):</t>
  </si>
  <si>
    <t>FAA N#</t>
  </si>
  <si>
    <t>Category/Kind/Type</t>
  </si>
  <si>
    <t>Make/Model</t>
  </si>
  <si>
    <t>Available</t>
  </si>
  <si>
    <t>Start</t>
  </si>
  <si>
    <t>Remarks</t>
  </si>
  <si>
    <t xml:space="preserve">11. Prepared by:             </t>
  </si>
  <si>
    <t>ICS 220, Page 1</t>
  </si>
  <si>
    <t xml:space="preserve">Date/Time:   </t>
  </si>
  <si>
    <t>12. Task/Mission/Assignment (category/kind/type and function includes:  air tactical, reconnaissance, personnel transport, search and rescue, etc.):</t>
  </si>
  <si>
    <t xml:space="preserve">Category/Kind/Type               </t>
  </si>
  <si>
    <t xml:space="preserve">Name of Personnel or Cargo (if applicable)                                             </t>
  </si>
  <si>
    <t xml:space="preserve">Mission         </t>
  </si>
  <si>
    <t>Fly From</t>
  </si>
  <si>
    <t>Fly To</t>
  </si>
  <si>
    <t>and Function</t>
  </si>
  <si>
    <t>or Instructions for Tactical Aircraft</t>
  </si>
  <si>
    <t>ICS 220, Page 2</t>
  </si>
  <si>
    <t>AIR OPERATIONS SUMMARY   ICS-220</t>
  </si>
  <si>
    <t xml:space="preserve">Time Prepared </t>
  </si>
  <si>
    <t xml:space="preserve">Date Prepared </t>
  </si>
  <si>
    <t>Prepared By</t>
  </si>
  <si>
    <t>Incident Name  /  Number</t>
  </si>
  <si>
    <t>Startup</t>
  </si>
  <si>
    <t>Cutoff</t>
  </si>
  <si>
    <t xml:space="preserve">Shutdown </t>
  </si>
  <si>
    <t>Operational Period - Date</t>
  </si>
  <si>
    <t>Operational Period - Time</t>
  </si>
  <si>
    <t>0700-2100</t>
  </si>
  <si>
    <t>General Remarks, Safety Notes, Hazards, Air Operations Special Equipment, etc.</t>
  </si>
  <si>
    <t>Helibase Information</t>
  </si>
  <si>
    <t xml:space="preserve"> TFR Information</t>
  </si>
  <si>
    <t>Rescue Ship Information</t>
  </si>
  <si>
    <t>TRACK ALL DIPSITE LOCATIONS / NUMBER OF DIPS /  GALLONS TAKEN.</t>
  </si>
  <si>
    <t>Mariposa</t>
  </si>
  <si>
    <t>A-117</t>
  </si>
  <si>
    <t>Day Hoist</t>
  </si>
  <si>
    <t>Night Hoist</t>
  </si>
  <si>
    <t>TRACK ALL DROP LOCATIONS / NUMBER OF DROPS / GALLONS DROPPED</t>
  </si>
  <si>
    <t>Latitude</t>
  </si>
  <si>
    <t>37 30.521'</t>
  </si>
  <si>
    <t>Radius:</t>
  </si>
  <si>
    <t>NM</t>
  </si>
  <si>
    <r>
      <rPr>
        <rFont val="Arial"/>
        <color rgb="FF000000"/>
        <sz val="12.0"/>
      </rPr>
      <t xml:space="preserve">All GPS DATA TO BE COLLECTED IN </t>
    </r>
    <r>
      <rPr>
        <rFont val="Arial"/>
        <color rgb="FF000000"/>
        <sz val="12.0"/>
        <u/>
      </rPr>
      <t xml:space="preserve">DEGREES, MINUTES, DECIMAL MINUTES </t>
    </r>
    <r>
      <rPr>
        <rFont val="Arial"/>
        <color rgb="FF000000"/>
        <sz val="12.0"/>
      </rPr>
      <t>FORMAT.</t>
    </r>
  </si>
  <si>
    <t>Longitude</t>
  </si>
  <si>
    <t>120 2.283'</t>
  </si>
  <si>
    <t>Altitude:</t>
  </si>
  <si>
    <t>MSL</t>
  </si>
  <si>
    <t>AVOID Aerial Application of Retardant / Foam / Agent within 300' of Waterways, Bodies of Water, etc. 
If Retardant / Foam / Agent is Dropped Within These Areas Immediately Notify the AOBD and Provide the Following Information: Lat / Long, Estimated Number of Gallons and a Map Detailing The Area.</t>
  </si>
  <si>
    <t>Centerpoint:</t>
  </si>
  <si>
    <t>Castle</t>
  </si>
  <si>
    <t>Long</t>
  </si>
  <si>
    <t>37 22.232'</t>
  </si>
  <si>
    <t>NOTAMS:</t>
  </si>
  <si>
    <t>8/6883</t>
  </si>
  <si>
    <t>Request Procedure for These Aircraft:</t>
  </si>
  <si>
    <t>120 33.858'</t>
  </si>
  <si>
    <t>Frequency</t>
  </si>
  <si>
    <t>Incident Communications</t>
  </si>
  <si>
    <t>(use page 2 if needed)</t>
  </si>
  <si>
    <t>See Medical Plan For Additional Info</t>
  </si>
  <si>
    <t>Frequencies</t>
  </si>
  <si>
    <t>TX</t>
  </si>
  <si>
    <t>Tone</t>
  </si>
  <si>
    <t>RX</t>
  </si>
  <si>
    <t>AM / FM</t>
  </si>
  <si>
    <t>Position</t>
  </si>
  <si>
    <t>Trainee</t>
  </si>
  <si>
    <t>AOBD</t>
  </si>
  <si>
    <t>AIR / GROUND - TACTICAL</t>
  </si>
  <si>
    <t>ASGS</t>
  </si>
  <si>
    <t>AIR/AIR ROTARY WING</t>
  </si>
  <si>
    <t>HEBM</t>
  </si>
  <si>
    <t>Helco Briefing</t>
  </si>
  <si>
    <t>AIR TACTICS</t>
  </si>
  <si>
    <t>Air Attack Briefing</t>
  </si>
  <si>
    <t>TOLC</t>
  </si>
  <si>
    <t>AAML</t>
  </si>
  <si>
    <t>DECK</t>
  </si>
  <si>
    <t>CALCORD - MEDICAL</t>
  </si>
  <si>
    <t>156.7 (6)</t>
  </si>
  <si>
    <t>ATGS</t>
  </si>
  <si>
    <t>AIRGUARD - Emergency Only</t>
  </si>
  <si>
    <t>110.9 (1)</t>
  </si>
  <si>
    <t>HELICOPTERS ( Use page 2 if Needed )</t>
  </si>
  <si>
    <t>FAA #</t>
  </si>
  <si>
    <t>Avail</t>
  </si>
  <si>
    <t>FIXED WING ( Use Page 2 if Needed )</t>
  </si>
  <si>
    <t>1. Incident Name</t>
  </si>
  <si>
    <t>2. Operational Period (Date/Time)</t>
  </si>
  <si>
    <t>DAILY MEETING SCHEDULE</t>
  </si>
  <si>
    <t>ICS 230-CG</t>
  </si>
  <si>
    <t>3. Meeting Schedule (Commonly-held meetings are included)</t>
  </si>
  <si>
    <t>Date/ Time</t>
  </si>
  <si>
    <t>Meeting Name</t>
  </si>
  <si>
    <t>Purpose</t>
  </si>
  <si>
    <t>Attendees</t>
  </si>
  <si>
    <t>Unified Command 
Objectives Meeting</t>
  </si>
  <si>
    <t>Review/ identify objectives
for the next operational
period.</t>
  </si>
  <si>
    <t>Unified Command members</t>
  </si>
  <si>
    <t>UC Meeting Room</t>
  </si>
  <si>
    <t>Command and General
Staff meeting</t>
  </si>
  <si>
    <t>UC Presents direction to
Command and General
Staff</t>
  </si>
  <si>
    <t>UC, Command Staff,
General Staff, DOCL, SITL</t>
  </si>
  <si>
    <t>ICP Meeting Room</t>
  </si>
  <si>
    <t>Tactics Meeting</t>
  </si>
  <si>
    <t>Develop primary and
alternate strategies/ to meet
Incident Objectives for the
next Operational Period.</t>
  </si>
  <si>
    <t>PSC, OPS, LSC, RESL,
SITL, SOFR, DOCL, COML,
THSP</t>
  </si>
  <si>
    <t>Planning Meeting</t>
  </si>
  <si>
    <t>Review status and finalize
strategies/tactics and
assignments to meet
Incident Objectives for the
next Operational Period and
get tacit approval of IAP.</t>
  </si>
  <si>
    <t>UC, Command Staff,
General Staff, SITL, DOCL,
THSP</t>
  </si>
  <si>
    <t>Operations Briefing</t>
  </si>
  <si>
    <t>Present IAP and
assignments to the
Supervisors / Leaders for
the next Operational Period.</t>
  </si>
  <si>
    <t>IC/UC, Command Staff,
General Staff, Branch
Directors, Div./Grp Sups.,
Task Force/ Strike Team
Leaders and Unit Leaders</t>
  </si>
  <si>
    <t>4. Prepared by: (Situation Unit Leader)</t>
  </si>
  <si>
    <t>Date/Time</t>
  </si>
  <si>
    <t>ICS 230-CG(Rev.09/05) NIMS IAP</t>
  </si>
  <si>
    <t>Incident Action Tracker
ICS 233</t>
  </si>
  <si>
    <t>2. No.</t>
  </si>
  <si>
    <t>3. Item</t>
  </si>
  <si>
    <t>4. For: Point Of Contact</t>
  </si>
  <si>
    <t>5. Briefed: Point of Contact</t>
  </si>
  <si>
    <t>6. Start Date</t>
  </si>
  <si>
    <t>7. Status</t>
  </si>
  <si>
    <t>8. Target Date</t>
  </si>
  <si>
    <t>9. Actual Date</t>
  </si>
  <si>
    <t>INCIDENT OPEN ACTION TRACKER</t>
  </si>
  <si>
    <t>ICS 233-CG (Rev 1/07) NIMS IAP</t>
  </si>
  <si>
    <r>
      <rPr>
        <rFont val="Cousine"/>
        <sz val="8.0"/>
      </rPr>
      <t xml:space="preserve">The latest weather forecast can be obtained by clicking on "Update" in the upper right corner of this form. Prior to updating, your location (either name place or latitude and longitude) should be entered on the "General Info" tab. 
</t>
    </r>
    <r>
      <rPr>
        <rFont val="Cousine"/>
        <b/>
        <sz val="8.0"/>
      </rPr>
      <t>Also, do not have this field selected during update.</t>
    </r>
  </si>
  <si>
    <t>PREPARED BY:</t>
  </si>
  <si>
    <t>GENERAL MESSAGE (ICS 213)</t>
  </si>
  <si>
    <t>2. To (Name and Position):</t>
  </si>
  <si>
    <t>3. From (Name and Position):</t>
  </si>
  <si>
    <t>4. Subject:</t>
  </si>
  <si>
    <t>5. Date:</t>
  </si>
  <si>
    <t>6. Time:</t>
  </si>
  <si>
    <t>7. Message:</t>
  </si>
  <si>
    <r>
      <rPr>
        <b/>
      </rPr>
      <t>8. Approved By:</t>
    </r>
    <r>
      <rPr/>
      <t xml:space="preserve">          Name:</t>
    </r>
  </si>
  <si>
    <t>9. Reply:</t>
  </si>
  <si>
    <r>
      <rPr>
        <b/>
      </rPr>
      <t>10. Replied By:</t>
    </r>
    <r>
      <rPr/>
      <t xml:space="preserve">            Name:</t>
    </r>
  </si>
  <si>
    <t>ICS 213</t>
  </si>
  <si>
    <t xml:space="preserve">Date/Time:_____________________________________________________________  </t>
  </si>
  <si>
    <t>UNIT LOG (ICS 214)</t>
  </si>
  <si>
    <t>3. Unit Name/Designators</t>
  </si>
  <si>
    <t>4. Unit Leader (Name and ICS Position)</t>
  </si>
  <si>
    <t>5. Personnel Assigned/Designators</t>
  </si>
  <si>
    <t>NAME</t>
  </si>
  <si>
    <t>ICS POSITION</t>
  </si>
  <si>
    <t>HOME BASE</t>
  </si>
  <si>
    <t>6. Activity Log (Continue on Reverse)</t>
  </si>
  <si>
    <t>MAJOR EVENTS</t>
  </si>
  <si>
    <t>UNIT LOG CONT. (ICS 214)</t>
  </si>
  <si>
    <t>6. Activity Log</t>
  </si>
  <si>
    <t>OPERATIONAL PLANNING WORKSHEET</t>
  </si>
  <si>
    <t>2. Date Prepared</t>
  </si>
  <si>
    <t>3.  Operational Period  (Date/Time)</t>
  </si>
  <si>
    <t>Time Prepared</t>
  </si>
  <si>
    <t>Resource by Type</t>
  </si>
  <si>
    <t>Division / Group or Other</t>
  </si>
  <si>
    <t>Requested Arrival Time</t>
  </si>
  <si>
    <t>Crews</t>
  </si>
  <si>
    <t>Other Equipment</t>
  </si>
  <si>
    <t>Overhead</t>
  </si>
  <si>
    <t>Other</t>
  </si>
  <si>
    <t>FALB</t>
  </si>
  <si>
    <t>Req</t>
  </si>
  <si>
    <t>∕</t>
  </si>
  <si>
    <t>DP 4</t>
  </si>
  <si>
    <t>Have</t>
  </si>
  <si>
    <t>Need</t>
  </si>
  <si>
    <t>DP 8</t>
  </si>
  <si>
    <t>Total Resources Required</t>
  </si>
  <si>
    <t>̷</t>
  </si>
  <si>
    <t>Prepared by (Name and Position)</t>
  </si>
  <si>
    <t>NAME - OSC1</t>
  </si>
  <si>
    <t>Total Resources On Hand</t>
  </si>
  <si>
    <t>Total Resources Needed</t>
  </si>
  <si>
    <t>Date Prepared</t>
  </si>
  <si>
    <t>2.  Operational Period  (Date/Time)</t>
  </si>
  <si>
    <t>4. Division / Group or Other</t>
  </si>
  <si>
    <t>5. Work Assignment &amp; Special Instructions</t>
  </si>
  <si>
    <t>6. Resources</t>
  </si>
  <si>
    <t>B</t>
  </si>
  <si>
    <t>D</t>
  </si>
  <si>
    <t>G</t>
  </si>
  <si>
    <t>H</t>
  </si>
  <si>
    <t>J</t>
  </si>
  <si>
    <t>K</t>
  </si>
  <si>
    <t>7. Overhead Positions</t>
  </si>
  <si>
    <t>8. Special Equipment &amp; Supplies</t>
  </si>
  <si>
    <t>9. Reporting Location</t>
  </si>
  <si>
    <t>10. Arrival Time</t>
  </si>
  <si>
    <t>S/T # Start</t>
  </si>
  <si>
    <t>S/T # End</t>
  </si>
  <si>
    <t>LFD</t>
  </si>
  <si>
    <t>LOS ANGELES CITY FIRE DEPT.</t>
  </si>
  <si>
    <t>MEU</t>
  </si>
  <si>
    <t>NORTH</t>
  </si>
  <si>
    <t>MENDOCINO</t>
  </si>
  <si>
    <t>XLA</t>
  </si>
  <si>
    <t>LOS ANGELES, AREA "A"</t>
  </si>
  <si>
    <t>HUU</t>
  </si>
  <si>
    <t>HUMBOLT DEL NORTE</t>
  </si>
  <si>
    <t>LAC</t>
  </si>
  <si>
    <t>LOS ANGELES COUNTY FIRE DEPT.</t>
  </si>
  <si>
    <t>LNU</t>
  </si>
  <si>
    <t>SONOMA LAKE NAPA</t>
  </si>
  <si>
    <t>XLC</t>
  </si>
  <si>
    <t>LOS ANGELES, AREA "C"</t>
  </si>
  <si>
    <t>SCU</t>
  </si>
  <si>
    <t>SANTA CLARA</t>
  </si>
  <si>
    <t>XLB</t>
  </si>
  <si>
    <t>LOS ANGELES, AREA "B"</t>
  </si>
  <si>
    <t>CZU</t>
  </si>
  <si>
    <t>SAN MATEO SANTA CRUZ</t>
  </si>
  <si>
    <t>XLE</t>
  </si>
  <si>
    <t>LOS ANGELES, AREA "E"</t>
  </si>
  <si>
    <t>BTU</t>
  </si>
  <si>
    <t>BUTTE</t>
  </si>
  <si>
    <t>XLF</t>
  </si>
  <si>
    <t>LOS ANGELES, AREA "F"</t>
  </si>
  <si>
    <t>LMU</t>
  </si>
  <si>
    <t>LASSEN MODOC</t>
  </si>
  <si>
    <t>XLG</t>
  </si>
  <si>
    <t>LOS ANGELES, AREA "G"</t>
  </si>
  <si>
    <t>NEU</t>
  </si>
  <si>
    <t>NEVADA YUBA PLACER</t>
  </si>
  <si>
    <t>XOR</t>
  </si>
  <si>
    <t>ORANGE</t>
  </si>
  <si>
    <t>SHU</t>
  </si>
  <si>
    <t>SHASTA TRINITY</t>
  </si>
  <si>
    <t>XSL</t>
  </si>
  <si>
    <t>SAN LUIS OBISPO</t>
  </si>
  <si>
    <t>TGU</t>
  </si>
  <si>
    <t>TEHEMA GLENN</t>
  </si>
  <si>
    <t>XSB</t>
  </si>
  <si>
    <t>SANTA BARBARA</t>
  </si>
  <si>
    <t>SKU</t>
  </si>
  <si>
    <t>SISKIYOU</t>
  </si>
  <si>
    <t>SBC</t>
  </si>
  <si>
    <t>SANTA BARBARA COUNTY FIRE DEPT</t>
  </si>
  <si>
    <t>RRU</t>
  </si>
  <si>
    <t>SOUTH</t>
  </si>
  <si>
    <t>RIVERSIDE</t>
  </si>
  <si>
    <t>XVE</t>
  </si>
  <si>
    <t>VENTURA</t>
  </si>
  <si>
    <t>MVU</t>
  </si>
  <si>
    <t>SAN DIEGO</t>
  </si>
  <si>
    <t>VNC</t>
  </si>
  <si>
    <t>VENTURA COUNTY FIRE DEPT.</t>
  </si>
  <si>
    <t>SLU</t>
  </si>
  <si>
    <t>USF</t>
  </si>
  <si>
    <t>U.S. FOREST SERVICE</t>
  </si>
  <si>
    <t>BDU</t>
  </si>
  <si>
    <t>SAN BERNARDINO</t>
  </si>
  <si>
    <t>ANF</t>
  </si>
  <si>
    <t>ANGELES</t>
  </si>
  <si>
    <t>TUU</t>
  </si>
  <si>
    <t>TULARE</t>
  </si>
  <si>
    <t>LPF</t>
  </si>
  <si>
    <t>LOS PADRES</t>
  </si>
  <si>
    <t>MMU</t>
  </si>
  <si>
    <t>MADERA MARIPOSA MERCED</t>
  </si>
  <si>
    <t>DOI</t>
  </si>
  <si>
    <t>DEPARTMENT OF INTERIOR</t>
  </si>
  <si>
    <t>FKU</t>
  </si>
  <si>
    <t>FRESNO KINGS</t>
  </si>
  <si>
    <t>OES</t>
  </si>
  <si>
    <t>OFFICE OF EMERGENCY SERVICES</t>
  </si>
  <si>
    <t>TCU</t>
  </si>
  <si>
    <t>TUOLUME CALAVERAS</t>
  </si>
  <si>
    <t>N/A</t>
  </si>
  <si>
    <t>Not ALLOCATED</t>
  </si>
  <si>
    <t>AEU</t>
  </si>
  <si>
    <t>AMADOR EL DORADO</t>
  </si>
  <si>
    <t>XAL</t>
  </si>
  <si>
    <t>ALAMEDA</t>
  </si>
  <si>
    <t>BEU</t>
  </si>
  <si>
    <t>SAN BENITO MONTEREY</t>
  </si>
  <si>
    <t>XCC</t>
  </si>
  <si>
    <t>CONTRA COSTA</t>
  </si>
  <si>
    <t>MARIN</t>
  </si>
  <si>
    <t>XDN</t>
  </si>
  <si>
    <t>DEL NORTE</t>
  </si>
  <si>
    <t>XHU</t>
  </si>
  <si>
    <t>HUMBOLDT</t>
  </si>
  <si>
    <t>XLK</t>
  </si>
  <si>
    <t>LAKE</t>
  </si>
  <si>
    <t>XMR</t>
  </si>
  <si>
    <t>XME</t>
  </si>
  <si>
    <t>XMY</t>
  </si>
  <si>
    <t>MONTEREY</t>
  </si>
  <si>
    <t>XNA</t>
  </si>
  <si>
    <t>NAPA</t>
  </si>
  <si>
    <t>XBE</t>
  </si>
  <si>
    <t>SAN BENITO</t>
  </si>
  <si>
    <t>XSF</t>
  </si>
  <si>
    <t>SAN FRANCISCO</t>
  </si>
  <si>
    <t>XSM</t>
  </si>
  <si>
    <t>SAN MATEO</t>
  </si>
  <si>
    <t>XSC</t>
  </si>
  <si>
    <t>XCZ</t>
  </si>
  <si>
    <t>SANTA CRUZ</t>
  </si>
  <si>
    <t>XSO</t>
  </si>
  <si>
    <t>SOLANO</t>
  </si>
  <si>
    <t>XSN</t>
  </si>
  <si>
    <t>SONOMA</t>
  </si>
  <si>
    <t>NOT ALLOCATED</t>
  </si>
  <si>
    <t>SRF</t>
  </si>
  <si>
    <t>SIX RIVERS</t>
  </si>
  <si>
    <t>XBU</t>
  </si>
  <si>
    <t>XCO</t>
  </si>
  <si>
    <t>COLUSA</t>
  </si>
  <si>
    <t>XGL</t>
  </si>
  <si>
    <t>GLENN</t>
  </si>
  <si>
    <t>XLS</t>
  </si>
  <si>
    <t>LASSEN</t>
  </si>
  <si>
    <t>XMO</t>
  </si>
  <si>
    <t>MODOC</t>
  </si>
  <si>
    <t>XPU</t>
  </si>
  <si>
    <t>PLUMAS</t>
  </si>
  <si>
    <t>XSH</t>
  </si>
  <si>
    <t>SHASTA</t>
  </si>
  <si>
    <t>XSI</t>
  </si>
  <si>
    <t>SIERRA</t>
  </si>
  <si>
    <t>XSK</t>
  </si>
  <si>
    <t>XSU</t>
  </si>
  <si>
    <t>SUTTER</t>
  </si>
  <si>
    <t>XTE</t>
  </si>
  <si>
    <t>TEHAMA</t>
  </si>
  <si>
    <t>XTR</t>
  </si>
  <si>
    <t>TRINITY</t>
  </si>
  <si>
    <t>XYU</t>
  </si>
  <si>
    <t>YUBA</t>
  </si>
  <si>
    <t>KNF</t>
  </si>
  <si>
    <t>KLAMATH NF</t>
  </si>
  <si>
    <t>LNF</t>
  </si>
  <si>
    <t>LASSEN NF</t>
  </si>
  <si>
    <t>MDF</t>
  </si>
  <si>
    <t>MODOC NF</t>
  </si>
  <si>
    <t>MNF</t>
  </si>
  <si>
    <t>MENDOCINO NF</t>
  </si>
  <si>
    <t>PNF</t>
  </si>
  <si>
    <t>PLUMAS NF</t>
  </si>
  <si>
    <t>SHF</t>
  </si>
  <si>
    <t>SHASTA-TRINITY NF</t>
  </si>
  <si>
    <t>BLM</t>
  </si>
  <si>
    <t>BUREAU OF LAND MANAGEMENT</t>
  </si>
  <si>
    <t>NOD</t>
  </si>
  <si>
    <t>NORTHERN CALIFORNIA REGION</t>
  </si>
  <si>
    <t>FWS</t>
  </si>
  <si>
    <t>FISH AND WILDLIFE SERVICE</t>
  </si>
  <si>
    <t>BIA</t>
  </si>
  <si>
    <t>BUREAU OF INDIAN AFFAIRS</t>
  </si>
  <si>
    <t>NCA</t>
  </si>
  <si>
    <t>NORTHERN CALIFORNIA AGENCY</t>
  </si>
  <si>
    <t>NPS</t>
  </si>
  <si>
    <t>NATIONAL PARK SERVICE</t>
  </si>
  <si>
    <t>DEPARTMENT OF INTERIOR,</t>
  </si>
  <si>
    <t>XAP</t>
  </si>
  <si>
    <t>ALPINE</t>
  </si>
  <si>
    <t>XAM</t>
  </si>
  <si>
    <t>AMADOR</t>
  </si>
  <si>
    <t>XCA</t>
  </si>
  <si>
    <t>CALAVERAS</t>
  </si>
  <si>
    <t>XED</t>
  </si>
  <si>
    <t>EL DORADO</t>
  </si>
  <si>
    <t>XNE</t>
  </si>
  <si>
    <t>NEVADA</t>
  </si>
  <si>
    <t>XPL</t>
  </si>
  <si>
    <t>PLACER</t>
  </si>
  <si>
    <t>XSA</t>
  </si>
  <si>
    <t>SACRAMENTO</t>
  </si>
  <si>
    <t>XSJ</t>
  </si>
  <si>
    <t>SAN JOAQUIN</t>
  </si>
  <si>
    <t>XST</t>
  </si>
  <si>
    <t>STANISLAUS</t>
  </si>
  <si>
    <t>XTB</t>
  </si>
  <si>
    <t>TAHOE BASIN</t>
  </si>
  <si>
    <t>XTO</t>
  </si>
  <si>
    <t>TUOLUMNE</t>
  </si>
  <si>
    <t>XYO</t>
  </si>
  <si>
    <t>YOLO</t>
  </si>
  <si>
    <t>ENF</t>
  </si>
  <si>
    <t>EL DORADO NF</t>
  </si>
  <si>
    <t>STANISLAUS NF</t>
  </si>
  <si>
    <t>TNF</t>
  </si>
  <si>
    <t>TAHOE</t>
  </si>
  <si>
    <t>TMU</t>
  </si>
  <si>
    <t>LAKE TAHOE BASIN MANAGEMENT UNIT</t>
  </si>
  <si>
    <t>XFR</t>
  </si>
  <si>
    <t>FRESNO</t>
  </si>
  <si>
    <t>XKE</t>
  </si>
  <si>
    <t>KERN</t>
  </si>
  <si>
    <t>XKI</t>
  </si>
  <si>
    <t>KINGS</t>
  </si>
  <si>
    <t>XMA</t>
  </si>
  <si>
    <t>MADERA</t>
  </si>
  <si>
    <t>XMP</t>
  </si>
  <si>
    <t>MARIPOSA</t>
  </si>
  <si>
    <t>XMD</t>
  </si>
  <si>
    <t>MERCED</t>
  </si>
  <si>
    <t>XTU</t>
  </si>
  <si>
    <t>KRN</t>
  </si>
  <si>
    <t>KERN COUNTY FIRE DEPARTMENT</t>
  </si>
  <si>
    <t>SNF</t>
  </si>
  <si>
    <t>SIERRA NF</t>
  </si>
  <si>
    <t>SQF</t>
  </si>
  <si>
    <t>SEQUOIA NF</t>
  </si>
  <si>
    <t>BBD</t>
  </si>
  <si>
    <t>CENTRAL CALIFORNIA REGION</t>
  </si>
  <si>
    <t>CCA</t>
  </si>
  <si>
    <t>CENTRAL CALIFORNIA AGENCY</t>
  </si>
  <si>
    <t>OT ALLOCATED</t>
  </si>
  <si>
    <t>XRI</t>
  </si>
  <si>
    <t>XIM</t>
  </si>
  <si>
    <t>IMPERIAL</t>
  </si>
  <si>
    <t>XIN</t>
  </si>
  <si>
    <t>INYO</t>
  </si>
  <si>
    <t>XMN</t>
  </si>
  <si>
    <t>MONO</t>
  </si>
  <si>
    <t>XBO</t>
  </si>
  <si>
    <t>XSD</t>
  </si>
  <si>
    <t>BDF</t>
  </si>
  <si>
    <t>SAN BERNARDINO NF</t>
  </si>
  <si>
    <t>CNF</t>
  </si>
  <si>
    <t>CLEVELAND NF</t>
  </si>
  <si>
    <t>INF</t>
  </si>
  <si>
    <t>INYO NF</t>
  </si>
  <si>
    <t>CDD</t>
  </si>
  <si>
    <t>CALIFORNIA DESERT DISTRICT</t>
  </si>
  <si>
    <t>OTH</t>
  </si>
  <si>
    <t>SCA</t>
  </si>
  <si>
    <t>SOUTHERN CALIFORNIA AGENCY</t>
  </si>
  <si>
    <t>RIVERSIDE COUNTY</t>
  </si>
  <si>
    <t>IMPERIAL COUNTY</t>
  </si>
  <si>
    <t>INYO COUNTY</t>
  </si>
  <si>
    <t>MONO COUNTY</t>
  </si>
  <si>
    <t>SAN BERNARDINO COUNTY</t>
  </si>
  <si>
    <t>SAN DIEGO COUNTY</t>
  </si>
  <si>
    <t>REGION VI</t>
  </si>
  <si>
    <t>RCC</t>
  </si>
  <si>
    <t>RIVERSIDE DOZERS (RENTAL)</t>
  </si>
  <si>
    <t>MENDOCINO ENGINES</t>
  </si>
  <si>
    <t>MENDOCINO DOZERS</t>
  </si>
  <si>
    <t>HUMBOLDT - DEL NORTE ENGINES</t>
  </si>
  <si>
    <t>HUMBOLDT - DEL NORTE DOZERS</t>
  </si>
  <si>
    <t>SONOMA-LAKE-NAPA ENGINES</t>
  </si>
  <si>
    <t>SONOMA-LAKE-NAPA DOZERS</t>
  </si>
  <si>
    <t>SONOMA-LAKE-NAPA</t>
  </si>
  <si>
    <t>MARIN COUNTY FIRE</t>
  </si>
  <si>
    <t>UNALLOCATED</t>
  </si>
  <si>
    <t>SANTA CLARA ENGINES</t>
  </si>
  <si>
    <t>SANTA CLARA DOZERS</t>
  </si>
  <si>
    <t>MENDOCINO CREWS</t>
  </si>
  <si>
    <t>SAN MATEO-SANTA CRUZ ENGINES</t>
  </si>
  <si>
    <t>SAN MATEO-SANTA CRUZ DOZERS</t>
  </si>
  <si>
    <t>SONOMA-LAKE-NAPA CREWS</t>
  </si>
  <si>
    <t>HUMBOLDT - DEL NORTE CREWS</t>
  </si>
  <si>
    <t>SAN MATEO-SANTA CRUZ CREWS</t>
  </si>
  <si>
    <t>HUMBOLDT - DEL NORTE</t>
  </si>
  <si>
    <t>RIVERSIDE CREWS</t>
  </si>
  <si>
    <t>BUTTE ENGINES</t>
  </si>
  <si>
    <t>BUTTE DOZERS</t>
  </si>
  <si>
    <t>LASSEN - MODOC ENGINES</t>
  </si>
  <si>
    <t>LASSEN - MODOC DOZERS</t>
  </si>
  <si>
    <t>NEVADA - YUBA - PLACER ENGINES</t>
  </si>
  <si>
    <t>NEVADA - YUBA - PLACER DOZERS</t>
  </si>
  <si>
    <t>SHASTA - TRINITY ENGINES</t>
  </si>
  <si>
    <t>SHASTA - TRINITY DOZERS</t>
  </si>
  <si>
    <t>TEHAMA - GLENN ENGINES</t>
  </si>
  <si>
    <t>TEHAMA - GLENN DOZERS</t>
  </si>
  <si>
    <t>SISKIYOU ENGINES</t>
  </si>
  <si>
    <t>SISKIYOU DOZERS</t>
  </si>
  <si>
    <t>BUTTE CREWS</t>
  </si>
  <si>
    <t>TEHAMA - GLENN CREWS</t>
  </si>
  <si>
    <t>LASSEN - MODOC CREWS</t>
  </si>
  <si>
    <t>NEVADA - YUBA - PLACER CREWS</t>
  </si>
  <si>
    <t>SISKIYOU CREWS</t>
  </si>
  <si>
    <t>LASSEN - MODOC</t>
  </si>
  <si>
    <t>TEHAMA - GLENN</t>
  </si>
  <si>
    <t>SHASTA - TRINITY CREWS</t>
  </si>
  <si>
    <t>RSS</t>
  </si>
  <si>
    <t>CDF SOUTHERN REGION DOZERS (RENTAL)</t>
  </si>
  <si>
    <t>RIVERSIDE ENGINES</t>
  </si>
  <si>
    <t>RIVERSIDE DOZERS</t>
  </si>
  <si>
    <t>CDF SOUTHERN REGION UNALLOCATED</t>
  </si>
  <si>
    <t>SAN DIEGO ENGINES</t>
  </si>
  <si>
    <t>SAN DIEGO DOZERS</t>
  </si>
  <si>
    <t>SAN LUIS OBISPO ENGINES</t>
  </si>
  <si>
    <t>SAN LUIS OBISPO DOZERS</t>
  </si>
  <si>
    <t>SAN BERNARDINO ENGINES</t>
  </si>
  <si>
    <t>SAN BERNARDINO DOZERS</t>
  </si>
  <si>
    <t>CDF SOUTHERN REGION</t>
  </si>
  <si>
    <t>SAN BERNARDINO CREWS</t>
  </si>
  <si>
    <t>SAN DIEGO CREWS</t>
  </si>
  <si>
    <t>CDF SOUTHERN REGION CREWS</t>
  </si>
  <si>
    <t>SAN LUIS OBISPO CREWS</t>
  </si>
  <si>
    <t>TULARE CREWS</t>
  </si>
  <si>
    <t>TULARE ENGINES</t>
  </si>
  <si>
    <t>TULARE DOZERS</t>
  </si>
  <si>
    <t>MADERA-MARIPOSA-MERCED ENGINES</t>
  </si>
  <si>
    <t>MADERA-MARIPOSA-MERCED DOZERS</t>
  </si>
  <si>
    <t>FRESNO - KINGS ENGINES</t>
  </si>
  <si>
    <t>FRESNO - KINGS DOZERS</t>
  </si>
  <si>
    <t>TUOLUMNE - CALAVERAS ENGINES</t>
  </si>
  <si>
    <t>TUOLUMNE - CALAVERAS DOZERS</t>
  </si>
  <si>
    <t>AMADOR - EL DORADO ENGINES</t>
  </si>
  <si>
    <t>AMADOR - EL DORADO DOZERS</t>
  </si>
  <si>
    <t>SAN BENITO - MONTEREY ENGINES</t>
  </si>
  <si>
    <t>SAN BENITO - MONTEREY DOZERS</t>
  </si>
  <si>
    <t>MADERA-MARIPOSA-MERCED CREWS</t>
  </si>
  <si>
    <t>FRESNO - KINGS CREWS</t>
  </si>
  <si>
    <t>TUOLUMNE - CALAVERAS CREWS</t>
  </si>
  <si>
    <t>TUOLUMNE - CALAVERAS</t>
  </si>
  <si>
    <t>AMADOR - EL DORADO CREWS</t>
  </si>
  <si>
    <t>SAN BENITO - MONTEREY CREWS</t>
  </si>
  <si>
    <t>Not Found</t>
  </si>
  <si>
    <t>204 Work Assignments</t>
  </si>
  <si>
    <t>**Staging ================================================================</t>
  </si>
  <si>
    <t>Maintain 3-minute response time.</t>
  </si>
  <si>
    <t>Monitor command frequencies.</t>
  </si>
  <si>
    <t>**Firing ==================================================================</t>
  </si>
  <si>
    <t>Prepare for firing and continue firing as needed. Protect infrastructure.</t>
  </si>
  <si>
    <t>Prep for firing.</t>
  </si>
  <si>
    <t>Prepare indirect control lines for possible firing operations.</t>
  </si>
  <si>
    <t>Prepare to construct indirect control line from _*_to _*_for potential firing operations. Begin when feasible. (*Add location in special instructions.)</t>
  </si>
  <si>
    <t>Fire at appropriate distance and pace to minimize fire effects and extreme fire behavior utilizing.</t>
  </si>
  <si>
    <t>**Mop up ================================================================</t>
  </si>
  <si>
    <t>Mop up 100 ft. in from control lines.</t>
  </si>
  <si>
    <t>Mop up 150 ft in from control lines.</t>
  </si>
  <si>
    <t>Mop up 200 ft. in from control lines.</t>
  </si>
  <si>
    <t>Mop up 300 ft from control lines.</t>
  </si>
  <si>
    <t>Mop up 400 ft from control lines.</t>
  </si>
  <si>
    <t>Mop up 500 ft in from control lines.</t>
  </si>
  <si>
    <t>Mop up only to the extent necessary to minimize the likelihood of an escape and to secure around structures.</t>
  </si>
  <si>
    <t>**Indirect Line ============================================================</t>
  </si>
  <si>
    <t>Improve indirect line construction.</t>
  </si>
  <si>
    <t>Assess need for contingency lines.</t>
  </si>
  <si>
    <t>Construct contingency line toward (Location).</t>
  </si>
  <si>
    <t>**Direct Line =============================================================</t>
  </si>
  <si>
    <t>Look for opportunities to construct direct line where safe to do so.</t>
  </si>
  <si>
    <t>Improve direct fire line.</t>
  </si>
  <si>
    <t>Construct/hold line utilizing direct tactics.</t>
  </si>
  <si>
    <t>Cold trail fingers &amp; islands where necessary to prevent fire spread.</t>
  </si>
  <si>
    <t>Construct control lines as direct as possible.</t>
  </si>
  <si>
    <t>Construct direct line.</t>
  </si>
  <si>
    <t>Direct line patrol.</t>
  </si>
  <si>
    <t>**Fire Suppression Repair ==================================================</t>
  </si>
  <si>
    <t>Identify suppression repair needs.</t>
  </si>
  <si>
    <t>Coordinate road repairs and watering.</t>
  </si>
  <si>
    <t>Identify areas within and adjacent to fire area that require road repair or watering.</t>
  </si>
  <si>
    <t>Implement fire suppression repair plan.</t>
  </si>
  <si>
    <t>Identify and document fire suppression repair needs.</t>
  </si>
  <si>
    <t>**Patrol =================================================================</t>
  </si>
  <si>
    <t>Perform Tactical Patrol around structures.</t>
  </si>
  <si>
    <t>Entire Division is in patrol status.</t>
  </si>
  <si>
    <t>Maintain patrol status within the burn area.</t>
  </si>
  <si>
    <t>**Hoselay ================================================================</t>
  </si>
  <si>
    <t>Insert hose lay to support firing operation.</t>
  </si>
  <si>
    <t>Insert progressive hose lay.</t>
  </si>
  <si>
    <t>Pull hoselays where no longer required.</t>
  </si>
  <si>
    <t>Implement hose lays as needed to support firing operations.</t>
  </si>
  <si>
    <t>Implement progressive hose lays as need.</t>
  </si>
  <si>
    <t>**Common Assignments ===================================================</t>
  </si>
  <si>
    <t>Back haul trash and excess supplies.</t>
  </si>
  <si>
    <t>Monitor interior island.</t>
  </si>
  <si>
    <t>**Safety =================================================================</t>
  </si>
  <si>
    <t>Construct safety islands</t>
  </si>
  <si>
    <t>**Structure Defense =======================================================</t>
  </si>
  <si>
    <t>Structure defense and perimeter control.</t>
  </si>
  <si>
    <t>Be prepared for WUI operations. Conduct triage as directed.</t>
  </si>
  <si>
    <t>Prepare Structure Defense Plan.</t>
  </si>
  <si>
    <t>Prepare structures for defensive actions.</t>
  </si>
  <si>
    <t>Triage and defend structures.</t>
  </si>
  <si>
    <t>Implement Structure Defense Tactical Actions per CALFIRE WUI Guidelines.</t>
  </si>
  <si>
    <t>Implement structure defense plan, with an emphasis on perimeter control.</t>
  </si>
  <si>
    <t>Provide structure defense as directed. Assess structure defense needs.</t>
  </si>
  <si>
    <t>Continue to prep and defend around structures.</t>
  </si>
  <si>
    <t>Limit the impacts of fire spread around structures that are within control lines.</t>
  </si>
  <si>
    <t>**Control Lines ===========================================================</t>
  </si>
  <si>
    <t>Improve and hold established control lines.</t>
  </si>
  <si>
    <t>Construct and improve line on division.</t>
  </si>
  <si>
    <t>Construct direct/indirect line as needed.</t>
  </si>
  <si>
    <t>Construct line (Location) to (Location).</t>
  </si>
  <si>
    <t>Hold fire within planned controlled lines.</t>
  </si>
  <si>
    <t>Hold fire within established control lines.</t>
  </si>
  <si>
    <t>Improve line and mitigate hazards.</t>
  </si>
  <si>
    <t>Construct control lines as directly as possible.</t>
  </si>
  <si>
    <t>From_*_to _*_. (*Add location in special instructions.)</t>
  </si>
  <si>
    <t>Hold and improve control lines.</t>
  </si>
  <si>
    <t>Validate control lines.</t>
  </si>
  <si>
    <t>**Secondary Control lines ==================================================</t>
  </si>
  <si>
    <t>Prepare to construct secondary control lines from_*_to _*_. Begin when feasible. (*Add location in special instructions.)</t>
  </si>
  <si>
    <t>Construct secondary line as needed.</t>
  </si>
  <si>
    <t>Plan secondary control lines, begin if possible.</t>
  </si>
  <si>
    <t>**Falling Trees ===========================================================</t>
  </si>
  <si>
    <t>Fall hazard trees.</t>
  </si>
  <si>
    <t>Fall hazard trees and trees that threaten control lines.</t>
  </si>
  <si>
    <t>**Contingency ============================================================</t>
  </si>
  <si>
    <t>Improve (Road) to (Road) as contingency.</t>
  </si>
  <si>
    <t>**Scout =================================================================</t>
  </si>
  <si>
    <t>Scout fire/branch/division.</t>
  </si>
  <si>
    <t>Scout fire line and gather intelligence within current division.</t>
  </si>
  <si>
    <t>**Line Construction =======================================================</t>
  </si>
  <si>
    <t>Scout and construct line from (Location) to (Locations).</t>
  </si>
  <si>
    <t>Construct and improve line along (Road) and utilize advantageous topography to construct line toward (Location).</t>
  </si>
  <si>
    <t>Cut and improve line where needed.</t>
  </si>
  <si>
    <t>**Shuttle ================================================================</t>
  </si>
  <si>
    <t>Prepare crews for helicopter shuttle operations.</t>
  </si>
  <si>
    <t>**Dozer/Crews work assignments ============================================</t>
  </si>
  <si>
    <t>Locate and improve Helispots.</t>
  </si>
  <si>
    <t>Construct safety zones.</t>
  </si>
  <si>
    <t>Improve (Road) to (Road) to hold fire.</t>
  </si>
  <si>
    <t>Widen and improve existing control lines.</t>
  </si>
  <si>
    <t>Continue to maintain and improve the roads identified within (Location-i.e. Branch, Division) to allow for safe and efficient movement of incident resources.</t>
  </si>
  <si>
    <t>**Arch Sites =============================================================</t>
  </si>
  <si>
    <t>Identify, avoid, and document sensitive archaeological and historic resource sites.</t>
  </si>
  <si>
    <t>**Water Tender ===========================================================</t>
  </si>
  <si>
    <t>Water roads to mitigate dust.</t>
  </si>
  <si>
    <t>Utilize inactive water tenders to water roads.</t>
  </si>
  <si>
    <t>**Storm, Flood, Debris Flow ============================================================</t>
  </si>
  <si>
    <t>Establish building inspection priorities.</t>
  </si>
  <si>
    <t>Provide emergency evacuation and rescue in affected areas.</t>
  </si>
  <si>
    <t>Plan for the possible rescue of personnel in hot/warm zone from warm/cold zones (emergency teams, appropriate equipment)</t>
  </si>
  <si>
    <t>Evaluate the vulnerabilities of down-slope structures</t>
  </si>
  <si>
    <t>Conduct search and rescue on identified worksites</t>
  </si>
  <si>
    <t>Evacuate victims from the predicted flood zone</t>
  </si>
  <si>
    <t>Rescue any victims trapped in the flood zone</t>
  </si>
  <si>
    <t>Decontaminate victims as necessary</t>
  </si>
  <si>
    <t>Ensure evacuees and victims are transported to a shelter or safe location</t>
  </si>
  <si>
    <t>Identify areas within the Branch/Div that may be impacted by flooding.</t>
  </si>
  <si>
    <t>Coordinate evacuations with LE and DPW.</t>
  </si>
  <si>
    <t>Respond to fire and rescue emergencies with the branch/Div.</t>
  </si>
  <si>
    <t>Identify and communicate potential levy failure locations all cooperating agencies.</t>
  </si>
  <si>
    <t>Identify and communicate flooded / impassable roadways.</t>
  </si>
  <si>
    <t>Conduct Primary and Secondary Searches in affected areas</t>
  </si>
  <si>
    <t>Perform and assist with rescue operations</t>
  </si>
  <si>
    <t>Provide for public safety</t>
  </si>
  <si>
    <t>Thoroughly search all structures</t>
  </si>
  <si>
    <t>Identify and mark all searched structures</t>
  </si>
  <si>
    <t>Report fatalities through Chain of Command based on established protocol</t>
  </si>
  <si>
    <t>Shut off - Verify Electric, Gas and Water shut off</t>
  </si>
  <si>
    <t>Review Damage assessments and re-evaluate. Create priority task list.</t>
  </si>
  <si>
    <t>Review safety conditions on property</t>
  </si>
  <si>
    <t>remove trees and brush impeding access or threatening structures</t>
  </si>
  <si>
    <t>Remove Debris From roadways to allow access.</t>
  </si>
  <si>
    <t>Backhaul trash.</t>
  </si>
  <si>
    <t>**Point of Distribution ===================================================================</t>
  </si>
  <si>
    <t>Establish POD, Coordinate Pick Up of Commodities.</t>
  </si>
  <si>
    <t>Track POD Distribution Numbers, Track, Report and Order Resupply of POB Inventory. Track Burn Rate</t>
  </si>
  <si>
    <t>Establish Relationships within Community</t>
  </si>
  <si>
    <t>Coordinated Loading and unloading of supplies in the POD area. Secure the site.</t>
  </si>
  <si>
    <t>-Request #</t>
  </si>
  <si>
    <t>-Resource ID</t>
  </si>
  <si>
    <t>-Leader Name</t>
  </si>
  <si>
    <t>-Personnel</t>
  </si>
  <si>
    <t>-Hours</t>
  </si>
  <si>
    <t>-Assignment</t>
  </si>
  <si>
    <t>-Last Assigned</t>
  </si>
  <si>
    <t>-Phone</t>
  </si>
  <si>
    <t>-Target</t>
  </si>
  <si>
    <t>-Resource Name</t>
  </si>
  <si>
    <t>Request Number:</t>
  </si>
  <si>
    <t>C-12</t>
  </si>
  <si>
    <t>Resource ID:</t>
  </si>
  <si>
    <t xml:space="preserve">                                                                                          RES AGY ID                                                                              Last, First                                                               Personnel Total</t>
  </si>
  <si>
    <t>Leader:</t>
  </si>
  <si>
    <t>Personnel:</t>
  </si>
  <si>
    <t>####-####</t>
  </si>
  <si>
    <t>(###) ###-####</t>
  </si>
  <si>
    <t>ALS, BLS, N/A</t>
  </si>
  <si>
    <t>MM/DD</t>
  </si>
  <si>
    <t>Hours:</t>
  </si>
  <si>
    <t>Phone:</t>
  </si>
  <si>
    <t xml:space="preserve">                                 (on this Incident)                            Div, Group, Etc...</t>
  </si>
  <si>
    <t>Last Assigned:</t>
  </si>
  <si>
    <t>Assignment:</t>
  </si>
  <si>
    <t xml:space="preserve">                                  Filled from ROSS                                                                                                                             Filled from ROSS</t>
  </si>
  <si>
    <t>Target:</t>
  </si>
  <si>
    <t>Resource Name:</t>
  </si>
  <si>
    <t>Paste InciNet, IROC, or ISuite exported data here.</t>
  </si>
  <si>
    <t>Virtual T-Card Rack</t>
  </si>
  <si>
    <t>MOVE</t>
  </si>
  <si>
    <t>ASSIGN</t>
  </si>
  <si>
    <t>BR I DIV A - FEMA</t>
  </si>
  <si>
    <t>BR I DIV B - NWCG</t>
  </si>
  <si>
    <t>In Transit</t>
  </si>
  <si>
    <t>Unassigned Resources Search</t>
  </si>
  <si>
    <t>Assigned Resources Count</t>
  </si>
  <si>
    <t>Total Resources</t>
  </si>
  <si>
    <t>Total Personnel</t>
  </si>
  <si>
    <t>Hand Crews</t>
  </si>
  <si>
    <t>Water Tenders</t>
  </si>
  <si>
    <t>Totals</t>
  </si>
  <si>
    <t>INCIDENT STATUS SUMMARY (ICS 209)</t>
  </si>
  <si>
    <t xml:space="preserve">*1. Incident Name: </t>
  </si>
  <si>
    <t>2. Incident Number</t>
  </si>
  <si>
    <t>*3. Report Version (check one box on left):</t>
  </si>
  <si>
    <t>*4. Incident Commander(s) &amp; Agency or Organization:</t>
  </si>
  <si>
    <t>5. Incident Management Organization:</t>
  </si>
  <si>
    <t>*6. Incident Start Date/Time:</t>
  </si>
  <si>
    <t>Initial</t>
  </si>
  <si>
    <t>Rpt # if Used:</t>
  </si>
  <si>
    <t>Update</t>
  </si>
  <si>
    <t>Final</t>
  </si>
  <si>
    <t>Time Zone:</t>
  </si>
  <si>
    <t>7. Current Incident Size or Area Involved (use unit label – e.g., “sq mi,” “city block”):</t>
  </si>
  <si>
    <t>8. Percent (%) Contained / Completed</t>
  </si>
  <si>
    <t>*9. Incident Definition:</t>
  </si>
  <si>
    <t>10. Incident Complexity Level:</t>
  </si>
  <si>
    <t>*11. For Time Period:</t>
  </si>
  <si>
    <t>To Date/Time:</t>
  </si>
  <si>
    <t>Approval &amp; Routing Information</t>
  </si>
  <si>
    <t>*12. Prepared By:</t>
  </si>
  <si>
    <t>*13. Date/Time Submitted:</t>
  </si>
  <si>
    <t>ICS Position:</t>
  </si>
  <si>
    <t>Date and Time Prepared:</t>
  </si>
  <si>
    <t>Incident Location Information</t>
  </si>
  <si>
    <t>*16. State:</t>
  </si>
  <si>
    <t>*17. County/Parish/Borough:</t>
  </si>
  <si>
    <t>*18. City:</t>
  </si>
  <si>
    <t>19. Unit or Other:</t>
  </si>
  <si>
    <t>*20. Incident Jurisdiction:</t>
  </si>
  <si>
    <t>21. Incident Location Ownership (if different than jurisdiction):</t>
  </si>
  <si>
    <t>22. Longitude (indicate format):</t>
  </si>
  <si>
    <t>23. US National Grid Reference:</t>
  </si>
  <si>
    <t>24. Legal Description (township, section, range):</t>
  </si>
  <si>
    <t>Latitude (indicate format):</t>
  </si>
  <si>
    <t>*25. Short Location or Area Description (list all affected areas or a reference point):</t>
  </si>
  <si>
    <t>26. UTM Coordinates:</t>
  </si>
  <si>
    <t>27. Note any electronic geospatial data included or attached (indicate data format, content, and collection time information and labels):</t>
  </si>
  <si>
    <t>Incident Summary</t>
  </si>
  <si>
    <t>*28. Significant Events for the Time Period Reported (summarize significant progress made, evacuations, incident growth, etc.):</t>
  </si>
  <si>
    <t>29. Primary Materials or Hazards Involved (hazardous chemicals, fuel types, infectious agents, radiation, etc.):</t>
  </si>
  <si>
    <t>30. Damage Assessment Information (summarize damage and/or restriction of use or availability to residential or commercial property, natural resources, critical infrastructure and key resources, etc.):</t>
  </si>
  <si>
    <t>A.Structural Summary</t>
  </si>
  <si>
    <t>B. 72 hours Threatened</t>
  </si>
  <si>
    <t>C. Damaged</t>
  </si>
  <si>
    <t>D. Destroyed</t>
  </si>
  <si>
    <t>E. Single Residences</t>
  </si>
  <si>
    <t>F. Nonresidential Commercial Property</t>
  </si>
  <si>
    <t>Other Minor Structures</t>
  </si>
  <si>
    <t>Page 1 of 4</t>
  </si>
  <si>
    <t xml:space="preserve">Additional Incident Decision Support Information </t>
  </si>
  <si>
    <t xml:space="preserve">*31. Public Status Summary: </t>
  </si>
  <si>
    <t>A. # This 
Reporting 
Period</t>
  </si>
  <si>
    <t>B. Total # 
to Date</t>
  </si>
  <si>
    <t xml:space="preserve">C. Indicate Number of Civilians (Public) Below: </t>
  </si>
  <si>
    <t>C. Indicate Number of Responders Below:</t>
  </si>
  <si>
    <t xml:space="preserve">D. Fatalities </t>
  </si>
  <si>
    <t>D. Fatalities</t>
  </si>
  <si>
    <t xml:space="preserve">E. With Injuries/Illness </t>
  </si>
  <si>
    <t>E. With Injuries/Illness</t>
  </si>
  <si>
    <t xml:space="preserve">F. Trapped/In Need of Rescue </t>
  </si>
  <si>
    <t>F. Trapped/In Need of Rescue</t>
  </si>
  <si>
    <t xml:space="preserve">G. Missing (note if estimated) </t>
  </si>
  <si>
    <t>G. Missing</t>
  </si>
  <si>
    <t xml:space="preserve">H. Evacuated (note if estimated) </t>
  </si>
  <si>
    <t>H. Sheltering in Place</t>
  </si>
  <si>
    <t xml:space="preserve">I. Sheltering in Place (note if estimated) </t>
  </si>
  <si>
    <t>I. Have Received Immunizations</t>
  </si>
  <si>
    <t xml:space="preserve">J. In Temporary Shelters (note if est.) </t>
  </si>
  <si>
    <t>J. Require Immunizations</t>
  </si>
  <si>
    <t xml:space="preserve">K. Have Received Mass Immunizations </t>
  </si>
  <si>
    <t>K. In Quarantine</t>
  </si>
  <si>
    <t>L. Require Immunizations (note if est.)</t>
  </si>
  <si>
    <t>M. In Quarantine</t>
  </si>
  <si>
    <t xml:space="preserve">N. Total # Civilians (Public) Affected: </t>
  </si>
  <si>
    <t>N. Total # Responders Affected:</t>
  </si>
  <si>
    <t xml:space="preserve">33. Life, Safety, and Health Status/Threat Remarks: </t>
  </si>
  <si>
    <t xml:space="preserve">*34. Life, Safety, and Health Threat 
Management: </t>
  </si>
  <si>
    <t>A. Check if Active</t>
  </si>
  <si>
    <t>A. No Likely Threat</t>
  </si>
  <si>
    <t>B. Potential Future Threat</t>
  </si>
  <si>
    <t>C. Mass Notifications in Progress</t>
  </si>
  <si>
    <t>D. Mass Notifications Completed</t>
  </si>
  <si>
    <t>E. No Evacuation(s) Imminent</t>
  </si>
  <si>
    <t>F. Planning for Evacuation</t>
  </si>
  <si>
    <t>G. Planning for Shelter-in-Place</t>
  </si>
  <si>
    <t>H. Evacuation(s) in Progress</t>
  </si>
  <si>
    <t>35. Weather Concerns (synopsis of current and predicted</t>
  </si>
  <si>
    <t>I. Shelter-in-Place in Progress</t>
  </si>
  <si>
    <t>weather; discuss related factors that may cause concern):</t>
  </si>
  <si>
    <t>J. Repopulation in Progress</t>
  </si>
  <si>
    <t>K. Mass Immunization in Progress</t>
  </si>
  <si>
    <t>L. Mass Immunization Complete</t>
  </si>
  <si>
    <t>M. Quarantine in Progress</t>
  </si>
  <si>
    <t>N. Area Restriction in Effect</t>
  </si>
  <si>
    <t>36. Projected Incident Activity, Potential, Movement, Escalation, or Spread and influencing factors during the next operational period and in 12-, 24-, 48-, and 72-hour timeframes:</t>
  </si>
  <si>
    <t>12 hours:</t>
  </si>
  <si>
    <t>24 hours:</t>
  </si>
  <si>
    <t>48 hours:</t>
  </si>
  <si>
    <t>72 hours:</t>
  </si>
  <si>
    <t>After 72 hours:</t>
  </si>
  <si>
    <t xml:space="preserve">37. Strategic Objectives (define planned end-state for incident): </t>
  </si>
  <si>
    <t>Page 2 of 4</t>
  </si>
  <si>
    <t>Branch Assignment List</t>
  </si>
  <si>
    <t>Branch:</t>
  </si>
  <si>
    <t>Operations Personnel</t>
  </si>
  <si>
    <t>Operations Chief:</t>
  </si>
  <si>
    <t>Night Operations</t>
  </si>
  <si>
    <t>Air Attack Supervisor:</t>
  </si>
  <si>
    <t>Resources Assigned</t>
  </si>
  <si>
    <t xml:space="preserve">38. Current Incident Threat Summary and Risk Information in 12-, 24-, 48-, and 72-hour timeframes and beyond.  Summarize 
primary incident threats to life, property, communities and community stability, residences, health care facilities, other critical 
infrastructure and key resources, commercial facilities, natural and environmental resources, cultural resources, and continuity of 
operations and/or business.  Identify corresponding incident-related potential economic or cascading impacts. </t>
  </si>
  <si>
    <t xml:space="preserve">39. Critical Resource Needs in 12-, 24-, 48-, and 72-hour timeframes and beyond to meet critical incident objectives.  List resource 
category, kind, and/or type, and amount needed, in priority order: </t>
  </si>
  <si>
    <t>40. Strategic Discussion:  Explain the relation of overall strategy, constraints, and current available information to:</t>
  </si>
  <si>
    <t xml:space="preserve">     1) critical resource needs identified above,</t>
  </si>
  <si>
    <t xml:space="preserve">     2) the Incident Action Plan and management objectives and targets,</t>
  </si>
  <si>
    <t xml:space="preserve">     3) anticipated results.</t>
  </si>
  <si>
    <t>Explain major problems and concerns such as operational challenges, incident management problems, and social, political, economic, or environmental concerns or impacts.</t>
  </si>
  <si>
    <t>41. Planned Actions for Next Operational Period:</t>
  </si>
  <si>
    <t>42. Projected Final Incident Size/Area (use unit label – e.g., “sq mi”):</t>
  </si>
  <si>
    <t>43. Anticipated Incident Management Completion Date:</t>
  </si>
  <si>
    <t>44. Projected Significant Resource Demobilization Start Date:</t>
  </si>
  <si>
    <t>45. Estimated Incident Costs to Date:</t>
  </si>
  <si>
    <t>46. Projected Final Incident Cost Estimate:</t>
  </si>
  <si>
    <t>47. Remarks (or continuation of any blocks above – list block # in notation):</t>
  </si>
  <si>
    <t>Page 3 of 4</t>
  </si>
  <si>
    <t xml:space="preserve">Incident Resource Commitment Summary </t>
  </si>
  <si>
    <t>48. Agency or 
Organization:</t>
  </si>
  <si>
    <t xml:space="preserve">49. Resources (summarize resources by category, kind, and/or type; show # of resources on top ½ of box, show # of personnel associated with resource on bottom ½ of box): </t>
  </si>
  <si>
    <t>Totals:</t>
  </si>
  <si>
    <t xml:space="preserve">50. Additional Personnel
 not assigned to a
resource: </t>
  </si>
  <si>
    <t xml:space="preserve">51. Total 
Personnel 
(includes those 
associated 
with resources 
– e.g., aircraft 
or engines –
and individual 
overhead): </t>
  </si>
  <si>
    <t>Eng Type 1</t>
  </si>
  <si>
    <t>Eng Type 3</t>
  </si>
  <si>
    <t>Eng Type 6</t>
  </si>
  <si>
    <t>52. Total 
Resources</t>
  </si>
  <si>
    <t xml:space="preserve">53. Additional Cooperating and Assisting Organizations Not Listed Above: </t>
  </si>
  <si>
    <t>Page 4 of 4</t>
  </si>
  <si>
    <t>IAP Estimates</t>
  </si>
  <si>
    <t>Resources</t>
  </si>
  <si>
    <t>Amount</t>
  </si>
  <si>
    <t>Command Staff: IC, UIC, SOFR, LOFR, PIO</t>
  </si>
  <si>
    <t>Agency Reps</t>
  </si>
  <si>
    <t>Plans: PSC, RESL, SITL</t>
  </si>
  <si>
    <t>Logistics: LSC, FACL, Motels, ETC...</t>
  </si>
  <si>
    <t xml:space="preserve">Finance: FSC, TIME, </t>
  </si>
  <si>
    <t>Operations: OSC, Dep OSC, Night ops</t>
  </si>
  <si>
    <t>Divisions and Branches DIVS, OPBD</t>
  </si>
  <si>
    <t>Engines and Engine Strike Teams</t>
  </si>
  <si>
    <t>Crews and Crew Strike Teams</t>
  </si>
  <si>
    <t>Dozers and Dozer Strike Teams</t>
  </si>
  <si>
    <t>Line Overhead (HEQB, EMTF, SOFR,ETC...)</t>
  </si>
  <si>
    <t>Count</t>
  </si>
  <si>
    <t>Extra (You may change this below)</t>
  </si>
  <si>
    <t>Total</t>
  </si>
  <si>
    <t>Alpha</t>
  </si>
  <si>
    <t>Bravo</t>
  </si>
  <si>
    <t>Charlie</t>
  </si>
  <si>
    <t>Delta</t>
  </si>
  <si>
    <t>Echo</t>
  </si>
  <si>
    <t>Foxtrot</t>
  </si>
  <si>
    <t>Golf</t>
  </si>
  <si>
    <t>Hotel</t>
  </si>
  <si>
    <t>India</t>
  </si>
  <si>
    <t>Juliet</t>
  </si>
  <si>
    <t>Kilo</t>
  </si>
  <si>
    <t>L</t>
  </si>
  <si>
    <t>Lima</t>
  </si>
  <si>
    <t>Mike</t>
  </si>
  <si>
    <t>November</t>
  </si>
  <si>
    <t>Oscar</t>
  </si>
  <si>
    <t>Papa</t>
  </si>
  <si>
    <t>Q</t>
  </si>
  <si>
    <t>Quebec</t>
  </si>
  <si>
    <t>R</t>
  </si>
  <si>
    <t>Romeo</t>
  </si>
  <si>
    <t>Sierra</t>
  </si>
  <si>
    <t>Tango</t>
  </si>
  <si>
    <t>Uniform</t>
  </si>
  <si>
    <t>Victor</t>
  </si>
  <si>
    <t>W</t>
  </si>
  <si>
    <t>Whiskey</t>
  </si>
  <si>
    <t>X-ray</t>
  </si>
  <si>
    <t>Yankee</t>
  </si>
  <si>
    <t>Z</t>
  </si>
  <si>
    <t>Zulu</t>
  </si>
  <si>
    <t>AA</t>
  </si>
  <si>
    <t>Alpha-Alpha</t>
  </si>
  <si>
    <t>BB</t>
  </si>
  <si>
    <t>Bravo-Bravo</t>
  </si>
  <si>
    <t>CC</t>
  </si>
  <si>
    <t>Charlie-Charlie</t>
  </si>
  <si>
    <t>DD</t>
  </si>
  <si>
    <t>Delta-Delta</t>
  </si>
  <si>
    <t>EE</t>
  </si>
  <si>
    <t>Echo-Echo</t>
  </si>
  <si>
    <t>FF</t>
  </si>
  <si>
    <t>Foxtrot-Foxtrot</t>
  </si>
  <si>
    <t>GG</t>
  </si>
  <si>
    <t>Golf-Golf</t>
  </si>
  <si>
    <t>HH</t>
  </si>
  <si>
    <t>Hotel-Hotel</t>
  </si>
  <si>
    <t>India-India</t>
  </si>
  <si>
    <t>JJ</t>
  </si>
  <si>
    <t>Juliet-Juliet</t>
  </si>
  <si>
    <t>KK</t>
  </si>
  <si>
    <t>Kilo-Kilo</t>
  </si>
  <si>
    <t>LL</t>
  </si>
  <si>
    <t>Lima-Lima</t>
  </si>
  <si>
    <t>MM</t>
  </si>
  <si>
    <t>Mike-Mike</t>
  </si>
  <si>
    <t>NN</t>
  </si>
  <si>
    <t>November-November</t>
  </si>
  <si>
    <t>OO</t>
  </si>
  <si>
    <t>Oscar-Oscar</t>
  </si>
  <si>
    <t>PP</t>
  </si>
  <si>
    <t>Papa-Papa</t>
  </si>
  <si>
    <t>QQ</t>
  </si>
  <si>
    <t>Quebec-Quebec</t>
  </si>
  <si>
    <t>RR</t>
  </si>
  <si>
    <t>Romeo-Romeo</t>
  </si>
  <si>
    <t>SS</t>
  </si>
  <si>
    <t>Sierra-Sierra</t>
  </si>
  <si>
    <t>TT</t>
  </si>
  <si>
    <t>Tango-Tango</t>
  </si>
  <si>
    <t>UU</t>
  </si>
  <si>
    <t>Uniform-Uniform</t>
  </si>
  <si>
    <t>VV</t>
  </si>
  <si>
    <t>Victor-Victor</t>
  </si>
  <si>
    <t>WW</t>
  </si>
  <si>
    <t>Whiskey-Whiskey</t>
  </si>
  <si>
    <t>XX</t>
  </si>
  <si>
    <t> X-ray-X-ray</t>
  </si>
  <si>
    <t>YY</t>
  </si>
  <si>
    <t>Yankee-Yankee</t>
  </si>
  <si>
    <t>ZZ</t>
  </si>
  <si>
    <t>Zulu-Zulu</t>
  </si>
  <si>
    <t>Number of 
Personnel</t>
  </si>
  <si>
    <t>(radio and/or phone contact numbers needed for this assignment):</t>
  </si>
  <si>
    <r>
      <rPr>
        <sz val="14.0"/>
      </rPr>
      <t xml:space="preserve">1. Create your Operational Periods and Assignments in </t>
    </r>
    <r>
      <rPr>
        <b/>
        <sz val="14.0"/>
      </rPr>
      <t>SARTopo.</t>
    </r>
    <r>
      <rPr>
        <sz val="14.0"/>
      </rPr>
      <t xml:space="preserve"> 
2. Select </t>
    </r>
    <r>
      <rPr>
        <b/>
        <sz val="14.0"/>
      </rPr>
      <t>Export.</t>
    </r>
    <r>
      <rPr>
        <sz val="14.0"/>
      </rPr>
      <t xml:space="preserve"> 
3. Set format as </t>
    </r>
    <r>
      <rPr>
        <b/>
        <sz val="14.0"/>
      </rPr>
      <t>GeoJson (full Backup)</t>
    </r>
    <r>
      <rPr>
        <sz val="14.0"/>
      </rPr>
      <t xml:space="preserve">. 
4. </t>
    </r>
    <r>
      <rPr>
        <b/>
        <sz val="14.0"/>
      </rPr>
      <t>Uncheck</t>
    </r>
    <r>
      <rPr>
        <sz val="14.0"/>
      </rPr>
      <t xml:space="preserve"> any Assignments not in the current operational period. 
5. Click on the </t>
    </r>
    <r>
      <rPr>
        <b/>
        <sz val="14.0"/>
      </rPr>
      <t xml:space="preserve">Export button.
</t>
    </r>
    <r>
      <rPr>
        <sz val="14.0"/>
      </rPr>
      <t xml:space="preserve">6. After downloading the file, open it in Notepad, or a similar text editing program. 
7. Select all text (typically ctrl A), then copy and paste into the yellow area below. 
8. After pasting, make sure that you click somewhere outside of the yellow cell. 
9. Click on </t>
    </r>
    <r>
      <rPr>
        <b/>
        <sz val="14.0"/>
      </rPr>
      <t>Update 104s</t>
    </r>
    <r>
      <rPr>
        <sz val="14.0"/>
      </rPr>
      <t>.</t>
    </r>
  </si>
  <si>
    <r>
      <rPr/>
      <t xml:space="preserve">After pasting, click on this grey bar and then click on the </t>
    </r>
    <r>
      <rPr>
        <b/>
      </rPr>
      <t>Update 104s</t>
    </r>
    <r>
      <rPr/>
      <t xml:space="preserve"> button to the right.</t>
    </r>
  </si>
  <si>
    <t>Set a row on the 203 to start your 104s. It should not be less than 10 and the number of divisions combined with your starting position should be less that 38. You you do  not want 104s written  to the 203, leave this blank:</t>
  </si>
  <si>
    <t>Do Not Edit Cells Below Here</t>
  </si>
  <si>
    <t>TEAM ASSIGNMENT (SAR 104)</t>
  </si>
  <si>
    <t>1. INCIDENT NAME</t>
  </si>
  <si>
    <t>2. OPERATIONAL PERIOD</t>
  </si>
  <si>
    <t>3 ASSIGNMENT NUMBER</t>
  </si>
  <si>
    <t>Date/Time From:</t>
  </si>
  <si>
    <t>4. RESOURCE TYPE</t>
  </si>
  <si>
    <t>Date/Time To:</t>
  </si>
  <si>
    <t>5. PERSONNEL ASSIGNED</t>
  </si>
  <si>
    <t>✻ L -- TEAM LEADER M -- MEDICAL</t>
  </si>
  <si>
    <t>AGENCY</t>
  </si>
  <si>
    <t>MED</t>
  </si>
  <si>
    <t>CONTACT</t>
  </si>
  <si>
    <t>ADDITIONAL NAMES ATTACHED</t>
  </si>
  <si>
    <t>6. ASSIGNMENT</t>
  </si>
  <si>
    <t>MAP(S) ATTACHED</t>
  </si>
  <si>
    <t>7. PREVIOUS AND PRESENT SEARCH EFFORTS IN AREA</t>
  </si>
  <si>
    <t>DEBRIEFING INFO ATTACHED</t>
  </si>
  <si>
    <t xml:space="preserve">8. TIME ALLOCATED </t>
  </si>
  <si>
    <t>9. SIZE OF ASSIGNMENT</t>
  </si>
  <si>
    <t>10. EXPECTED P.O.D.</t>
  </si>
  <si>
    <t>RESPONSIVE SUBJECT</t>
  </si>
  <si>
    <t>UNRESPONSIVE SUBJECT</t>
  </si>
  <si>
    <t>CLUES</t>
  </si>
  <si>
    <t>11. DROP OFF AND PICKUP INSTRUCTIONS</t>
  </si>
  <si>
    <t>12. COMMUNICATIONS</t>
  </si>
  <si>
    <t>RADIO CALL</t>
  </si>
  <si>
    <t>FUNCTION</t>
  </si>
  <si>
    <t>FREQUENCY</t>
  </si>
  <si>
    <t>13. PREPARED BY</t>
  </si>
  <si>
    <t>14. DATE PREPARED</t>
  </si>
  <si>
    <t>15. TIME PREPARED</t>
  </si>
  <si>
    <t>16. EQUIPMENT ISSUED</t>
  </si>
  <si>
    <t>17. BRIEFER</t>
  </si>
  <si>
    <t xml:space="preserve">18. TIME BRIEFED </t>
  </si>
  <si>
    <t xml:space="preserve">19. TIME OUT </t>
  </si>
  <si>
    <t>20. TIME RETURNED</t>
  </si>
  <si>
    <t>SAR 104</t>
  </si>
  <si>
    <t>COPIES</t>
  </si>
  <si>
    <t>PLANS</t>
  </si>
  <si>
    <t>NOTES</t>
  </si>
  <si>
    <t>COMMUNICATIONS</t>
  </si>
  <si>
    <t>BASARC</t>
  </si>
  <si>
    <t xml:space="preserve">OPERATIONS </t>
  </si>
  <si>
    <t>NIMSIAP</t>
  </si>
  <si>
    <t>TEAM</t>
  </si>
</sst>
</file>

<file path=xl/styles.xml><?xml version="1.0" encoding="utf-8"?>
<styleSheet xmlns="http://schemas.openxmlformats.org/spreadsheetml/2006/main" xmlns:x14ac="http://schemas.microsoft.com/office/spreadsheetml/2009/9/ac" xmlns:mc="http://schemas.openxmlformats.org/markup-compatibility/2006">
  <numFmts count="32">
    <numFmt numFmtId="164" formatCode="M/d/yyyy"/>
    <numFmt numFmtId="165" formatCode="0###"/>
    <numFmt numFmtId="166" formatCode="m/d/yyyy"/>
    <numFmt numFmtId="167" formatCode="0.0000"/>
    <numFmt numFmtId="168" formatCode="hh&quot;:&quot;mm"/>
    <numFmt numFmtId="169" formatCode="h&quot;:&quot;mm"/>
    <numFmt numFmtId="170" formatCode="yyyy&quot;-&quot;mm&quot;-&quot;dd"/>
    <numFmt numFmtId="171" formatCode="yyyy-mm-dd"/>
    <numFmt numFmtId="172" formatCode="#,##0.0000000"/>
    <numFmt numFmtId="173" formatCode="dddd"/>
    <numFmt numFmtId="174" formatCode="mm/dd/yy"/>
    <numFmt numFmtId="175" formatCode="0000"/>
    <numFmt numFmtId="176" formatCode="# ?/?; # ?/? &quot;+/-&quot;"/>
    <numFmt numFmtId="177" formatCode="0.0"/>
    <numFmt numFmtId="178" formatCode="#,##0.0"/>
    <numFmt numFmtId="179" formatCode="m&quot;/&quot;d"/>
    <numFmt numFmtId="180" formatCode="mm/dd/yyyy"/>
    <numFmt numFmtId="181" formatCode="mm&quot;/&quot;dd&quot;/&quot;yy"/>
    <numFmt numFmtId="182" formatCode="m/d/yy"/>
    <numFmt numFmtId="183" formatCode="hh:mm"/>
    <numFmt numFmtId="184" formatCode="m/d"/>
    <numFmt numFmtId="185" formatCode="dddd, mmmm d, yyyy"/>
    <numFmt numFmtId="186" formatCode="dddd mmmm d, yyyy"/>
    <numFmt numFmtId="187" formatCode="0\°\ 00\.00"/>
    <numFmt numFmtId="188" formatCode="[&lt;=9999999]###\-####;\(###\)\ ###\-####"/>
    <numFmt numFmtId="189" formatCode="0\°\ 00\.00\'"/>
    <numFmt numFmtId="190" formatCode="m&quot;/&quot;d&quot; &quot;h&quot;:&quot;mmyyyy"/>
    <numFmt numFmtId="191" formatCode="m-d-yyyy"/>
    <numFmt numFmtId="192" formatCode="####"/>
    <numFmt numFmtId="193" formatCode="M/d/yyyy H:mm:ss"/>
    <numFmt numFmtId="194" formatCode="mm-dd-yyyy h:mm:ss"/>
    <numFmt numFmtId="195" formatCode="m/d/yyyy h:mm"/>
  </numFmts>
  <fonts count="149">
    <font>
      <sz val="10.0"/>
      <color rgb="FF000000"/>
      <name val="Arial"/>
    </font>
    <font>
      <b/>
      <sz val="14.0"/>
    </font>
    <font>
      <b/>
      <sz val="12.0"/>
    </font>
    <font>
      <u/>
      <sz val="12.0"/>
      <color rgb="FF0000FF"/>
    </font>
    <font/>
    <font>
      <u/>
      <color rgb="FF000000"/>
      <name val="Arial"/>
    </font>
    <font>
      <b/>
      <sz val="18.0"/>
    </font>
    <font>
      <b/>
      <sz val="12.0"/>
      <color rgb="FFFF0000"/>
    </font>
    <font>
      <b/>
    </font>
    <font>
      <b/>
      <name val="Arial"/>
    </font>
    <font>
      <name val="Arial"/>
    </font>
    <font>
      <sz val="9.0"/>
      <color rgb="FF000000"/>
      <name val="Arial"/>
    </font>
    <font>
      <color rgb="FF000000"/>
      <name val="Arial"/>
    </font>
    <font>
      <b/>
      <color rgb="FFFF0000"/>
    </font>
    <font>
      <sz val="9.0"/>
      <color rgb="FFFF0000"/>
    </font>
    <font>
      <b/>
      <sz val="10.0"/>
    </font>
    <font>
      <sz val="10.0"/>
    </font>
    <font>
      <u/>
      <color rgb="FF0000FF"/>
    </font>
    <font>
      <u/>
      <color rgb="FF0000FF"/>
    </font>
    <font>
      <sz val="8.0"/>
    </font>
    <font>
      <sz val="8.0"/>
      <name val="Arial"/>
    </font>
    <font>
      <sz val="6.0"/>
    </font>
    <font>
      <color rgb="FFB7B7B7"/>
      <name val="Arial"/>
    </font>
    <font>
      <b/>
      <sz val="8.0"/>
      <name val="Arial"/>
    </font>
    <font>
      <color rgb="FFFF0000"/>
    </font>
    <font>
      <b/>
      <color rgb="FF000000"/>
      <name val="Arial"/>
    </font>
    <font>
      <color rgb="FF000000"/>
    </font>
    <font>
      <sz val="14.0"/>
      <color rgb="FF000000"/>
      <name val="Consolas"/>
    </font>
    <font>
      <color rgb="FFF7981D"/>
    </font>
    <font>
      <sz val="9.0"/>
    </font>
    <font>
      <b/>
      <color rgb="FFFFFFFF"/>
      <name val="Arial"/>
    </font>
    <font>
      <b/>
      <color rgb="FF990000"/>
      <name val="Arial"/>
    </font>
    <font>
      <b/>
      <sz val="12.0"/>
      <name val="Arial"/>
    </font>
    <font>
      <sz val="11.0"/>
      <color rgb="FF000000"/>
      <name val="Inconsolata"/>
    </font>
    <font>
      <b/>
      <sz val="36.0"/>
      <name val="Cambria"/>
    </font>
    <font>
      <b/>
      <sz val="48.0"/>
      <name val="Cambria"/>
    </font>
    <font>
      <sz val="30.0"/>
      <name val="Cambria"/>
    </font>
    <font>
      <name val="Cambria"/>
    </font>
    <font>
      <sz val="43.0"/>
      <color rgb="FF666666"/>
    </font>
    <font>
      <b/>
      <sz val="24.0"/>
      <name val="Cambria"/>
    </font>
    <font>
      <b/>
      <sz val="14.0"/>
      <name val="Cambria"/>
    </font>
    <font>
      <b/>
      <u/>
      <color rgb="FF000000"/>
      <name val="Arial"/>
    </font>
    <font>
      <b/>
      <u/>
      <color rgb="FF000000"/>
      <name val="Arial"/>
    </font>
    <font>
      <b/>
      <sz val="6.0"/>
      <color rgb="FF000000"/>
      <name val="Arial"/>
    </font>
    <font>
      <sz val="10.0"/>
      <name val="Arial"/>
    </font>
    <font>
      <sz val="10.0"/>
      <name val="Georgia"/>
    </font>
    <font>
      <sz val="11.0"/>
    </font>
    <font>
      <u/>
      <sz val="10.0"/>
    </font>
    <font>
      <b/>
      <sz val="6.0"/>
    </font>
    <font>
      <sz val="11.0"/>
      <color rgb="FF000000"/>
      <name val="Arial"/>
    </font>
    <font>
      <b/>
      <sz val="9.0"/>
      <color rgb="FFFF0000"/>
    </font>
    <font>
      <b/>
      <sz val="16.0"/>
    </font>
    <font>
      <b/>
      <sz val="7.0"/>
      <name val="Arial"/>
    </font>
    <font>
      <u/>
      <sz val="10.0"/>
    </font>
    <font>
      <u/>
      <sz val="10.0"/>
    </font>
    <font>
      <b/>
      <sz val="10.0"/>
      <color rgb="FF000000"/>
      <name val="Arial"/>
    </font>
    <font>
      <b/>
      <sz val="10.0"/>
      <color rgb="FFFF0000"/>
    </font>
    <font>
      <sz val="7.0"/>
      <name val="Arial"/>
    </font>
    <font>
      <b/>
      <sz val="7.0"/>
    </font>
    <font>
      <sz val="8.0"/>
      <color rgb="FF000000"/>
      <name val="Arial"/>
    </font>
    <font>
      <b/>
      <sz val="10.0"/>
      <color rgb="FF000000"/>
    </font>
    <font>
      <color rgb="FF990000"/>
      <name val="Arial"/>
    </font>
    <font>
      <sz val="10.0"/>
      <color rgb="FF990000"/>
    </font>
    <font>
      <b/>
      <sz val="12.0"/>
      <color rgb="FFFF0000"/>
      <name val="Arial"/>
    </font>
    <font>
      <color rgb="FFFF0000"/>
      <name val="Arial"/>
    </font>
    <font>
      <sz val="10.0"/>
      <color rgb="FFFF0000"/>
      <name val="Arial"/>
    </font>
    <font>
      <sz val="9.0"/>
      <name val="Arial"/>
    </font>
    <font>
      <sz val="9.0"/>
      <name val="Geneva"/>
    </font>
    <font>
      <b/>
      <u/>
      <sz val="9.0"/>
      <name val="Arial"/>
    </font>
    <font>
      <b/>
      <sz val="16.0"/>
      <name val="Arial"/>
    </font>
    <font>
      <sz val="10.0"/>
      <color rgb="FF000000"/>
    </font>
    <font>
      <b/>
      <sz val="11.0"/>
      <color rgb="FF000000"/>
      <name val="Arial"/>
    </font>
    <font>
      <sz val="9.0"/>
      <color rgb="FF000000"/>
      <name val="Arimo"/>
    </font>
    <font>
      <sz val="10.0"/>
      <color rgb="FF000000"/>
      <name val="Arimo"/>
    </font>
    <font>
      <b/>
      <sz val="8.0"/>
      <color rgb="FF000000"/>
      <name val="Arial"/>
    </font>
    <font>
      <sz val="11.0"/>
      <color rgb="FF000000"/>
      <name val="Calibri"/>
    </font>
    <font>
      <u/>
      <color rgb="FF0000FF"/>
    </font>
    <font>
      <b/>
      <color rgb="FFFF0000"/>
      <name val="Arial"/>
    </font>
    <font>
      <b/>
      <sz val="14.0"/>
      <name val="Arial"/>
    </font>
    <font>
      <b/>
      <i/>
      <sz val="14.0"/>
      <name val="Arial"/>
    </font>
    <font>
      <b/>
      <i/>
      <sz val="18.0"/>
      <color rgb="FFFF0000"/>
      <name val="Arial"/>
    </font>
    <font>
      <b/>
      <sz val="14.0"/>
      <name val="&quot;Arial Black&quot;"/>
    </font>
    <font>
      <b/>
      <sz val="16.0"/>
      <color rgb="FFFF0000"/>
      <name val="Arial"/>
    </font>
    <font>
      <b/>
      <sz val="14.0"/>
      <color rgb="FFFF0000"/>
    </font>
    <font>
      <b/>
      <sz val="16.0"/>
      <color rgb="FFFF0000"/>
    </font>
    <font>
      <sz val="14.0"/>
    </font>
    <font>
      <b/>
      <i/>
      <sz val="12.0"/>
      <name val="Arial"/>
    </font>
    <font>
      <b/>
      <name val="&quot;Calibri&quot;"/>
    </font>
    <font>
      <b/>
      <name val="Calibri"/>
    </font>
    <font>
      <u/>
      <sz val="10.0"/>
    </font>
    <font>
      <sz val="6.0"/>
      <name val="Arial"/>
    </font>
    <font>
      <sz val="12.0"/>
    </font>
    <font>
      <sz val="12.0"/>
      <name val="Arial"/>
    </font>
    <font>
      <b/>
      <sz val="11.0"/>
      <color rgb="FF000000"/>
      <name val="Inconsolata"/>
    </font>
    <font>
      <b/>
      <sz val="10.0"/>
      <name val="Arial"/>
    </font>
    <font>
      <b/>
      <i/>
      <sz val="10.0"/>
      <name val="Arial"/>
    </font>
    <font>
      <b/>
      <sz val="16.0"/>
      <color rgb="FF000000"/>
      <name val="Arial"/>
    </font>
    <font>
      <b/>
      <sz val="12.0"/>
      <color rgb="FF000000"/>
      <name val="Arial"/>
    </font>
    <font>
      <sz val="12.0"/>
      <color rgb="FF000000"/>
      <name val="Arial"/>
    </font>
    <font>
      <i/>
      <sz val="12.0"/>
      <color rgb="FF000000"/>
      <name val="Arial"/>
    </font>
    <font>
      <b/>
      <u/>
      <sz val="9.0"/>
      <color rgb="FF000000"/>
      <name val="Arial"/>
    </font>
    <font>
      <b/>
      <u/>
      <sz val="9.0"/>
      <color rgb="FF000000"/>
      <name val="Arial"/>
    </font>
    <font>
      <b/>
      <u/>
      <sz val="9.0"/>
      <color rgb="FF000000"/>
      <name val="Arial"/>
    </font>
    <font>
      <i/>
      <sz val="10.0"/>
      <color rgb="FF000000"/>
      <name val="Arial"/>
    </font>
    <font>
      <b/>
      <sz val="9.0"/>
      <color rgb="FF000000"/>
      <name val="Arial"/>
    </font>
    <font>
      <u/>
      <sz val="11.0"/>
      <color rgb="FF0000FF"/>
      <name val="Verdana"/>
    </font>
    <font>
      <sz val="10.0"/>
      <color rgb="FF000000"/>
      <name val="Verdana"/>
    </font>
    <font>
      <sz val="10.0"/>
      <name val="Verdana"/>
    </font>
    <font>
      <sz val="10.0"/>
      <name val="Helvetica Neue"/>
    </font>
    <font>
      <b/>
      <sz val="10.0"/>
      <name val="Helvetica Neue"/>
    </font>
    <font>
      <sz val="11.0"/>
      <name val="Thread-000016e4-Id-000000c0"/>
    </font>
    <font>
      <b/>
      <sz val="9.0"/>
      <name val="Helvetica Neue"/>
    </font>
    <font>
      <sz val="10.0"/>
      <name val="&quot;Calibri&quot;"/>
    </font>
    <font>
      <sz val="12.0"/>
      <color rgb="FF000000"/>
      <name val="Verdana"/>
    </font>
    <font>
      <sz val="8.0"/>
      <color rgb="FF000000"/>
      <name val="Inconsolata"/>
    </font>
    <font>
      <b/>
      <sz val="8.0"/>
    </font>
    <font>
      <b/>
      <u/>
      <sz val="10.0"/>
      <color rgb="FF0000FF"/>
      <name val="Arial"/>
    </font>
    <font>
      <sz val="8.0"/>
      <name val="Cousine"/>
    </font>
    <font>
      <sz val="6.0"/>
      <color rgb="FF000000"/>
      <name val="Arial"/>
    </font>
    <font>
      <u/>
    </font>
    <font>
      <sz val="5.0"/>
    </font>
    <font>
      <color rgb="FF000000"/>
      <name val="Roboto"/>
    </font>
    <font>
      <sz val="5.0"/>
      <color rgb="FF000000"/>
      <name val="Arial"/>
    </font>
    <font>
      <b/>
      <sz val="24.0"/>
      <color rgb="FF000000"/>
      <name val="Arial"/>
    </font>
    <font>
      <sz val="7.0"/>
      <color rgb="FF000000"/>
      <name val="Arial"/>
    </font>
    <font>
      <sz val="16.0"/>
      <color rgb="FF000000"/>
      <name val="Arial"/>
    </font>
    <font>
      <b/>
      <sz val="16.0"/>
      <color rgb="FF000000"/>
      <name val="Calibri"/>
    </font>
    <font>
      <i/>
      <sz val="14.0"/>
      <color rgb="FF000000"/>
      <name val="Arial"/>
    </font>
    <font>
      <sz val="20.0"/>
      <color rgb="FF000000"/>
      <name val="Arial"/>
    </font>
    <font>
      <b/>
      <sz val="11.0"/>
      <color rgb="FF00B050"/>
      <name val="Arial"/>
    </font>
    <font>
      <sz val="14.0"/>
      <color rgb="FF000000"/>
      <name val="Arial"/>
    </font>
    <font>
      <name val="Calibri"/>
    </font>
    <font>
      <b/>
      <sz val="14.0"/>
      <color rgb="FF000000"/>
      <name val="Arial"/>
    </font>
    <font>
      <b/>
      <sz val="18.0"/>
      <color rgb="FF000000"/>
      <name val="Arial"/>
    </font>
    <font>
      <color rgb="FF000000"/>
      <name val="Calibri"/>
    </font>
    <font>
      <b/>
      <sz val="18.0"/>
      <color rgb="FF000000"/>
      <name val="Calibri"/>
    </font>
    <font>
      <sz val="10.0"/>
      <name val="Calibri"/>
    </font>
    <font>
      <sz val="10.0"/>
      <color rgb="FF000000"/>
      <name val="Calibri"/>
    </font>
    <font>
      <color rgb="FF000000"/>
      <name val="Tahoma"/>
    </font>
    <font>
      <b/>
      <sz val="24.0"/>
    </font>
    <font>
      <b/>
      <sz val="10.0"/>
      <color rgb="FF999999"/>
    </font>
    <font>
      <color rgb="FF999999"/>
      <name val="Arial"/>
    </font>
    <font>
      <b/>
      <sz val="11.0"/>
      <name val="Calibri"/>
    </font>
    <font>
      <sz val="8.0"/>
      <color rgb="FF000000"/>
      <name val="&quot;Microsoft Sans Serif&quot;"/>
    </font>
    <font>
      <sz val="8.0"/>
      <name val="&quot;Microsoft Sans Serif&quot;"/>
    </font>
    <font>
      <b/>
      <color rgb="FFB45F06"/>
    </font>
    <font>
      <sz val="7.0"/>
    </font>
    <font>
      <b/>
      <sz val="9.0"/>
    </font>
    <font>
      <b/>
      <color rgb="FF000000"/>
      <name val="Roboto"/>
    </font>
  </fonts>
  <fills count="48">
    <fill>
      <patternFill patternType="none"/>
    </fill>
    <fill>
      <patternFill patternType="lightGray"/>
    </fill>
    <fill>
      <patternFill patternType="solid">
        <fgColor rgb="FFC9DAF8"/>
        <bgColor rgb="FFC9DAF8"/>
      </patternFill>
    </fill>
    <fill>
      <patternFill patternType="solid">
        <fgColor rgb="FFFFFFFF"/>
        <bgColor rgb="FFFFFFFF"/>
      </patternFill>
    </fill>
    <fill>
      <patternFill patternType="solid">
        <fgColor rgb="FFFFFF00"/>
        <bgColor rgb="FFFFFF00"/>
      </patternFill>
    </fill>
    <fill>
      <patternFill patternType="solid">
        <fgColor rgb="FFFFF2CC"/>
        <bgColor rgb="FFFFF2CC"/>
      </patternFill>
    </fill>
    <fill>
      <patternFill patternType="solid">
        <fgColor rgb="FFA4C2F4"/>
        <bgColor rgb="FFA4C2F4"/>
      </patternFill>
    </fill>
    <fill>
      <patternFill patternType="solid">
        <fgColor rgb="FFEA9999"/>
        <bgColor rgb="FFEA9999"/>
      </patternFill>
    </fill>
    <fill>
      <patternFill patternType="solid">
        <fgColor rgb="FFD9D9D9"/>
        <bgColor rgb="FFD9D9D9"/>
      </patternFill>
    </fill>
    <fill>
      <patternFill patternType="solid">
        <fgColor rgb="FFCCCCCC"/>
        <bgColor rgb="FFCCCCCC"/>
      </patternFill>
    </fill>
    <fill>
      <patternFill patternType="solid">
        <fgColor rgb="FFEFEFEF"/>
        <bgColor rgb="FFEFEFEF"/>
      </patternFill>
    </fill>
    <fill>
      <patternFill patternType="solid">
        <fgColor rgb="FFFCE8B2"/>
        <bgColor rgb="FFFCE8B2"/>
      </patternFill>
    </fill>
    <fill>
      <patternFill patternType="solid">
        <fgColor rgb="FF980000"/>
        <bgColor rgb="FF980000"/>
      </patternFill>
    </fill>
    <fill>
      <patternFill patternType="solid">
        <fgColor rgb="FFFF0000"/>
        <bgColor rgb="FFFF0000"/>
      </patternFill>
    </fill>
    <fill>
      <patternFill patternType="solid">
        <fgColor rgb="FFFF9900"/>
        <bgColor rgb="FFFF9900"/>
      </patternFill>
    </fill>
    <fill>
      <patternFill patternType="solid">
        <fgColor rgb="FF00FF00"/>
        <bgColor rgb="FF00FF00"/>
      </patternFill>
    </fill>
    <fill>
      <patternFill patternType="solid">
        <fgColor rgb="FF00FFFF"/>
        <bgColor rgb="FF00FFFF"/>
      </patternFill>
    </fill>
    <fill>
      <patternFill patternType="solid">
        <fgColor rgb="FF4A86E8"/>
        <bgColor rgb="FF4A86E8"/>
      </patternFill>
    </fill>
    <fill>
      <patternFill patternType="solid">
        <fgColor rgb="FF0000FF"/>
        <bgColor rgb="FF0000FF"/>
      </patternFill>
    </fill>
    <fill>
      <patternFill patternType="solid">
        <fgColor rgb="FF9900FF"/>
        <bgColor rgb="FF9900FF"/>
      </patternFill>
    </fill>
    <fill>
      <patternFill patternType="solid">
        <fgColor rgb="FFFF00FF"/>
        <bgColor rgb="FFFF00FF"/>
      </patternFill>
    </fill>
    <fill>
      <patternFill patternType="solid">
        <fgColor rgb="FFCC4125"/>
        <bgColor rgb="FFCC4125"/>
      </patternFill>
    </fill>
    <fill>
      <patternFill patternType="solid">
        <fgColor rgb="FFE06666"/>
        <bgColor rgb="FFE06666"/>
      </patternFill>
    </fill>
    <fill>
      <patternFill patternType="solid">
        <fgColor rgb="FFF6B26B"/>
        <bgColor rgb="FFF6B26B"/>
      </patternFill>
    </fill>
    <fill>
      <patternFill patternType="solid">
        <fgColor rgb="FFFFD966"/>
        <bgColor rgb="FFFFD966"/>
      </patternFill>
    </fill>
    <fill>
      <patternFill patternType="solid">
        <fgColor rgb="FF93C47D"/>
        <bgColor rgb="FF93C47D"/>
      </patternFill>
    </fill>
    <fill>
      <patternFill patternType="solid">
        <fgColor rgb="FF76A5AF"/>
        <bgColor rgb="FF76A5AF"/>
      </patternFill>
    </fill>
    <fill>
      <patternFill patternType="solid">
        <fgColor rgb="FF6D9EEB"/>
        <bgColor rgb="FF6D9EEB"/>
      </patternFill>
    </fill>
    <fill>
      <patternFill patternType="solid">
        <fgColor rgb="FF8E7CC3"/>
        <bgColor rgb="FF8E7CC3"/>
      </patternFill>
    </fill>
    <fill>
      <patternFill patternType="solid">
        <fgColor rgb="FFA64D79"/>
        <bgColor rgb="FFA64D79"/>
      </patternFill>
    </fill>
    <fill>
      <patternFill patternType="solid">
        <fgColor rgb="FF0B5394"/>
        <bgColor rgb="FF0B5394"/>
      </patternFill>
    </fill>
    <fill>
      <patternFill patternType="solid">
        <fgColor rgb="FF1155CC"/>
        <bgColor rgb="FF1155CC"/>
      </patternFill>
    </fill>
    <fill>
      <patternFill patternType="solid">
        <fgColor rgb="FF134F5C"/>
        <bgColor rgb="FF134F5C"/>
      </patternFill>
    </fill>
    <fill>
      <patternFill patternType="solid">
        <fgColor rgb="FFB45F06"/>
        <bgColor rgb="FFB45F06"/>
      </patternFill>
    </fill>
    <fill>
      <patternFill patternType="solid">
        <fgColor rgb="FFCC0000"/>
        <bgColor rgb="FFCC0000"/>
      </patternFill>
    </fill>
    <fill>
      <patternFill patternType="solid">
        <fgColor rgb="FF5B0F00"/>
        <bgColor rgb="FF5B0F00"/>
      </patternFill>
    </fill>
    <fill>
      <patternFill patternType="solid">
        <fgColor rgb="FF6FA8DC"/>
        <bgColor rgb="FF6FA8DC"/>
      </patternFill>
    </fill>
    <fill>
      <patternFill patternType="solid">
        <fgColor rgb="FF6AA84F"/>
        <bgColor rgb="FF6AA84F"/>
      </patternFill>
    </fill>
    <fill>
      <patternFill patternType="solid">
        <fgColor rgb="FFFFE599"/>
        <bgColor rgb="FFFFE599"/>
      </patternFill>
    </fill>
    <fill>
      <patternFill patternType="solid">
        <fgColor rgb="FFF4CCCC"/>
        <bgColor rgb="FFF4CCCC"/>
      </patternFill>
    </fill>
    <fill>
      <patternFill patternType="solid">
        <fgColor rgb="FFECEFF5"/>
        <bgColor rgb="FFECEFF5"/>
      </patternFill>
    </fill>
    <fill>
      <patternFill patternType="solid">
        <fgColor rgb="FF85200C"/>
        <bgColor rgb="FF85200C"/>
      </patternFill>
    </fill>
    <fill>
      <patternFill patternType="solid">
        <fgColor rgb="FFC0C0C0"/>
        <bgColor rgb="FFC0C0C0"/>
      </patternFill>
    </fill>
    <fill>
      <patternFill patternType="solid">
        <fgColor rgb="FFF2F2F2"/>
        <bgColor rgb="FFF2F2F2"/>
      </patternFill>
    </fill>
    <fill>
      <patternFill patternType="solid">
        <fgColor rgb="FFB7B7B7"/>
        <bgColor rgb="FFB7B7B7"/>
      </patternFill>
    </fill>
    <fill>
      <patternFill patternType="solid">
        <fgColor rgb="FFD0E0E3"/>
        <bgColor rgb="FFD0E0E3"/>
      </patternFill>
    </fill>
    <fill>
      <patternFill patternType="solid">
        <fgColor rgb="FF9FC5E8"/>
        <bgColor rgb="FF9FC5E8"/>
      </patternFill>
    </fill>
    <fill>
      <patternFill patternType="solid">
        <fgColor rgb="FFFDFFDF"/>
        <bgColor rgb="FFFDFFDF"/>
      </patternFill>
    </fill>
  </fills>
  <borders count="159">
    <border/>
    <border>
      <left style="thick">
        <color rgb="FFFF0000"/>
      </left>
      <top style="thick">
        <color rgb="FFFF0000"/>
      </top>
      <bottom style="thick">
        <color rgb="FFFF0000"/>
      </bottom>
    </border>
    <border>
      <top style="thick">
        <color rgb="FFFF0000"/>
      </top>
      <bottom style="thick">
        <color rgb="FFFF0000"/>
      </bottom>
    </border>
    <border>
      <right style="thick">
        <color rgb="FFFF0000"/>
      </right>
      <top style="thick">
        <color rgb="FFFF0000"/>
      </top>
      <bottom style="thick">
        <color rgb="FFFF0000"/>
      </bottom>
    </border>
    <border>
      <left style="medium">
        <color rgb="FFFF0000"/>
      </left>
      <top style="medium">
        <color rgb="FFFF0000"/>
      </top>
      <bottom style="medium">
        <color rgb="FFFF0000"/>
      </bottom>
    </border>
    <border>
      <top style="medium">
        <color rgb="FFFF0000"/>
      </top>
      <bottom style="medium">
        <color rgb="FFFF0000"/>
      </bottom>
    </border>
    <border>
      <right style="medium">
        <color rgb="FFFF0000"/>
      </right>
      <top style="medium">
        <color rgb="FFFF0000"/>
      </top>
      <bottom style="medium">
        <color rgb="FFFF0000"/>
      </bottom>
    </border>
    <border>
      <left style="medium">
        <color rgb="FFFF0000"/>
      </left>
      <top style="medium">
        <color rgb="FFFF0000"/>
      </top>
    </border>
    <border>
      <top style="medium">
        <color rgb="FFFF0000"/>
      </top>
    </border>
    <border>
      <right style="medium">
        <color rgb="FFFF0000"/>
      </right>
      <top style="medium">
        <color rgb="FFFF0000"/>
      </top>
    </border>
    <border>
      <left style="medium">
        <color rgb="FFFF0000"/>
      </left>
      <bottom style="medium">
        <color rgb="FFFF0000"/>
      </bottom>
    </border>
    <border>
      <bottom style="medium">
        <color rgb="FFFF0000"/>
      </bottom>
    </border>
    <border>
      <right style="medium">
        <color rgb="FFFF0000"/>
      </right>
      <bottom style="medium">
        <color rgb="FFFF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bottom style="thin">
        <color rgb="FF000000"/>
      </bottom>
    </border>
    <border>
      <bottom style="thin">
        <color rgb="FF000000"/>
      </bottom>
    </border>
    <border>
      <right style="thin">
        <color rgb="FF000000"/>
      </right>
      <bottom style="thin">
        <color rgb="FF000000"/>
      </bottom>
    </border>
    <border>
      <left style="thin">
        <color rgb="FF000000"/>
      </left>
    </border>
    <border>
      <left style="medium">
        <color rgb="FF000000"/>
      </left>
      <top style="medium">
        <color rgb="FF000000"/>
      </top>
    </border>
    <border>
      <left style="thin">
        <color rgb="FF000000"/>
      </left>
      <bottom style="thin">
        <color rgb="FF000000"/>
      </bottom>
    </border>
    <border>
      <right style="medium">
        <color rgb="FF000000"/>
      </right>
      <bottom style="thin">
        <color rgb="FF000000"/>
      </bottom>
    </border>
    <border>
      <left style="medium">
        <color rgb="FF000000"/>
      </lef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top style="medium">
        <color rgb="FF000000"/>
      </top>
    </border>
    <border>
      <left style="thin">
        <color rgb="FF000000"/>
      </left>
      <top style="medium">
        <color rgb="FF000000"/>
      </top>
    </border>
    <border>
      <right style="medium">
        <color rgb="FF000000"/>
      </right>
      <top style="medium">
        <color rgb="FF000000"/>
      </top>
    </border>
    <border>
      <left style="medium">
        <color rgb="FF000000"/>
      </left>
    </border>
    <border>
      <left style="thin">
        <color rgb="FF000000"/>
      </left>
      <right style="medium">
        <color rgb="FF000000"/>
      </right>
      <top style="thin">
        <color rgb="FF000000"/>
      </top>
      <bottom style="thin">
        <color rgb="FF000000"/>
      </bottom>
    </border>
    <border>
      <right style="thin">
        <color rgb="FF000000"/>
      </right>
    </border>
    <border>
      <right style="medium">
        <color rgb="FF000000"/>
      </right>
    </border>
    <border>
      <left style="medium">
        <color rgb="FF000000"/>
      </left>
      <right style="thin">
        <color rgb="FF000000"/>
      </right>
    </border>
    <border>
      <bottom style="medium">
        <color rgb="FF000000"/>
      </bottom>
    </border>
    <border>
      <right style="medium">
        <color rgb="FF000000"/>
      </right>
      <bottom style="medium">
        <color rgb="FF000000"/>
      </bottom>
    </border>
    <border>
      <right style="medium">
        <color rgb="FF000000"/>
      </right>
      <top style="thin">
        <color rgb="FF000000"/>
      </top>
      <bottom style="thin">
        <color rgb="FF000000"/>
      </bottom>
    </border>
    <border>
      <left style="medium">
        <color rgb="FF000000"/>
      </left>
      <top style="medium">
        <color rgb="FF000000"/>
      </top>
      <bottom style="thin">
        <color rgb="FF000000"/>
      </bottom>
    </border>
    <border>
      <top style="medium">
        <color rgb="FF000000"/>
      </top>
      <bottom style="thin">
        <color rgb="FF000000"/>
      </bottom>
    </border>
    <border>
      <right style="thin">
        <color rgb="FF000000"/>
      </right>
      <top style="medium">
        <color rgb="FF000000"/>
      </top>
      <bottom style="thin">
        <color rgb="FF000000"/>
      </bottom>
    </border>
    <border>
      <left style="medium">
        <color rgb="FF000000"/>
      </left>
      <top style="thin">
        <color rgb="FF000000"/>
      </top>
      <bottom style="thin">
        <color rgb="FF000000"/>
      </bottom>
    </border>
    <border>
      <left style="medium">
        <color rgb="FF000000"/>
      </left>
      <bottom style="thin">
        <color rgb="FF000000"/>
      </bottom>
    </border>
    <border>
      <right style="thin">
        <color rgb="FF000000"/>
      </right>
      <bottom style="medium">
        <color rgb="FF000000"/>
      </bottom>
    </border>
    <border>
      <right style="thin">
        <color rgb="FF000000"/>
      </right>
      <top style="thin">
        <color rgb="FF000000"/>
      </top>
    </border>
    <border>
      <left style="thin">
        <color rgb="FF000000"/>
      </left>
      <top style="thin">
        <color rgb="FF000000"/>
      </top>
    </border>
    <border>
      <top style="thin">
        <color rgb="FF000000"/>
      </top>
    </border>
    <border>
      <left style="thin">
        <color rgb="FF000000"/>
      </left>
      <right style="thin">
        <color rgb="FF000000"/>
      </right>
      <top style="thin">
        <color rgb="FF000000"/>
      </top>
    </border>
    <border>
      <left style="thin">
        <color rgb="FF000000"/>
      </left>
      <right style="thin">
        <color rgb="FF000000"/>
      </right>
    </border>
    <border>
      <right/>
    </border>
    <border>
      <left style="medium">
        <color rgb="FF000000"/>
      </left>
      <top style="thin">
        <color rgb="FF000000"/>
      </top>
    </border>
    <border>
      <right style="medium">
        <color rgb="FF000000"/>
      </right>
      <top style="thin">
        <color rgb="FF000000"/>
      </top>
    </border>
    <border>
      <left style="thin">
        <color rgb="FF000000"/>
      </left>
      <bottom style="thin">
        <color rgb="FFCCCCCC"/>
      </bottom>
    </border>
    <border>
      <left style="thin">
        <color rgb="FFCCCCCC"/>
      </left>
      <bottom style="thin">
        <color rgb="FFCCCCCC"/>
      </bottom>
    </border>
    <border>
      <bottom style="thin">
        <color rgb="FFCCCCCC"/>
      </bottom>
    </border>
    <border>
      <left style="thin">
        <color rgb="FF000000"/>
      </left>
      <right style="thin">
        <color rgb="FFCCCCCC"/>
      </right>
      <bottom style="thin">
        <color rgb="FFCCCCCC"/>
      </bottom>
    </border>
    <border>
      <right style="thin">
        <color rgb="FF000000"/>
      </right>
      <bottom style="thin">
        <color rgb="FFCCCCCC"/>
      </bottom>
    </border>
    <border>
      <left style="thin">
        <color rgb="FF000000"/>
      </left>
      <top style="thin">
        <color rgb="FFCCCCCC"/>
      </top>
      <bottom style="thin">
        <color rgb="FFCCCCCC"/>
      </bottom>
    </border>
    <border>
      <top style="thin">
        <color rgb="FFCCCCCC"/>
      </top>
      <bottom style="thin">
        <color rgb="FFCCCCCC"/>
      </bottom>
    </border>
    <border>
      <left style="thin">
        <color rgb="FF000000"/>
      </left>
      <right style="thin">
        <color rgb="FFCCCCCC"/>
      </right>
      <top style="thin">
        <color rgb="FFCCCCCC"/>
      </top>
      <bottom style="thin">
        <color rgb="FFCCCCCC"/>
      </bottom>
    </border>
    <border>
      <left style="thin">
        <color rgb="FFCCCCCC"/>
      </left>
      <top style="thin">
        <color rgb="FFCCCCCC"/>
      </top>
      <bottom style="thin">
        <color rgb="FFCCCCCC"/>
      </bottom>
    </border>
    <border>
      <right style="thin">
        <color rgb="FF000000"/>
      </right>
      <top style="thin">
        <color rgb="FFCCCCCC"/>
      </top>
      <bottom style="thin">
        <color rgb="FFCCCCCC"/>
      </bottom>
    </border>
    <border>
      <left style="thin">
        <color rgb="FF000000"/>
      </left>
      <top style="thin">
        <color rgb="FFCCCCCC"/>
      </top>
      <bottom style="thin">
        <color rgb="FF000000"/>
      </bottom>
    </border>
    <border>
      <left style="thin">
        <color rgb="FFCCCCCC"/>
      </left>
      <top style="thin">
        <color rgb="FFCCCCCC"/>
      </top>
      <bottom style="thin">
        <color rgb="FF000000"/>
      </bottom>
    </border>
    <border>
      <top style="thin">
        <color rgb="FFCCCCCC"/>
      </top>
      <bottom style="thin">
        <color rgb="FF000000"/>
      </bottom>
    </border>
    <border>
      <left style="thin">
        <color rgb="FF000000"/>
      </left>
      <right style="thin">
        <color rgb="FFCCCCCC"/>
      </right>
      <top style="thin">
        <color rgb="FFCCCCCC"/>
      </top>
      <bottom style="thin">
        <color rgb="FF000000"/>
      </bottom>
    </border>
    <border>
      <right style="thin">
        <color rgb="FF000000"/>
      </right>
      <top style="thin">
        <color rgb="FFCCCCCC"/>
      </top>
      <bottom style="thin">
        <color rgb="FF000000"/>
      </bottom>
    </border>
    <border>
      <left style="thin">
        <color rgb="FFECEFF5"/>
      </left>
      <right style="thin">
        <color rgb="FF000000"/>
      </right>
      <top style="thin">
        <color rgb="FF000000"/>
      </top>
    </border>
    <border>
      <left style="thin">
        <color rgb="FFECEFF5"/>
      </left>
      <top style="thin">
        <color rgb="FFECEFF5"/>
      </top>
      <bottom style="thin">
        <color rgb="FFECEFF5"/>
      </bottom>
    </border>
    <border>
      <left style="thin">
        <color rgb="FFECEFF5"/>
      </left>
      <bottom style="thin">
        <color rgb="FF000000"/>
      </bottom>
    </border>
    <border>
      <left style="thin">
        <color rgb="FF000000"/>
      </left>
      <right style="thin">
        <color rgb="FF000000"/>
      </right>
      <top style="thick">
        <color rgb="FFFF0000"/>
      </top>
      <bottom style="thin">
        <color rgb="FF000000"/>
      </bottom>
    </border>
    <border>
      <top style="thick">
        <color rgb="FFFF0000"/>
      </top>
      <bottom style="thin">
        <color rgb="FF000000"/>
      </bottom>
    </border>
    <border>
      <right style="thin">
        <color rgb="FF000000"/>
      </right>
      <top style="thick">
        <color rgb="FFFF0000"/>
      </top>
      <bottom style="thin">
        <color rgb="FF000000"/>
      </bottom>
    </border>
    <border>
      <right/>
      <bottom style="thin">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top style="thin">
        <color rgb="FF000000"/>
      </top>
      <bottom style="thin">
        <color rgb="FFCCCCCC"/>
      </bottom>
    </border>
    <border>
      <right style="thin">
        <color rgb="FF000000"/>
      </right>
      <top style="thin">
        <color rgb="FF000000"/>
      </top>
      <bottom style="thin">
        <color rgb="FFCCCCCC"/>
      </bottom>
    </border>
    <border>
      <left style="medium">
        <color rgb="FF000000"/>
      </left>
      <right style="thin">
        <color rgb="FF000000"/>
      </right>
      <top style="thin">
        <color rgb="FF000000"/>
      </top>
      <bottom style="thin">
        <color rgb="FF000000"/>
      </bottom>
    </border>
    <border>
      <right style="thin">
        <color rgb="FF000000"/>
      </right>
      <top style="medium">
        <color rgb="FF000000"/>
      </top>
    </border>
    <border>
      <left style="thin">
        <color rgb="FF000000"/>
      </left>
      <top style="medium">
        <color rgb="FF000000"/>
      </top>
      <bottom style="medium">
        <color rgb="FF000000"/>
      </bottom>
    </border>
    <border>
      <right style="thin">
        <color rgb="FF000000"/>
      </right>
      <top style="medium">
        <color rgb="FF000000"/>
      </top>
      <bottom style="medium">
        <color rgb="FF000000"/>
      </bottom>
    </border>
    <border>
      <left style="thin">
        <color rgb="FF000000"/>
      </left>
      <right style="thin">
        <color rgb="FF000000"/>
      </right>
      <top style="medium">
        <color rgb="FF000000"/>
      </top>
      <bottom style="thin">
        <color rgb="FF000000"/>
      </bottom>
    </border>
    <border>
      <left style="thin">
        <color rgb="FF000000"/>
      </left>
      <top style="medium">
        <color rgb="FF000000"/>
      </top>
      <bottom style="thin">
        <color rgb="FF000000"/>
      </bottom>
    </border>
    <border>
      <left style="thick">
        <color rgb="FF000000"/>
      </left>
    </border>
    <border>
      <left style="thick">
        <color rgb="FF000000"/>
      </left>
      <bottom style="medium">
        <color rgb="FF000000"/>
      </bottom>
    </border>
    <border>
      <right style="thick">
        <color rgb="FF000000"/>
      </right>
      <top style="medium">
        <color rgb="FF000000"/>
      </top>
    </border>
    <border>
      <right style="thick">
        <color rgb="FF000000"/>
      </right>
    </border>
    <border>
      <right style="thick">
        <color rgb="FF000000"/>
      </right>
      <bottom style="medium">
        <color rgb="FF000000"/>
      </bottom>
    </border>
    <border>
      <right style="medium">
        <color rgb="FF000000"/>
      </right>
      <top style="medium">
        <color rgb="FF000000"/>
      </top>
      <bottom style="thin">
        <color rgb="FF000000"/>
      </bottom>
    </border>
    <border>
      <left style="medium">
        <color rgb="FF000000"/>
      </left>
      <top style="thin">
        <color rgb="FF000000"/>
      </top>
      <bottom style="medium">
        <color rgb="FF000000"/>
      </bottom>
    </border>
    <border>
      <right style="thin">
        <color rgb="FF000000"/>
      </right>
      <top style="thin">
        <color rgb="FF000000"/>
      </top>
      <bottom style="medium">
        <color rgb="FF000000"/>
      </bottom>
    </border>
    <border>
      <left style="thick">
        <color rgb="FF000000"/>
      </left>
      <top style="medium">
        <color rgb="FF000000"/>
      </top>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n">
        <color rgb="FF000000"/>
      </left>
      <right style="thin">
        <color rgb="FF000000"/>
      </right>
      <bottom style="medium">
        <color rgb="FF000000"/>
      </bottom>
    </border>
    <border>
      <left style="thin">
        <color rgb="FF000000"/>
      </left>
      <bottom style="medium">
        <color rgb="FF000000"/>
      </bottom>
    </border>
    <border>
      <left style="thin">
        <color rgb="FF000000"/>
      </left>
      <right style="thick">
        <color rgb="FF000000"/>
      </right>
      <bottom style="medium">
        <color rgb="FF000000"/>
      </bottom>
    </border>
    <border>
      <left style="thin">
        <color rgb="FF000000"/>
      </left>
      <right style="medium">
        <color rgb="FF000000"/>
      </right>
    </border>
    <border>
      <left style="thin">
        <color rgb="FF000000"/>
      </left>
      <right style="medium">
        <color rgb="FF000000"/>
      </right>
      <top style="medium">
        <color rgb="FF000000"/>
      </top>
      <bottom style="medium">
        <color rgb="FF000000"/>
      </bottom>
    </border>
    <border>
      <left style="thin">
        <color rgb="FF000000"/>
      </left>
      <right style="thick">
        <color rgb="FF000000"/>
      </right>
      <top style="medium">
        <color rgb="FF000000"/>
      </top>
      <bottom style="medium">
        <color rgb="FF000000"/>
      </bottom>
    </border>
    <border>
      <left style="thin">
        <color rgb="FF000000"/>
      </left>
      <right style="thick">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thick">
        <color rgb="FF000000"/>
      </right>
      <top style="thin">
        <color rgb="FF000000"/>
      </top>
    </border>
    <border>
      <left style="medium">
        <color rgb="FF000000"/>
      </left>
      <right style="thin">
        <color rgb="FF000000"/>
      </right>
      <bottom style="medium">
        <color rgb="FF000000"/>
      </bottom>
    </border>
    <border>
      <left style="thick">
        <color rgb="FF000000"/>
      </left>
      <right style="thin">
        <color rgb="FF000000"/>
      </right>
      <bottom style="medium">
        <color rgb="FF000000"/>
      </bottom>
    </border>
    <border>
      <left style="thick">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ck">
        <color rgb="FF000000"/>
      </left>
      <right style="thin">
        <color rgb="FF000000"/>
      </right>
      <top style="thin">
        <color rgb="FF000000"/>
      </top>
    </border>
    <border>
      <left style="thick">
        <color rgb="FF000000"/>
      </left>
      <top style="thin">
        <color rgb="FF000000"/>
      </top>
      <bottom style="medium">
        <color rgb="FF000000"/>
      </bottom>
    </border>
    <border>
      <left style="medium">
        <color rgb="FF000000"/>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right style="thick">
        <color rgb="FF000000"/>
      </right>
      <top style="medium">
        <color rgb="FF000000"/>
      </top>
      <bottom style="medium">
        <color rgb="FF000000"/>
      </bottom>
    </border>
    <border>
      <left style="thick">
        <color rgb="FF000000"/>
      </left>
      <right style="thin">
        <color rgb="FF000000"/>
      </right>
      <top style="medium">
        <color rgb="FF000000"/>
      </top>
      <bottom style="medium">
        <color rgb="FF000000"/>
      </bottom>
    </border>
    <border>
      <right style="thick">
        <color rgb="FF000000"/>
      </right>
      <bottom style="thin">
        <color rgb="FF000000"/>
      </bottom>
    </border>
    <border>
      <left style="thick">
        <color rgb="FF000000"/>
      </left>
      <right style="thin">
        <color rgb="FF000000"/>
      </right>
    </border>
    <border>
      <right style="thick">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right style="thick">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medium">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thin">
        <color rgb="FF000000"/>
      </left>
      <right style="medium">
        <color rgb="FF000000"/>
      </right>
      <top style="thin">
        <color rgb="FF000000"/>
      </top>
      <bottom style="medium">
        <color rgb="FF000000"/>
      </bottom>
    </border>
    <border>
      <left/>
      <top/>
    </border>
    <border>
      <top/>
    </border>
    <border>
      <right/>
      <top/>
    </border>
    <border>
      <left/>
      <bottom style="thin">
        <color rgb="FF000000"/>
      </bottom>
    </border>
    <border>
      <left style="medium">
        <color rgb="FF000000"/>
      </left>
      <right style="medium">
        <color rgb="FF000000"/>
      </right>
      <top style="medium">
        <color rgb="FF000000"/>
      </top>
    </border>
    <border>
      <left style="medium">
        <color rgb="FF000000"/>
      </left>
      <right style="thin">
        <color rgb="FF000000"/>
      </right>
      <top style="medium">
        <color rgb="FF000000"/>
      </top>
    </border>
    <border>
      <left style="thin">
        <color rgb="FF000000"/>
      </left>
      <right style="medium">
        <color rgb="FF000000"/>
      </right>
      <top style="medium">
        <color rgb="FF000000"/>
      </top>
    </border>
    <border>
      <left style="medium">
        <color rgb="FF000000"/>
      </left>
      <right style="medium">
        <color rgb="FF000000"/>
      </right>
    </border>
    <border>
      <left style="medium">
        <color rgb="FF000000"/>
      </left>
      <right style="thin">
        <color rgb="FF000000"/>
      </right>
      <bottom style="thin">
        <color rgb="FF000000"/>
      </bottom>
    </border>
    <border>
      <left style="thin">
        <color rgb="FF000000"/>
      </left>
      <right style="medium">
        <color rgb="FF000000"/>
      </right>
      <bottom style="medium">
        <color rgb="FF000000"/>
      </bottom>
    </border>
    <border>
      <left style="medium">
        <color rgb="FF000000"/>
      </left>
      <right style="medium">
        <color rgb="FF000000"/>
      </right>
      <bottom style="medium">
        <color rgb="FF000000"/>
      </bottom>
    </border>
    <border>
      <left style="medium">
        <color rgb="FF000000"/>
      </left>
      <right style="medium">
        <color rgb="FF000000"/>
      </right>
      <top style="medium">
        <color rgb="FF000000"/>
      </top>
      <bottom style="medium">
        <color rgb="FF000000"/>
      </bottom>
    </border>
    <border>
      <left style="thin">
        <color rgb="FF000000"/>
      </left>
      <right style="medium">
        <color rgb="FF000000"/>
      </right>
      <bottom style="thin">
        <color rgb="FF000000"/>
      </bottom>
    </border>
    <border>
      <top style="thick">
        <color rgb="FF980000"/>
      </top>
      <bottom style="thick">
        <color rgb="FF980000"/>
      </bottom>
    </border>
    <border>
      <left style="thick">
        <color rgb="FF0000FF"/>
      </left>
      <top style="thick">
        <color rgb="FF0000FF"/>
      </top>
      <bottom style="thick">
        <color rgb="FF0000FF"/>
      </bottom>
    </border>
    <border>
      <right style="thick">
        <color rgb="FF0000FF"/>
      </right>
      <top style="thick">
        <color rgb="FF0000FF"/>
      </top>
      <bottom style="thick">
        <color rgb="FF0000FF"/>
      </bottom>
    </border>
    <border>
      <bottom style="thin">
        <color rgb="FF980000"/>
      </bottom>
    </border>
    <border>
      <left style="medium">
        <color rgb="FF000000"/>
      </left>
      <top style="dotted">
        <color rgb="FF000000"/>
      </top>
      <bottom style="dotted">
        <color rgb="FF000000"/>
      </bottom>
    </border>
    <border>
      <top style="dotted">
        <color rgb="FF000000"/>
      </top>
      <bottom style="dotted">
        <color rgb="FF000000"/>
      </bottom>
    </border>
    <border>
      <right style="medium">
        <color rgb="FF000000"/>
      </right>
      <top style="dotted">
        <color rgb="FF000000"/>
      </top>
      <bottom style="dotted">
        <color rgb="FF000000"/>
      </bottom>
    </border>
    <border>
      <right style="medium">
        <color rgb="FF000000"/>
      </right>
      <top style="dotted">
        <color rgb="FF000000"/>
      </top>
      <bottom style="medium">
        <color rgb="FF000000"/>
      </bottom>
    </border>
    <border>
      <left style="medium">
        <color rgb="FF000000"/>
      </left>
      <right style="dotted">
        <color rgb="FF000000"/>
      </right>
      <bottom style="dotted">
        <color rgb="FF000000"/>
      </bottom>
    </border>
    <border>
      <left style="dotted">
        <color rgb="FF000000"/>
      </left>
      <right style="dotted">
        <color rgb="FF000000"/>
      </right>
      <bottom style="dotted">
        <color rgb="FF000000"/>
      </bottom>
    </border>
    <border>
      <left style="dotted">
        <color rgb="FF000000"/>
      </left>
      <right style="medium">
        <color rgb="FF000000"/>
      </right>
      <top style="medium">
        <color rgb="FF000000"/>
      </top>
      <bottom style="dotted">
        <color rgb="FF000000"/>
      </bottom>
    </border>
    <border>
      <left style="medium">
        <color rgb="FF000000"/>
      </left>
      <right style="dotted">
        <color rgb="FF000000"/>
      </right>
      <top style="dotted">
        <color rgb="FF000000"/>
      </top>
      <bottom style="medium">
        <color rgb="FF000000"/>
      </bottom>
    </border>
    <border>
      <left style="dotted">
        <color rgb="FF000000"/>
      </left>
      <right style="dotted">
        <color rgb="FF000000"/>
      </right>
      <top style="dotted">
        <color rgb="FF000000"/>
      </top>
      <bottom style="medium">
        <color rgb="FF000000"/>
      </bottom>
    </border>
    <border>
      <left style="dotted">
        <color rgb="FF000000"/>
      </left>
      <right style="medium">
        <color rgb="FF000000"/>
      </right>
      <top style="dotted">
        <color rgb="FF000000"/>
      </top>
      <bottom style="medium">
        <color rgb="FF000000"/>
      </bottom>
    </border>
    <border>
      <left style="medium">
        <color rgb="FF000000"/>
      </left>
      <right style="dotted">
        <color rgb="FF000000"/>
      </right>
      <top style="medium">
        <color rgb="FF000000"/>
      </top>
      <bottom style="dotted">
        <color rgb="FF000000"/>
      </bottom>
    </border>
    <border>
      <left style="dotted">
        <color rgb="FF000000"/>
      </left>
      <right style="dotted">
        <color rgb="FF000000"/>
      </right>
      <top style="medium">
        <color rgb="FF000000"/>
      </top>
      <bottom style="dotted">
        <color rgb="FF000000"/>
      </bottom>
    </border>
    <border>
      <left style="thick">
        <color rgb="FF000000"/>
      </left>
      <top style="thick">
        <color rgb="FF000000"/>
      </top>
    </border>
    <border>
      <right style="thick">
        <color rgb="FF000000"/>
      </right>
      <top style="thick">
        <color rgb="FF000000"/>
      </top>
    </border>
    <border>
      <left style="thick">
        <color rgb="FF000000"/>
      </left>
      <bottom style="thick">
        <color rgb="FF000000"/>
      </bottom>
    </border>
    <border>
      <right style="thick">
        <color rgb="FF000000"/>
      </right>
      <bottom style="thick">
        <color rgb="FF000000"/>
      </bottom>
    </border>
  </borders>
  <cellStyleXfs count="1">
    <xf borderId="0" fillId="0" fontId="0" numFmtId="0" applyAlignment="1" applyFont="1"/>
  </cellStyleXfs>
  <cellXfs count="2024">
    <xf borderId="0" fillId="0" fontId="0" numFmtId="0" xfId="0" applyAlignment="1" applyFont="1">
      <alignment readingOrder="0" shrinkToFit="0" vertical="bottom" wrapText="0"/>
    </xf>
    <xf borderId="0" fillId="2" fontId="1" numFmtId="0" xfId="0" applyAlignment="1" applyFill="1" applyFont="1">
      <alignment horizontal="center" readingOrder="0"/>
    </xf>
    <xf borderId="0" fillId="2" fontId="2" numFmtId="0" xfId="0" applyAlignment="1" applyFont="1">
      <alignment horizontal="right" readingOrder="0" shrinkToFit="0" wrapText="1"/>
    </xf>
    <xf borderId="0" fillId="2" fontId="3" numFmtId="0" xfId="0" applyAlignment="1" applyFont="1">
      <alignment readingOrder="0"/>
    </xf>
    <xf borderId="0" fillId="2" fontId="4" numFmtId="0" xfId="0" applyAlignment="1" applyFont="1">
      <alignment readingOrder="0"/>
    </xf>
    <xf borderId="0" fillId="3" fontId="5" numFmtId="0" xfId="0" applyAlignment="1" applyFill="1" applyFont="1">
      <alignment horizontal="left" readingOrder="0" shrinkToFit="0" vertical="top" wrapText="1"/>
    </xf>
    <xf borderId="1" fillId="4" fontId="6" numFmtId="0" xfId="0" applyAlignment="1" applyBorder="1" applyFill="1" applyFont="1">
      <alignment horizontal="center" readingOrder="0"/>
    </xf>
    <xf borderId="2" fillId="0" fontId="4" numFmtId="0" xfId="0" applyBorder="1" applyFont="1"/>
    <xf borderId="3" fillId="0" fontId="4" numFmtId="0" xfId="0" applyBorder="1" applyFont="1"/>
    <xf borderId="0" fillId="0" fontId="7" numFmtId="0" xfId="0" applyAlignment="1" applyFont="1">
      <alignment readingOrder="0" shrinkToFit="0" vertical="top" wrapText="1"/>
    </xf>
    <xf borderId="4" fillId="5" fontId="8" numFmtId="0" xfId="0" applyAlignment="1" applyBorder="1" applyFill="1" applyFont="1">
      <alignment readingOrder="0"/>
    </xf>
    <xf borderId="5" fillId="5" fontId="8" numFmtId="0" xfId="0" applyBorder="1" applyFont="1"/>
    <xf borderId="6" fillId="5" fontId="8" numFmtId="0" xfId="0" applyBorder="1" applyFont="1"/>
    <xf borderId="4" fillId="5" fontId="9" numFmtId="0" xfId="0" applyAlignment="1" applyBorder="1" applyFont="1">
      <alignment vertical="bottom"/>
    </xf>
    <xf borderId="5" fillId="5" fontId="10" numFmtId="0" xfId="0" applyAlignment="1" applyBorder="1" applyFont="1">
      <alignment vertical="bottom"/>
    </xf>
    <xf borderId="6" fillId="5" fontId="10" numFmtId="0" xfId="0" applyAlignment="1" applyBorder="1" applyFont="1">
      <alignment vertical="bottom"/>
    </xf>
    <xf borderId="0" fillId="5" fontId="4" numFmtId="0" xfId="0" applyAlignment="1" applyFont="1">
      <alignment readingOrder="0"/>
    </xf>
    <xf borderId="0" fillId="5" fontId="4" numFmtId="0" xfId="0" applyFont="1"/>
    <xf borderId="0" fillId="5" fontId="10" numFmtId="0" xfId="0" applyAlignment="1" applyFont="1">
      <alignment vertical="bottom"/>
    </xf>
    <xf borderId="0" fillId="5" fontId="11" numFmtId="0" xfId="0" applyAlignment="1" applyFont="1">
      <alignment shrinkToFit="0" vertical="top" wrapText="1"/>
    </xf>
    <xf borderId="0" fillId="5" fontId="12" numFmtId="0" xfId="0" applyAlignment="1" applyFont="1">
      <alignment readingOrder="0"/>
    </xf>
    <xf borderId="0" fillId="0" fontId="13" numFmtId="0" xfId="0" applyAlignment="1" applyFont="1">
      <alignment readingOrder="0"/>
    </xf>
    <xf borderId="0" fillId="5" fontId="11" numFmtId="0" xfId="0" applyAlignment="1" applyFont="1">
      <alignment readingOrder="0" shrinkToFit="0" vertical="top" wrapText="1"/>
    </xf>
    <xf borderId="0" fillId="5" fontId="14" numFmtId="0" xfId="0" applyAlignment="1" applyFont="1">
      <alignment readingOrder="0" shrinkToFit="0" vertical="top" wrapText="1"/>
    </xf>
    <xf borderId="0" fillId="0" fontId="10" numFmtId="0" xfId="0" applyAlignment="1" applyFont="1">
      <alignment vertical="bottom"/>
    </xf>
    <xf borderId="7" fillId="5" fontId="10" numFmtId="0" xfId="0" applyAlignment="1" applyBorder="1" applyFont="1">
      <alignment readingOrder="0" shrinkToFit="0" vertical="top" wrapText="1"/>
    </xf>
    <xf borderId="8" fillId="0" fontId="4" numFmtId="0" xfId="0" applyBorder="1" applyFont="1"/>
    <xf borderId="9" fillId="0" fontId="4" numFmtId="0" xfId="0" applyBorder="1" applyFont="1"/>
    <xf borderId="7" fillId="5" fontId="10" numFmtId="0" xfId="0" applyAlignment="1" applyBorder="1" applyFont="1">
      <alignment shrinkToFit="0" vertical="top" wrapText="1"/>
    </xf>
    <xf borderId="10" fillId="0" fontId="4" numFmtId="0" xfId="0" applyBorder="1" applyFont="1"/>
    <xf borderId="11" fillId="0" fontId="4" numFmtId="0" xfId="0" applyBorder="1" applyFont="1"/>
    <xf borderId="12" fillId="0" fontId="4" numFmtId="0" xfId="0" applyBorder="1" applyFont="1"/>
    <xf borderId="13" fillId="6" fontId="8" numFmtId="0" xfId="0" applyAlignment="1" applyBorder="1" applyFill="1" applyFont="1">
      <alignment readingOrder="0"/>
    </xf>
    <xf borderId="13" fillId="6" fontId="8" numFmtId="0" xfId="0" applyAlignment="1" applyBorder="1" applyFont="1">
      <alignment readingOrder="0" shrinkToFit="0" wrapText="1"/>
    </xf>
    <xf borderId="13" fillId="5" fontId="8" numFmtId="0" xfId="0" applyAlignment="1" applyBorder="1" applyFont="1">
      <alignment horizontal="center" readingOrder="0" shrinkToFit="0" vertical="center" wrapText="1"/>
    </xf>
    <xf borderId="13" fillId="5" fontId="4" numFmtId="0" xfId="0" applyAlignment="1" applyBorder="1" applyFont="1">
      <alignment readingOrder="0" vertical="top"/>
    </xf>
    <xf borderId="13" fillId="5" fontId="4" numFmtId="0" xfId="0" applyAlignment="1" applyBorder="1" applyFont="1">
      <alignment readingOrder="0" shrinkToFit="0" wrapText="1"/>
    </xf>
    <xf borderId="13" fillId="7" fontId="4" numFmtId="0" xfId="0" applyAlignment="1" applyBorder="1" applyFill="1" applyFont="1">
      <alignment readingOrder="0" shrinkToFit="0" wrapText="1"/>
    </xf>
    <xf quotePrefix="1" borderId="13" fillId="5" fontId="8" numFmtId="0" xfId="0" applyAlignment="1" applyBorder="1" applyFont="1">
      <alignment horizontal="center" readingOrder="0" shrinkToFit="0" vertical="center" wrapText="1"/>
    </xf>
    <xf borderId="13" fillId="5" fontId="4" numFmtId="0" xfId="0" applyAlignment="1" applyBorder="1" applyFont="1">
      <alignment readingOrder="0" shrinkToFit="0" vertical="center" wrapText="1"/>
    </xf>
    <xf borderId="0" fillId="0" fontId="4" numFmtId="0" xfId="0" applyAlignment="1" applyFont="1">
      <alignment shrinkToFit="0" wrapText="1"/>
    </xf>
    <xf borderId="0" fillId="0" fontId="4" numFmtId="0" xfId="0" applyAlignment="1" applyFont="1">
      <alignment readingOrder="0"/>
    </xf>
    <xf borderId="0" fillId="0" fontId="2" numFmtId="0" xfId="0" applyAlignment="1" applyFont="1">
      <alignment readingOrder="0"/>
    </xf>
    <xf borderId="13" fillId="0" fontId="8" numFmtId="0" xfId="0" applyAlignment="1" applyBorder="1" applyFont="1">
      <alignment readingOrder="0"/>
    </xf>
    <xf borderId="14" fillId="5" fontId="4" numFmtId="0" xfId="0" applyAlignment="1" applyBorder="1" applyFont="1">
      <alignment readingOrder="0"/>
    </xf>
    <xf borderId="15" fillId="0" fontId="4" numFmtId="0" xfId="0" applyBorder="1" applyFont="1"/>
    <xf borderId="13" fillId="5" fontId="4" numFmtId="0" xfId="0" applyAlignment="1" applyBorder="1" applyFont="1">
      <alignment horizontal="right" readingOrder="0"/>
    </xf>
    <xf borderId="14" fillId="5" fontId="4" numFmtId="164" xfId="0" applyAlignment="1" applyBorder="1" applyFont="1" applyNumberFormat="1">
      <alignment horizontal="left" readingOrder="0"/>
    </xf>
    <xf borderId="15" fillId="5" fontId="4" numFmtId="165" xfId="0" applyAlignment="1" applyBorder="1" applyFont="1" applyNumberFormat="1">
      <alignment horizontal="center" readingOrder="0"/>
    </xf>
    <xf borderId="0" fillId="0" fontId="10" numFmtId="0" xfId="0" applyAlignment="1" applyFont="1">
      <alignment readingOrder="0"/>
    </xf>
    <xf borderId="13" fillId="0" fontId="9" numFmtId="0" xfId="0" applyBorder="1" applyFont="1"/>
    <xf borderId="16" fillId="5" fontId="10" numFmtId="14" xfId="0" applyAlignment="1" applyBorder="1" applyFont="1" applyNumberFormat="1">
      <alignment vertical="bottom"/>
    </xf>
    <xf borderId="0" fillId="3" fontId="10" numFmtId="14" xfId="0" applyFont="1" applyNumberFormat="1"/>
    <xf borderId="17" fillId="0" fontId="9" numFmtId="0" xfId="0" applyBorder="1" applyFont="1"/>
    <xf borderId="18" fillId="5" fontId="12" numFmtId="0" xfId="0" applyAlignment="1" applyBorder="1" applyFont="1">
      <alignment readingOrder="0" vertical="bottom"/>
    </xf>
    <xf borderId="19" fillId="0" fontId="4" numFmtId="0" xfId="0" applyBorder="1" applyFont="1"/>
    <xf borderId="17" fillId="0" fontId="9" numFmtId="0" xfId="0" applyAlignment="1" applyBorder="1" applyFont="1">
      <alignment vertical="bottom"/>
    </xf>
    <xf borderId="18" fillId="5" fontId="12" numFmtId="14" xfId="0" applyAlignment="1" applyBorder="1" applyFont="1" applyNumberFormat="1">
      <alignment vertical="bottom"/>
    </xf>
    <xf borderId="18" fillId="0" fontId="10" numFmtId="14" xfId="0" applyBorder="1" applyFont="1" applyNumberFormat="1"/>
    <xf borderId="14" fillId="0" fontId="15" numFmtId="0" xfId="0" applyAlignment="1" applyBorder="1" applyFont="1">
      <alignment horizontal="left" readingOrder="0" vertical="center"/>
    </xf>
    <xf borderId="13" fillId="5" fontId="16" numFmtId="14" xfId="0" applyAlignment="1" applyBorder="1" applyFont="1" applyNumberFormat="1">
      <alignment horizontal="center" readingOrder="0" vertical="center"/>
    </xf>
    <xf borderId="13" fillId="0" fontId="16" numFmtId="0" xfId="0" applyAlignment="1" applyBorder="1" applyFont="1">
      <alignment readingOrder="0" vertical="center"/>
    </xf>
    <xf borderId="13" fillId="5" fontId="16" numFmtId="166" xfId="0" applyAlignment="1" applyBorder="1" applyFont="1" applyNumberFormat="1">
      <alignment horizontal="center" readingOrder="0" vertical="center"/>
    </xf>
    <xf borderId="13" fillId="0" fontId="16" numFmtId="0" xfId="0" applyAlignment="1" applyBorder="1" applyFont="1">
      <alignment vertical="center"/>
    </xf>
    <xf borderId="13" fillId="0" fontId="15" numFmtId="0" xfId="0" applyAlignment="1" applyBorder="1" applyFont="1">
      <alignment horizontal="left" vertical="center"/>
    </xf>
    <xf borderId="13" fillId="5" fontId="16" numFmtId="49" xfId="0" applyAlignment="1" applyBorder="1" applyFont="1" applyNumberFormat="1">
      <alignment horizontal="center" readingOrder="0" vertical="center"/>
    </xf>
    <xf borderId="14" fillId="0" fontId="8" numFmtId="0" xfId="0" applyAlignment="1" applyBorder="1" applyFont="1">
      <alignment readingOrder="0"/>
    </xf>
    <xf borderId="13" fillId="0" fontId="4" numFmtId="0" xfId="0" applyBorder="1" applyFont="1"/>
    <xf borderId="14" fillId="0" fontId="9" numFmtId="0" xfId="0" applyAlignment="1" applyBorder="1" applyFont="1">
      <alignment shrinkToFit="0" vertical="bottom" wrapText="0"/>
    </xf>
    <xf borderId="15" fillId="5" fontId="10" numFmtId="14" xfId="0" applyAlignment="1" applyBorder="1" applyFont="1" applyNumberFormat="1">
      <alignment horizontal="center"/>
    </xf>
    <xf borderId="13" fillId="5" fontId="10" numFmtId="0" xfId="0" applyAlignment="1" applyBorder="1" applyFont="1">
      <alignment horizontal="right" vertical="bottom"/>
    </xf>
    <xf borderId="0" fillId="0" fontId="17" numFmtId="0" xfId="0" applyAlignment="1" applyFont="1">
      <alignment horizontal="center" readingOrder="0"/>
    </xf>
    <xf borderId="20" fillId="0" fontId="8" numFmtId="0" xfId="0" applyAlignment="1" applyBorder="1" applyFont="1">
      <alignment readingOrder="0"/>
    </xf>
    <xf borderId="14" fillId="5" fontId="18" numFmtId="0" xfId="0" applyAlignment="1" applyBorder="1" applyFont="1">
      <alignment readingOrder="0"/>
    </xf>
    <xf borderId="16" fillId="0" fontId="4" numFmtId="0" xfId="0" applyBorder="1" applyFont="1"/>
    <xf borderId="21" fillId="0" fontId="8" numFmtId="0" xfId="0" applyAlignment="1" applyBorder="1" applyFont="1">
      <alignment readingOrder="0"/>
    </xf>
    <xf borderId="22" fillId="5" fontId="4" numFmtId="0" xfId="0" applyAlignment="1" applyBorder="1" applyFont="1">
      <alignment readingOrder="0"/>
    </xf>
    <xf borderId="18" fillId="0" fontId="4" numFmtId="0" xfId="0" applyBorder="1" applyFont="1"/>
    <xf borderId="23" fillId="0" fontId="4" numFmtId="0" xfId="0" applyBorder="1" applyFont="1"/>
    <xf borderId="24" fillId="0" fontId="4" numFmtId="0" xfId="0" applyBorder="1" applyFont="1"/>
    <xf borderId="25" fillId="0" fontId="19" numFmtId="0" xfId="0" applyAlignment="1" applyBorder="1" applyFont="1">
      <alignment readingOrder="0" shrinkToFit="0" wrapText="1"/>
    </xf>
    <xf borderId="26" fillId="0" fontId="4" numFmtId="0" xfId="0" applyBorder="1" applyFont="1"/>
    <xf borderId="27" fillId="0" fontId="4" numFmtId="0" xfId="0" applyBorder="1" applyFont="1"/>
    <xf borderId="21" fillId="0" fontId="10" numFmtId="0" xfId="0" applyAlignment="1" applyBorder="1" applyFont="1">
      <alignment readingOrder="0" vertical="bottom"/>
    </xf>
    <xf borderId="28" fillId="0" fontId="4" numFmtId="0" xfId="0" applyBorder="1" applyFont="1"/>
    <xf borderId="29" fillId="8" fontId="20" numFmtId="0" xfId="0" applyAlignment="1" applyBorder="1" applyFill="1" applyFont="1">
      <alignment horizontal="center" readingOrder="0" vertical="bottom"/>
    </xf>
    <xf borderId="30" fillId="0" fontId="4" numFmtId="0" xfId="0" applyBorder="1" applyFont="1"/>
    <xf borderId="31" fillId="0" fontId="9" numFmtId="0" xfId="0" applyAlignment="1" applyBorder="1" applyFont="1">
      <alignment horizontal="right" vertical="bottom"/>
    </xf>
    <xf borderId="14" fillId="5" fontId="12" numFmtId="0" xfId="0" applyAlignment="1" applyBorder="1" applyFont="1">
      <alignment readingOrder="0" vertical="top"/>
    </xf>
    <xf borderId="20" fillId="0" fontId="21" numFmtId="0" xfId="0" applyAlignment="1" applyBorder="1" applyFont="1">
      <alignment readingOrder="0" shrinkToFit="0" wrapText="1"/>
    </xf>
    <xf borderId="13" fillId="9" fontId="22" numFmtId="0" xfId="0" applyAlignment="1" applyBorder="1" applyFill="1" applyFont="1">
      <alignment horizontal="center" readingOrder="0" vertical="bottom"/>
    </xf>
    <xf borderId="32" fillId="9" fontId="22" numFmtId="0" xfId="0" applyAlignment="1" applyBorder="1" applyFont="1">
      <alignment horizontal="center" readingOrder="0" vertical="bottom"/>
    </xf>
    <xf borderId="31" fillId="0" fontId="23" numFmtId="0" xfId="0" applyAlignment="1" applyBorder="1" applyFont="1">
      <alignment horizontal="right" readingOrder="0" vertical="center"/>
    </xf>
    <xf borderId="20" fillId="0" fontId="10" numFmtId="0" xfId="0" applyAlignment="1" applyBorder="1" applyFont="1">
      <alignment readingOrder="0" shrinkToFit="0" vertical="center" wrapText="1"/>
    </xf>
    <xf borderId="33" fillId="0" fontId="4" numFmtId="0" xfId="0" applyBorder="1" applyFont="1"/>
    <xf borderId="13" fillId="9" fontId="22" numFmtId="0" xfId="0" applyAlignment="1" applyBorder="1" applyFont="1">
      <alignment horizontal="center" vertical="bottom"/>
    </xf>
    <xf borderId="32" fillId="9" fontId="22" numFmtId="0" xfId="0" applyAlignment="1" applyBorder="1" applyFont="1">
      <alignment horizontal="center" vertical="bottom"/>
    </xf>
    <xf borderId="31" fillId="0" fontId="8" numFmtId="0" xfId="0" applyAlignment="1" applyBorder="1" applyFont="1">
      <alignment horizontal="right" readingOrder="0"/>
    </xf>
    <xf borderId="14" fillId="5" fontId="12" numFmtId="0" xfId="0" applyAlignment="1" applyBorder="1" applyFont="1">
      <alignment horizontal="right" readingOrder="0" vertical="bottom"/>
    </xf>
    <xf borderId="20" fillId="0" fontId="19" numFmtId="0" xfId="0" applyAlignment="1" applyBorder="1" applyFont="1">
      <alignment readingOrder="0" shrinkToFit="0" vertical="top" wrapText="1"/>
    </xf>
    <xf borderId="0" fillId="3" fontId="10" numFmtId="0" xfId="0" applyAlignment="1" applyFont="1">
      <alignment vertical="bottom"/>
    </xf>
    <xf borderId="32" fillId="9" fontId="22" numFmtId="0" xfId="0" applyAlignment="1" applyBorder="1" applyFont="1">
      <alignment horizontal="center" vertical="bottom"/>
    </xf>
    <xf borderId="31" fillId="0" fontId="9" numFmtId="0" xfId="0" applyAlignment="1" applyBorder="1" applyFont="1">
      <alignment horizontal="right" readingOrder="0" vertical="bottom"/>
    </xf>
    <xf borderId="14" fillId="5" fontId="12" numFmtId="0" xfId="0" applyAlignment="1" applyBorder="1" applyFont="1">
      <alignment horizontal="right" readingOrder="0" vertical="bottom"/>
    </xf>
    <xf borderId="22" fillId="0" fontId="4" numFmtId="0" xfId="0" applyBorder="1" applyFont="1"/>
    <xf borderId="13" fillId="9" fontId="10" numFmtId="167" xfId="0" applyAlignment="1" applyBorder="1" applyFont="1" applyNumberFormat="1">
      <alignment horizontal="center" vertical="bottom"/>
    </xf>
    <xf borderId="32" fillId="9" fontId="10" numFmtId="167" xfId="0" applyAlignment="1" applyBorder="1" applyFont="1" applyNumberFormat="1">
      <alignment horizontal="center" vertical="bottom"/>
    </xf>
    <xf borderId="31" fillId="0" fontId="4" numFmtId="0" xfId="0" applyBorder="1" applyFont="1"/>
    <xf borderId="34" fillId="0" fontId="4" numFmtId="0" xfId="0" applyBorder="1" applyFont="1"/>
    <xf borderId="35" fillId="0" fontId="9" numFmtId="0" xfId="0" applyAlignment="1" applyBorder="1" applyFont="1">
      <alignment horizontal="right" vertical="bottom"/>
    </xf>
    <xf borderId="14" fillId="9" fontId="10" numFmtId="0" xfId="0" applyAlignment="1" applyBorder="1" applyFont="1">
      <alignment readingOrder="0" vertical="bottom"/>
    </xf>
    <xf borderId="24" fillId="0" fontId="10" numFmtId="0" xfId="0" applyAlignment="1" applyBorder="1" applyFont="1">
      <alignment vertical="bottom"/>
    </xf>
    <xf borderId="36" fillId="0" fontId="10" numFmtId="0" xfId="0" applyAlignment="1" applyBorder="1" applyFont="1">
      <alignment readingOrder="0" vertical="bottom"/>
    </xf>
    <xf borderId="36" fillId="0" fontId="4" numFmtId="0" xfId="0" applyBorder="1" applyFont="1"/>
    <xf borderId="36" fillId="0" fontId="10" numFmtId="0" xfId="0" applyAlignment="1" applyBorder="1" applyFont="1">
      <alignment vertical="bottom"/>
    </xf>
    <xf borderId="37" fillId="0" fontId="4" numFmtId="0" xfId="0" applyBorder="1" applyFont="1"/>
    <xf borderId="28" fillId="0" fontId="19" numFmtId="0" xfId="0" applyAlignment="1" applyBorder="1" applyFont="1">
      <alignment readingOrder="0" shrinkToFit="0" wrapText="1"/>
    </xf>
    <xf borderId="28" fillId="0" fontId="24" numFmtId="0" xfId="0" applyBorder="1" applyFont="1"/>
    <xf borderId="0" fillId="0" fontId="8" numFmtId="0" xfId="0" applyAlignment="1" applyFont="1">
      <alignment readingOrder="0"/>
    </xf>
    <xf borderId="31" fillId="0" fontId="4" numFmtId="0" xfId="0" applyAlignment="1" applyBorder="1" applyFont="1">
      <alignment readingOrder="0"/>
    </xf>
    <xf borderId="13" fillId="5" fontId="4" numFmtId="0" xfId="0" applyAlignment="1" applyBorder="1" applyFont="1">
      <alignment readingOrder="0"/>
    </xf>
    <xf borderId="14" fillId="9" fontId="4" numFmtId="0" xfId="0" applyAlignment="1" applyBorder="1" applyFont="1">
      <alignment readingOrder="0"/>
    </xf>
    <xf borderId="38" fillId="9" fontId="4" numFmtId="0" xfId="0" applyBorder="1" applyFont="1"/>
    <xf borderId="13" fillId="5" fontId="4" numFmtId="0" xfId="0" applyAlignment="1" applyBorder="1" applyFont="1">
      <alignment readingOrder="0" shrinkToFit="0" wrapText="0"/>
    </xf>
    <xf borderId="13" fillId="10" fontId="4" numFmtId="0" xfId="0" applyAlignment="1" applyBorder="1" applyFill="1" applyFont="1">
      <alignment readingOrder="0"/>
    </xf>
    <xf borderId="32" fillId="8" fontId="4" numFmtId="0" xfId="0" applyAlignment="1" applyBorder="1" applyFont="1">
      <alignment horizontal="center" readingOrder="0"/>
    </xf>
    <xf borderId="32" fillId="8" fontId="4" numFmtId="168" xfId="0" applyAlignment="1" applyBorder="1" applyFont="1" applyNumberFormat="1">
      <alignment horizontal="center"/>
    </xf>
    <xf borderId="32" fillId="8" fontId="4" numFmtId="169" xfId="0" applyAlignment="1" applyBorder="1" applyFont="1" applyNumberFormat="1">
      <alignment horizontal="center"/>
    </xf>
    <xf borderId="0" fillId="0" fontId="8" numFmtId="0" xfId="0" applyAlignment="1" applyFont="1">
      <alignment horizontal="right" readingOrder="0"/>
    </xf>
    <xf borderId="13" fillId="11" fontId="0" numFmtId="0" xfId="0" applyAlignment="1" applyBorder="1" applyFill="1" applyFont="1">
      <alignment horizontal="left" readingOrder="0" shrinkToFit="0" wrapText="1"/>
    </xf>
    <xf borderId="15" fillId="5" fontId="4" numFmtId="0" xfId="0" applyAlignment="1" applyBorder="1" applyFont="1">
      <alignment readingOrder="0"/>
    </xf>
    <xf borderId="31" fillId="0" fontId="4" numFmtId="0" xfId="0" applyAlignment="1" applyBorder="1" applyFont="1">
      <alignment readingOrder="0" shrinkToFit="0" wrapText="0"/>
    </xf>
    <xf borderId="13" fillId="11" fontId="4" numFmtId="0" xfId="0" applyAlignment="1" applyBorder="1" applyFont="1">
      <alignment readingOrder="0"/>
    </xf>
    <xf borderId="0" fillId="0" fontId="4" numFmtId="0" xfId="0" applyAlignment="1" applyFont="1">
      <alignment horizontal="right"/>
    </xf>
    <xf borderId="39" fillId="8" fontId="8" numFmtId="0" xfId="0" applyAlignment="1" applyBorder="1" applyFont="1">
      <alignment readingOrder="0"/>
    </xf>
    <xf borderId="40" fillId="0" fontId="4" numFmtId="0" xfId="0" applyBorder="1" applyFont="1"/>
    <xf borderId="41" fillId="0" fontId="4" numFmtId="0" xfId="0" applyBorder="1" applyFont="1"/>
    <xf borderId="42" fillId="0" fontId="4" numFmtId="0" xfId="0" applyAlignment="1" applyBorder="1" applyFont="1">
      <alignment readingOrder="0" vertical="center"/>
    </xf>
    <xf borderId="16" fillId="11" fontId="4" numFmtId="12" xfId="0" applyAlignment="1" applyBorder="1" applyFont="1" applyNumberFormat="1">
      <alignment readingOrder="0" vertical="center"/>
    </xf>
    <xf borderId="14" fillId="0" fontId="4" numFmtId="0" xfId="0" applyAlignment="1" applyBorder="1" applyFont="1">
      <alignment readingOrder="0" vertical="center"/>
    </xf>
    <xf borderId="16" fillId="0" fontId="4" numFmtId="0" xfId="0" applyAlignment="1" applyBorder="1" applyFont="1">
      <alignment vertical="center"/>
    </xf>
    <xf borderId="16" fillId="8" fontId="8" numFmtId="0" xfId="0" applyAlignment="1" applyBorder="1" applyFont="1">
      <alignment readingOrder="0"/>
    </xf>
    <xf borderId="15" fillId="8" fontId="8" numFmtId="0" xfId="0" applyAlignment="1" applyBorder="1" applyFont="1">
      <alignment readingOrder="0"/>
    </xf>
    <xf borderId="15" fillId="11" fontId="4" numFmtId="0" xfId="0" applyAlignment="1" applyBorder="1" applyFont="1">
      <alignment readingOrder="0" vertical="center"/>
    </xf>
    <xf borderId="42" fillId="0" fontId="10" numFmtId="0" xfId="0" applyAlignment="1" applyBorder="1" applyFont="1">
      <alignment vertical="center"/>
    </xf>
    <xf borderId="16" fillId="11" fontId="25" numFmtId="0" xfId="0" applyAlignment="1" applyBorder="1" applyFont="1">
      <alignment vertical="center"/>
    </xf>
    <xf borderId="42" fillId="8" fontId="8" numFmtId="0" xfId="0" applyAlignment="1" applyBorder="1" applyFont="1">
      <alignment readingOrder="0" vertical="center"/>
    </xf>
    <xf borderId="16" fillId="8" fontId="4" numFmtId="0" xfId="0" applyAlignment="1" applyBorder="1" applyFont="1">
      <alignment vertical="center"/>
    </xf>
    <xf borderId="16" fillId="8" fontId="8" numFmtId="0" xfId="0" applyAlignment="1" applyBorder="1" applyFont="1">
      <alignment readingOrder="0" vertical="center"/>
    </xf>
    <xf borderId="38" fillId="0" fontId="4" numFmtId="0" xfId="0" applyBorder="1" applyFont="1"/>
    <xf borderId="13" fillId="11" fontId="4" numFmtId="12" xfId="0" applyAlignment="1" applyBorder="1" applyFont="1" applyNumberFormat="1">
      <alignment readingOrder="0" vertical="center"/>
    </xf>
    <xf borderId="16" fillId="0" fontId="4" numFmtId="0" xfId="0" applyAlignment="1" applyBorder="1" applyFont="1">
      <alignment readingOrder="0" vertical="center"/>
    </xf>
    <xf borderId="42" fillId="0" fontId="12" numFmtId="0" xfId="0" applyAlignment="1" applyBorder="1" applyFont="1">
      <alignment vertical="center"/>
    </xf>
    <xf borderId="16" fillId="0" fontId="10" numFmtId="0" xfId="0" applyAlignment="1" applyBorder="1" applyFont="1">
      <alignment vertical="center"/>
    </xf>
    <xf borderId="16" fillId="0" fontId="26" numFmtId="0" xfId="0" applyAlignment="1" applyBorder="1" applyFont="1">
      <alignment readingOrder="0" vertical="center"/>
    </xf>
    <xf borderId="43" fillId="0" fontId="10" numFmtId="0" xfId="0" applyAlignment="1" applyBorder="1" applyFont="1">
      <alignment readingOrder="0" vertical="center"/>
    </xf>
    <xf borderId="42" fillId="3" fontId="4" numFmtId="0" xfId="0" applyAlignment="1" applyBorder="1" applyFont="1">
      <alignment readingOrder="0" vertical="center"/>
    </xf>
    <xf borderId="42" fillId="0" fontId="4" numFmtId="0" xfId="0" applyAlignment="1" applyBorder="1" applyFont="1">
      <alignment horizontal="left" readingOrder="0" vertical="center"/>
    </xf>
    <xf borderId="18" fillId="11" fontId="8" numFmtId="12" xfId="0" applyAlignment="1" applyBorder="1" applyFont="1" applyNumberFormat="1">
      <alignment horizontal="center" readingOrder="0" vertical="center"/>
    </xf>
    <xf borderId="24" fillId="0" fontId="4" numFmtId="0" xfId="0" applyAlignment="1" applyBorder="1" applyFont="1">
      <alignment readingOrder="0" shrinkToFit="0" vertical="top" wrapText="1"/>
    </xf>
    <xf borderId="36" fillId="0" fontId="21" numFmtId="0" xfId="0" applyAlignment="1" applyBorder="1" applyFont="1">
      <alignment horizontal="center" readingOrder="0" vertical="center"/>
    </xf>
    <xf borderId="44" fillId="0" fontId="4" numFmtId="0" xfId="0" applyBorder="1" applyFont="1"/>
    <xf borderId="14" fillId="9" fontId="8" numFmtId="0" xfId="0" applyAlignment="1" applyBorder="1" applyFont="1">
      <alignment horizontal="center" readingOrder="0"/>
    </xf>
    <xf borderId="45" fillId="0" fontId="4" numFmtId="0" xfId="0" applyAlignment="1" applyBorder="1" applyFont="1">
      <alignment readingOrder="0" shrinkToFit="0" vertical="top" wrapText="1"/>
    </xf>
    <xf borderId="46" fillId="0" fontId="4" numFmtId="0" xfId="0" applyAlignment="1" applyBorder="1" applyFont="1">
      <alignment readingOrder="0" shrinkToFit="0" vertical="top" wrapText="1"/>
    </xf>
    <xf borderId="47" fillId="0" fontId="4" numFmtId="0" xfId="0" applyBorder="1" applyFont="1"/>
    <xf borderId="20" fillId="0" fontId="4" numFmtId="0" xfId="0" applyBorder="1" applyFont="1"/>
    <xf borderId="14" fillId="8" fontId="9" numFmtId="0" xfId="0" applyAlignment="1" applyBorder="1" applyFont="1">
      <alignment horizontal="center" vertical="bottom"/>
    </xf>
    <xf borderId="17" fillId="8" fontId="9" numFmtId="0" xfId="0" applyAlignment="1" applyBorder="1" applyFont="1">
      <alignment vertical="bottom"/>
    </xf>
    <xf borderId="19" fillId="8" fontId="9" numFmtId="0" xfId="0" applyAlignment="1" applyBorder="1" applyFont="1">
      <alignment vertical="bottom"/>
    </xf>
    <xf borderId="13" fillId="0" fontId="10" numFmtId="0" xfId="0" applyAlignment="1" applyBorder="1" applyFont="1">
      <alignment readingOrder="0" vertical="bottom"/>
    </xf>
    <xf borderId="13" fillId="12" fontId="27" numFmtId="0" xfId="0" applyAlignment="1" applyBorder="1" applyFill="1" applyFont="1">
      <alignment horizontal="center" readingOrder="0"/>
    </xf>
    <xf borderId="13" fillId="9" fontId="8" numFmtId="0" xfId="0" applyAlignment="1" applyBorder="1" applyFont="1">
      <alignment horizontal="center" readingOrder="0"/>
    </xf>
    <xf borderId="13" fillId="9" fontId="8" numFmtId="0" xfId="0" applyAlignment="1" applyBorder="1" applyFont="1">
      <alignment readingOrder="0"/>
    </xf>
    <xf borderId="13" fillId="13" fontId="4" numFmtId="0" xfId="0" applyBorder="1" applyFill="1" applyFont="1"/>
    <xf borderId="13" fillId="11" fontId="10" numFmtId="0" xfId="0" applyAlignment="1" applyBorder="1" applyFont="1">
      <alignment vertical="bottom"/>
    </xf>
    <xf borderId="13" fillId="14" fontId="4" numFmtId="0" xfId="0" applyBorder="1" applyFill="1" applyFont="1"/>
    <xf borderId="17" fillId="11" fontId="10" numFmtId="0" xfId="0" applyAlignment="1" applyBorder="1" applyFont="1">
      <alignment vertical="bottom"/>
    </xf>
    <xf borderId="17" fillId="0" fontId="10" numFmtId="0" xfId="0" applyAlignment="1" applyBorder="1" applyFont="1">
      <alignment readingOrder="0" vertical="bottom"/>
    </xf>
    <xf borderId="13" fillId="4" fontId="4" numFmtId="0" xfId="0" applyBorder="1" applyFont="1"/>
    <xf borderId="13" fillId="15" fontId="4" numFmtId="0" xfId="0" applyBorder="1" applyFill="1" applyFont="1"/>
    <xf borderId="13" fillId="16" fontId="4" numFmtId="0" xfId="0" applyBorder="1" applyFill="1" applyFont="1"/>
    <xf borderId="13" fillId="17" fontId="4" numFmtId="0" xfId="0" applyBorder="1" applyFill="1" applyFont="1"/>
    <xf borderId="13" fillId="11" fontId="10" numFmtId="0" xfId="0" applyAlignment="1" applyBorder="1" applyFont="1">
      <alignment readingOrder="0" vertical="bottom"/>
    </xf>
    <xf borderId="17" fillId="11" fontId="10" numFmtId="0" xfId="0" applyAlignment="1" applyBorder="1" applyFont="1">
      <alignment readingOrder="0" vertical="bottom"/>
    </xf>
    <xf borderId="13" fillId="0" fontId="4" numFmtId="0" xfId="0" applyAlignment="1" applyBorder="1" applyFont="1">
      <alignment readingOrder="0"/>
    </xf>
    <xf borderId="13" fillId="18" fontId="4" numFmtId="0" xfId="0" applyBorder="1" applyFill="1" applyFont="1"/>
    <xf borderId="13" fillId="19" fontId="4" numFmtId="0" xfId="0" applyBorder="1" applyFill="1" applyFont="1"/>
    <xf borderId="13" fillId="20" fontId="4" numFmtId="0" xfId="0" applyBorder="1" applyFill="1" applyFont="1"/>
    <xf borderId="13" fillId="21" fontId="4" numFmtId="0" xfId="0" applyBorder="1" applyFill="1" applyFont="1"/>
    <xf borderId="13" fillId="22" fontId="4" numFmtId="0" xfId="0" applyBorder="1" applyFill="1" applyFont="1"/>
    <xf borderId="13" fillId="23" fontId="4" numFmtId="0" xfId="0" applyBorder="1" applyFill="1" applyFont="1"/>
    <xf borderId="13" fillId="24" fontId="4" numFmtId="0" xfId="0" applyBorder="1" applyFill="1" applyFont="1"/>
    <xf borderId="13" fillId="0" fontId="4" numFmtId="0" xfId="0" applyAlignment="1" applyBorder="1" applyFont="1">
      <alignment readingOrder="0"/>
    </xf>
    <xf borderId="13" fillId="25" fontId="4" numFmtId="0" xfId="0" applyBorder="1" applyFill="1" applyFont="1"/>
    <xf borderId="13" fillId="26" fontId="4" numFmtId="0" xfId="0" applyBorder="1" applyFill="1" applyFont="1"/>
    <xf borderId="13" fillId="27" fontId="4" numFmtId="0" xfId="0" applyBorder="1" applyFill="1" applyFont="1"/>
    <xf borderId="13" fillId="28" fontId="4" numFmtId="0" xfId="0" applyBorder="1" applyFill="1" applyFont="1"/>
    <xf borderId="13" fillId="29" fontId="4" numFmtId="0" xfId="0" applyBorder="1" applyFill="1" applyFont="1"/>
    <xf borderId="13" fillId="30" fontId="4" numFmtId="0" xfId="0" applyBorder="1" applyFill="1" applyFont="1"/>
    <xf borderId="13" fillId="31" fontId="4" numFmtId="0" xfId="0" applyBorder="1" applyFill="1" applyFont="1"/>
    <xf borderId="13" fillId="32" fontId="4" numFmtId="0" xfId="0" applyBorder="1" applyFill="1" applyFont="1"/>
    <xf borderId="13" fillId="33" fontId="4" numFmtId="0" xfId="0" applyBorder="1" applyFill="1" applyFont="1"/>
    <xf borderId="13" fillId="34" fontId="4" numFmtId="0" xfId="0" applyBorder="1" applyFill="1" applyFont="1"/>
    <xf borderId="17" fillId="11" fontId="10" numFmtId="0" xfId="0" applyAlignment="1" applyBorder="1" applyFont="1">
      <alignment vertical="bottom"/>
    </xf>
    <xf borderId="13" fillId="35" fontId="4" numFmtId="0" xfId="0" applyBorder="1" applyFill="1" applyFont="1"/>
    <xf borderId="13" fillId="36" fontId="4" numFmtId="0" xfId="0" applyBorder="1" applyFill="1" applyFont="1"/>
    <xf borderId="13" fillId="11" fontId="4" numFmtId="0" xfId="0" applyBorder="1" applyFont="1"/>
    <xf borderId="13" fillId="37" fontId="4" numFmtId="0" xfId="0" applyBorder="1" applyFill="1" applyFont="1"/>
    <xf borderId="46" fillId="0" fontId="8" numFmtId="0" xfId="0" applyAlignment="1" applyBorder="1" applyFont="1">
      <alignment horizontal="left" readingOrder="0" shrinkToFit="0" vertical="top" wrapText="1"/>
    </xf>
    <xf borderId="45" fillId="0" fontId="4" numFmtId="0" xfId="0" applyBorder="1" applyFont="1"/>
    <xf borderId="20" fillId="0" fontId="12" numFmtId="0" xfId="0" applyAlignment="1" applyBorder="1" applyFont="1">
      <alignment readingOrder="0"/>
    </xf>
    <xf borderId="0" fillId="0" fontId="4" numFmtId="0" xfId="0" applyAlignment="1" applyFont="1">
      <alignment horizontal="center"/>
    </xf>
    <xf borderId="14" fillId="0" fontId="4" numFmtId="0" xfId="0" applyAlignment="1" applyBorder="1" applyFont="1">
      <alignment readingOrder="0"/>
    </xf>
    <xf borderId="14" fillId="0" fontId="28" numFmtId="0" xfId="0" applyBorder="1" applyFont="1"/>
    <xf borderId="46" fillId="0" fontId="29" numFmtId="0" xfId="0" applyAlignment="1" applyBorder="1" applyFont="1">
      <alignment readingOrder="0" shrinkToFit="0" vertical="top" wrapText="1"/>
    </xf>
    <xf borderId="48" fillId="0" fontId="4" numFmtId="0" xfId="0" applyAlignment="1" applyBorder="1" applyFont="1">
      <alignment horizontal="center" readingOrder="0" shrinkToFit="0" vertical="top" wrapText="1"/>
    </xf>
    <xf borderId="49" fillId="38" fontId="4" numFmtId="0" xfId="0" applyAlignment="1" applyBorder="1" applyFill="1" applyFont="1">
      <alignment horizontal="center" readingOrder="0" shrinkToFit="0" vertical="top" wrapText="1"/>
    </xf>
    <xf borderId="17" fillId="0" fontId="4" numFmtId="0" xfId="0" applyAlignment="1" applyBorder="1" applyFont="1">
      <alignment horizontal="center" readingOrder="0" shrinkToFit="0" vertical="top" wrapText="1"/>
    </xf>
    <xf borderId="13" fillId="0" fontId="4" numFmtId="0" xfId="0" applyAlignment="1" applyBorder="1" applyFont="1">
      <alignment readingOrder="0" vertical="center"/>
    </xf>
    <xf borderId="13" fillId="5" fontId="4" numFmtId="0" xfId="0" applyAlignment="1" applyBorder="1" applyFont="1">
      <alignment horizontal="center" readingOrder="0" vertical="center"/>
    </xf>
    <xf borderId="14" fillId="0" fontId="4" numFmtId="0" xfId="0" applyAlignment="1" applyBorder="1" applyFont="1">
      <alignment readingOrder="0" shrinkToFit="0" wrapText="1"/>
    </xf>
    <xf borderId="50" fillId="13" fontId="30" numFmtId="0" xfId="0" applyAlignment="1" applyBorder="1" applyFont="1">
      <alignment readingOrder="0" shrinkToFit="0" vertical="bottom" wrapText="0"/>
    </xf>
    <xf borderId="50" fillId="13" fontId="10" numFmtId="0" xfId="0" applyAlignment="1" applyBorder="1" applyFont="1">
      <alignment vertical="bottom"/>
    </xf>
    <xf borderId="0" fillId="13" fontId="10" numFmtId="0" xfId="0" applyAlignment="1" applyFont="1">
      <alignment vertical="bottom"/>
    </xf>
    <xf borderId="0" fillId="0" fontId="10" numFmtId="0" xfId="0" applyAlignment="1" applyFont="1">
      <alignment readingOrder="0" vertical="bottom"/>
    </xf>
    <xf borderId="50" fillId="0" fontId="9" numFmtId="0" xfId="0" applyAlignment="1" applyBorder="1" applyFont="1">
      <alignment shrinkToFit="0" vertical="bottom" wrapText="0"/>
    </xf>
    <xf borderId="13" fillId="0" fontId="10" numFmtId="0" xfId="0" applyAlignment="1" applyBorder="1" applyFont="1">
      <alignment vertical="bottom"/>
    </xf>
    <xf borderId="0" fillId="0" fontId="9" numFmtId="0" xfId="0" applyAlignment="1" applyFont="1">
      <alignment horizontal="center" vertical="bottom"/>
    </xf>
    <xf borderId="0" fillId="0" fontId="10" numFmtId="0" xfId="0" applyAlignment="1" applyFont="1">
      <alignment horizontal="center" vertical="bottom"/>
    </xf>
    <xf borderId="0" fillId="8" fontId="31" numFmtId="0" xfId="0" applyAlignment="1" applyFont="1">
      <alignment horizontal="center" readingOrder="0" vertical="bottom"/>
    </xf>
    <xf borderId="18" fillId="0" fontId="32" numFmtId="0" xfId="0" applyAlignment="1" applyBorder="1" applyFont="1">
      <alignment vertical="bottom"/>
    </xf>
    <xf borderId="18" fillId="0" fontId="10" numFmtId="170" xfId="0" applyAlignment="1" applyBorder="1" applyFont="1" applyNumberFormat="1">
      <alignment vertical="bottom"/>
    </xf>
    <xf borderId="18" fillId="0" fontId="10" numFmtId="0" xfId="0" applyAlignment="1" applyBorder="1" applyFont="1">
      <alignment vertical="bottom"/>
    </xf>
    <xf borderId="18" fillId="0" fontId="10" numFmtId="0" xfId="0" applyAlignment="1" applyBorder="1" applyFont="1">
      <alignment vertical="bottom"/>
    </xf>
    <xf borderId="17" fillId="8" fontId="10" numFmtId="0" xfId="0" applyAlignment="1" applyBorder="1" applyFont="1">
      <alignment vertical="bottom"/>
    </xf>
    <xf borderId="19" fillId="0" fontId="10" numFmtId="170" xfId="0" applyAlignment="1" applyBorder="1" applyFont="1" applyNumberFormat="1">
      <alignment horizontal="right" vertical="bottom"/>
    </xf>
    <xf borderId="19" fillId="8" fontId="10" numFmtId="0" xfId="0" applyAlignment="1" applyBorder="1" applyFont="1">
      <alignment vertical="bottom"/>
    </xf>
    <xf borderId="19" fillId="0" fontId="10" numFmtId="167" xfId="0" applyAlignment="1" applyBorder="1" applyFont="1" applyNumberFormat="1">
      <alignment vertical="bottom"/>
    </xf>
    <xf borderId="19" fillId="0" fontId="10" numFmtId="167" xfId="0" applyAlignment="1" applyBorder="1" applyFont="1" applyNumberFormat="1">
      <alignment horizontal="center" vertical="bottom"/>
    </xf>
    <xf borderId="13" fillId="3" fontId="33" numFmtId="0" xfId="0" applyAlignment="1" applyBorder="1" applyFont="1">
      <alignment horizontal="right" readingOrder="0" vertical="bottom"/>
    </xf>
    <xf borderId="13" fillId="0" fontId="10" numFmtId="0" xfId="0" applyAlignment="1" applyBorder="1" applyFont="1">
      <alignment vertical="bottom"/>
    </xf>
    <xf borderId="33" fillId="0" fontId="10" numFmtId="0" xfId="0" applyAlignment="1" applyBorder="1" applyFont="1">
      <alignment vertical="bottom"/>
    </xf>
    <xf borderId="19" fillId="8" fontId="10" numFmtId="0" xfId="0" applyAlignment="1" applyBorder="1" applyFont="1">
      <alignment horizontal="right" vertical="bottom"/>
    </xf>
    <xf borderId="13" fillId="9" fontId="10" numFmtId="0" xfId="0" applyAlignment="1" applyBorder="1" applyFont="1">
      <alignment horizontal="right" readingOrder="0" vertical="bottom"/>
    </xf>
    <xf borderId="19" fillId="0" fontId="10" numFmtId="0" xfId="0" applyAlignment="1" applyBorder="1" applyFont="1">
      <alignment horizontal="right" vertical="bottom"/>
    </xf>
    <xf borderId="13" fillId="0" fontId="10" numFmtId="0" xfId="0" applyAlignment="1" applyBorder="1" applyFont="1">
      <alignment horizontal="right" vertical="bottom"/>
    </xf>
    <xf borderId="33" fillId="0" fontId="10" numFmtId="0" xfId="0" applyAlignment="1" applyBorder="1" applyFont="1">
      <alignment vertical="bottom"/>
    </xf>
    <xf borderId="13" fillId="8" fontId="10" numFmtId="0" xfId="0" applyAlignment="1" applyBorder="1" applyFont="1">
      <alignment horizontal="right" vertical="bottom"/>
    </xf>
    <xf borderId="19" fillId="0" fontId="10" numFmtId="21" xfId="0" applyAlignment="1" applyBorder="1" applyFont="1" applyNumberFormat="1">
      <alignment horizontal="right" vertical="bottom"/>
    </xf>
    <xf borderId="13" fillId="0" fontId="10" numFmtId="21" xfId="0" applyAlignment="1" applyBorder="1" applyFont="1" applyNumberFormat="1">
      <alignment horizontal="right" vertical="bottom"/>
    </xf>
    <xf borderId="13" fillId="8" fontId="10" numFmtId="0" xfId="0" applyAlignment="1" applyBorder="1" applyFont="1">
      <alignment horizontal="right" readingOrder="0" vertical="bottom"/>
    </xf>
    <xf borderId="15" fillId="0" fontId="10" numFmtId="21" xfId="0" applyAlignment="1" applyBorder="1" applyFont="1" applyNumberFormat="1">
      <alignment horizontal="right" vertical="bottom"/>
    </xf>
    <xf borderId="18" fillId="8" fontId="10" numFmtId="0" xfId="0" applyAlignment="1" applyBorder="1" applyFont="1">
      <alignment horizontal="right" readingOrder="0" vertical="bottom"/>
    </xf>
    <xf borderId="0" fillId="0" fontId="10" numFmtId="171" xfId="0" applyAlignment="1" applyFont="1" applyNumberFormat="1">
      <alignment readingOrder="0" vertical="bottom"/>
    </xf>
    <xf borderId="19" fillId="6" fontId="10" numFmtId="172" xfId="0" applyAlignment="1" applyBorder="1" applyFont="1" applyNumberFormat="1">
      <alignment horizontal="center" vertical="bottom"/>
    </xf>
    <xf borderId="14" fillId="3" fontId="33" numFmtId="0" xfId="0" applyAlignment="1" applyBorder="1" applyFont="1">
      <alignment readingOrder="0" vertical="bottom"/>
    </xf>
    <xf borderId="19" fillId="8" fontId="10" numFmtId="0" xfId="0" applyAlignment="1" applyBorder="1" applyFont="1">
      <alignment horizontal="center" vertical="bottom"/>
    </xf>
    <xf borderId="14" fillId="0" fontId="10" numFmtId="0" xfId="0" applyAlignment="1" applyBorder="1" applyFont="1">
      <alignment vertical="bottom"/>
    </xf>
    <xf borderId="19" fillId="3" fontId="33" numFmtId="0" xfId="0" applyAlignment="1" applyBorder="1" applyFont="1">
      <alignment horizontal="center" vertical="bottom"/>
    </xf>
    <xf borderId="14" fillId="0" fontId="10" numFmtId="0" xfId="0" applyAlignment="1" applyBorder="1" applyFont="1">
      <alignment vertical="bottom"/>
    </xf>
    <xf borderId="13" fillId="3" fontId="33" numFmtId="0" xfId="0" applyAlignment="1" applyBorder="1" applyFont="1">
      <alignment horizontal="right" vertical="bottom"/>
    </xf>
    <xf borderId="19" fillId="0" fontId="10" numFmtId="0" xfId="0" applyAlignment="1" applyBorder="1" applyFont="1">
      <alignment horizontal="center" vertical="bottom"/>
    </xf>
    <xf borderId="19" fillId="3" fontId="33" numFmtId="46" xfId="0" applyAlignment="1" applyBorder="1" applyFont="1" applyNumberFormat="1">
      <alignment horizontal="center" vertical="bottom"/>
    </xf>
    <xf borderId="0" fillId="0" fontId="34" numFmtId="0" xfId="0" applyAlignment="1" applyFont="1">
      <alignment horizontal="center" readingOrder="0"/>
    </xf>
    <xf borderId="0" fillId="0" fontId="35" numFmtId="0" xfId="0" applyAlignment="1" applyFont="1">
      <alignment horizontal="center" readingOrder="0" vertical="center"/>
    </xf>
    <xf borderId="0" fillId="0" fontId="36" numFmtId="0" xfId="0" applyAlignment="1" applyFont="1">
      <alignment horizontal="center" readingOrder="0"/>
    </xf>
    <xf borderId="0" fillId="0" fontId="37" numFmtId="0" xfId="0" applyFont="1"/>
    <xf borderId="0" fillId="0" fontId="36" numFmtId="14" xfId="0" applyAlignment="1" applyFont="1" applyNumberFormat="1">
      <alignment horizontal="center" readingOrder="0" vertical="center"/>
    </xf>
    <xf borderId="0" fillId="0" fontId="4" numFmtId="0" xfId="0" applyAlignment="1" applyFont="1">
      <alignment horizontal="center" readingOrder="0" vertical="center"/>
    </xf>
    <xf borderId="0" fillId="0" fontId="38" numFmtId="173" xfId="0" applyAlignment="1" applyFont="1" applyNumberFormat="1">
      <alignment horizontal="center" readingOrder="0" textRotation="90" vertical="center"/>
    </xf>
    <xf borderId="0" fillId="0" fontId="39" numFmtId="0" xfId="0" applyAlignment="1" applyFont="1">
      <alignment horizontal="center" readingOrder="0"/>
    </xf>
    <xf borderId="0" fillId="0" fontId="39" numFmtId="0" xfId="0" applyFont="1"/>
    <xf borderId="0" fillId="0" fontId="39" numFmtId="0" xfId="0" applyAlignment="1" applyFont="1">
      <alignment vertical="top"/>
    </xf>
    <xf borderId="0" fillId="0" fontId="4" numFmtId="0" xfId="0" applyAlignment="1" applyFont="1">
      <alignment horizontal="center" vertical="top"/>
    </xf>
    <xf borderId="0" fillId="0" fontId="39" numFmtId="14" xfId="0" applyAlignment="1" applyFont="1" applyNumberFormat="1">
      <alignment horizontal="center" readingOrder="0"/>
    </xf>
    <xf borderId="0" fillId="0" fontId="39" numFmtId="49" xfId="0" applyAlignment="1" applyFont="1" applyNumberFormat="1">
      <alignment horizontal="center" readingOrder="0"/>
    </xf>
    <xf borderId="0" fillId="0" fontId="39" numFmtId="0" xfId="0" applyAlignment="1" applyFont="1">
      <alignment horizontal="center"/>
    </xf>
    <xf borderId="0" fillId="0" fontId="39" numFmtId="166" xfId="0" applyAlignment="1" applyFont="1" applyNumberFormat="1">
      <alignment horizontal="center" readingOrder="0"/>
    </xf>
    <xf borderId="0" fillId="0" fontId="40" numFmtId="14" xfId="0" applyAlignment="1" applyFont="1" applyNumberFormat="1">
      <alignment horizontal="center"/>
    </xf>
    <xf borderId="0" fillId="0" fontId="16" numFmtId="0" xfId="0" applyAlignment="1" applyFont="1">
      <alignment vertical="bottom"/>
    </xf>
    <xf borderId="18" fillId="0" fontId="16" numFmtId="0" xfId="0" applyAlignment="1" applyBorder="1" applyFont="1">
      <alignment vertical="bottom"/>
    </xf>
    <xf borderId="18" fillId="0" fontId="6" numFmtId="0" xfId="0" applyAlignment="1" applyBorder="1" applyFont="1">
      <alignment readingOrder="0" vertical="bottom"/>
    </xf>
    <xf borderId="18" fillId="0" fontId="6" numFmtId="0" xfId="0" applyAlignment="1" applyBorder="1" applyFont="1">
      <alignment vertical="bottom"/>
    </xf>
    <xf borderId="46" fillId="0" fontId="15" numFmtId="0" xfId="0" applyAlignment="1" applyBorder="1" applyFont="1">
      <alignment vertical="bottom"/>
    </xf>
    <xf borderId="47" fillId="0" fontId="15" numFmtId="0" xfId="0" applyAlignment="1" applyBorder="1" applyFont="1">
      <alignment vertical="bottom"/>
    </xf>
    <xf borderId="47" fillId="0" fontId="16" numFmtId="0" xfId="0" applyAlignment="1" applyBorder="1" applyFont="1">
      <alignment vertical="bottom"/>
    </xf>
    <xf borderId="47" fillId="0" fontId="16" numFmtId="14" xfId="0" applyAlignment="1" applyBorder="1" applyFont="1" applyNumberFormat="1">
      <alignment horizontal="center" readingOrder="0" vertical="bottom"/>
    </xf>
    <xf borderId="45" fillId="0" fontId="16" numFmtId="14" xfId="0" applyAlignment="1" applyBorder="1" applyFont="1" applyNumberFormat="1">
      <alignment horizontal="center" readingOrder="0" vertical="bottom"/>
    </xf>
    <xf borderId="22" fillId="0" fontId="15" numFmtId="0" xfId="0" applyAlignment="1" applyBorder="1" applyFont="1">
      <alignment horizontal="center" readingOrder="0" vertical="bottom"/>
    </xf>
    <xf borderId="18" fillId="0" fontId="15" numFmtId="0" xfId="0" applyAlignment="1" applyBorder="1" applyFont="1">
      <alignment horizontal="center" readingOrder="0" vertical="bottom"/>
    </xf>
    <xf borderId="18" fillId="0" fontId="16" numFmtId="14" xfId="0" applyAlignment="1" applyBorder="1" applyFont="1" applyNumberFormat="1">
      <alignment horizontal="center" readingOrder="0" vertical="bottom"/>
    </xf>
    <xf borderId="19" fillId="0" fontId="16" numFmtId="14" xfId="0" applyAlignment="1" applyBorder="1" applyFont="1" applyNumberFormat="1">
      <alignment horizontal="center" readingOrder="0" vertical="bottom"/>
    </xf>
    <xf borderId="20" fillId="0" fontId="15" numFmtId="0" xfId="0" applyAlignment="1" applyBorder="1" applyFont="1">
      <alignment vertical="bottom"/>
    </xf>
    <xf borderId="0" fillId="0" fontId="15" numFmtId="0" xfId="0" applyAlignment="1" applyFont="1">
      <alignment vertical="bottom"/>
    </xf>
    <xf borderId="33" fillId="0" fontId="16" numFmtId="0" xfId="0" applyAlignment="1" applyBorder="1" applyFont="1">
      <alignment vertical="bottom"/>
    </xf>
    <xf borderId="46" fillId="3" fontId="41" numFmtId="0" xfId="0" applyAlignment="1" applyBorder="1" applyFont="1">
      <alignment vertical="center"/>
    </xf>
    <xf borderId="20" fillId="3" fontId="12" numFmtId="0" xfId="0" applyAlignment="1" applyBorder="1" applyFont="1">
      <alignment horizontal="center" readingOrder="0" vertical="top"/>
    </xf>
    <xf borderId="0" fillId="3" fontId="12" numFmtId="0" xfId="0" applyAlignment="1" applyFont="1">
      <alignment horizontal="left" readingOrder="0" shrinkToFit="0" vertical="top" wrapText="1"/>
    </xf>
    <xf borderId="22" fillId="3" fontId="12" numFmtId="0" xfId="0" applyAlignment="1" applyBorder="1" applyFont="1">
      <alignment horizontal="center" readingOrder="0" vertical="top"/>
    </xf>
    <xf borderId="18" fillId="3" fontId="12" numFmtId="0" xfId="0" applyAlignment="1" applyBorder="1" applyFont="1">
      <alignment horizontal="left" readingOrder="0" shrinkToFit="0" vertical="top" wrapText="1"/>
    </xf>
    <xf borderId="20" fillId="3" fontId="42" numFmtId="0" xfId="0" applyAlignment="1" applyBorder="1" applyFont="1">
      <alignment vertical="center"/>
    </xf>
    <xf borderId="0" fillId="3" fontId="12" numFmtId="0" xfId="0" applyAlignment="1" applyFont="1">
      <alignment horizontal="left" readingOrder="0"/>
    </xf>
    <xf borderId="18" fillId="3" fontId="12" numFmtId="0" xfId="0" applyAlignment="1" applyBorder="1" applyFont="1">
      <alignment horizontal="left" readingOrder="0"/>
    </xf>
    <xf borderId="46" fillId="0" fontId="9" numFmtId="0" xfId="0" applyAlignment="1" applyBorder="1" applyFont="1">
      <alignment readingOrder="0" shrinkToFit="0" vertical="center" wrapText="1"/>
    </xf>
    <xf borderId="0" fillId="3" fontId="12" numFmtId="0" xfId="0" applyAlignment="1" applyFont="1">
      <alignment horizontal="left" readingOrder="0" shrinkToFit="0" vertical="bottom" wrapText="1"/>
    </xf>
    <xf borderId="0" fillId="3" fontId="12" numFmtId="0" xfId="0" applyAlignment="1" applyFont="1">
      <alignment horizontal="left" readingOrder="0" shrinkToFit="0" wrapText="1"/>
    </xf>
    <xf borderId="18" fillId="3" fontId="12" numFmtId="0" xfId="0" applyAlignment="1" applyBorder="1" applyFont="1">
      <alignment horizontal="left" readingOrder="0" shrinkToFit="0" wrapText="1"/>
    </xf>
    <xf borderId="0" fillId="0" fontId="16" numFmtId="0" xfId="0" applyAlignment="1" applyFont="1">
      <alignment readingOrder="0" vertical="bottom"/>
    </xf>
    <xf borderId="22" fillId="0" fontId="15" numFmtId="0" xfId="0" applyAlignment="1" applyBorder="1" applyFont="1">
      <alignment vertical="bottom"/>
    </xf>
    <xf borderId="45" fillId="0" fontId="16" numFmtId="0" xfId="0" applyAlignment="1" applyBorder="1" applyFont="1">
      <alignment vertical="bottom"/>
    </xf>
    <xf borderId="20" fillId="0" fontId="4" numFmtId="0" xfId="0" applyAlignment="1" applyBorder="1" applyFont="1">
      <alignment readingOrder="0"/>
    </xf>
    <xf borderId="0" fillId="0" fontId="16" numFmtId="0" xfId="0" applyAlignment="1" applyFont="1">
      <alignment readingOrder="0"/>
    </xf>
    <xf borderId="0" fillId="0" fontId="16" numFmtId="0" xfId="0" applyFont="1"/>
    <xf borderId="22" fillId="0" fontId="4" numFmtId="0" xfId="0" applyAlignment="1" applyBorder="1" applyFont="1">
      <alignment readingOrder="0"/>
    </xf>
    <xf borderId="18" fillId="0" fontId="10" numFmtId="0" xfId="0" applyAlignment="1" applyBorder="1" applyFont="1">
      <alignment readingOrder="0" vertical="bottom"/>
    </xf>
    <xf borderId="18" fillId="0" fontId="4" numFmtId="0" xfId="0" applyAlignment="1" applyBorder="1" applyFont="1">
      <alignment readingOrder="0"/>
    </xf>
    <xf borderId="18" fillId="0" fontId="16" numFmtId="0" xfId="0" applyAlignment="1" applyBorder="1" applyFont="1">
      <alignment readingOrder="0" vertical="bottom"/>
    </xf>
    <xf borderId="18" fillId="0" fontId="16" numFmtId="0" xfId="0" applyAlignment="1" applyBorder="1" applyFont="1">
      <alignment readingOrder="0"/>
    </xf>
    <xf borderId="19" fillId="0" fontId="16" numFmtId="0" xfId="0" applyAlignment="1" applyBorder="1" applyFont="1">
      <alignment vertical="bottom"/>
    </xf>
    <xf borderId="47" fillId="0" fontId="29" numFmtId="0" xfId="0" applyAlignment="1" applyBorder="1" applyFont="1">
      <alignment readingOrder="0" vertical="bottom"/>
    </xf>
    <xf borderId="22" fillId="0" fontId="15" numFmtId="0" xfId="0" applyAlignment="1" applyBorder="1" applyFont="1">
      <alignment readingOrder="0" vertical="bottom"/>
    </xf>
    <xf borderId="18" fillId="0" fontId="15" numFmtId="0" xfId="0" applyAlignment="1" applyBorder="1" applyFont="1">
      <alignment vertical="bottom"/>
    </xf>
    <xf borderId="18" fillId="0" fontId="15" numFmtId="0" xfId="0" applyAlignment="1" applyBorder="1" applyFont="1">
      <alignment readingOrder="0" vertical="bottom"/>
    </xf>
    <xf borderId="19" fillId="3" fontId="43" numFmtId="0" xfId="0" applyAlignment="1" applyBorder="1" applyFont="1">
      <alignment horizontal="right" readingOrder="0"/>
    </xf>
    <xf borderId="18" fillId="0" fontId="1" numFmtId="0" xfId="0" applyAlignment="1" applyBorder="1" applyFont="1">
      <alignment horizontal="center" vertical="bottom"/>
    </xf>
    <xf borderId="46" fillId="0" fontId="15" numFmtId="0" xfId="0" applyAlignment="1" applyBorder="1" applyFont="1">
      <alignment vertical="bottom"/>
    </xf>
    <xf borderId="0" fillId="0" fontId="15" numFmtId="0" xfId="0" applyAlignment="1" applyFont="1">
      <alignment horizontal="right" readingOrder="0" vertical="bottom"/>
    </xf>
    <xf borderId="0" fillId="0" fontId="16" numFmtId="14" xfId="0" applyAlignment="1" applyFont="1" applyNumberFormat="1">
      <alignment horizontal="center" vertical="bottom"/>
    </xf>
    <xf borderId="33" fillId="0" fontId="16" numFmtId="14" xfId="0" applyAlignment="1" applyBorder="1" applyFont="1" applyNumberFormat="1">
      <alignment horizontal="center" vertical="bottom"/>
    </xf>
    <xf borderId="22" fillId="0" fontId="15" numFmtId="0" xfId="0" applyAlignment="1" applyBorder="1" applyFont="1">
      <alignment horizontal="center" vertical="bottom"/>
    </xf>
    <xf borderId="18" fillId="0" fontId="16" numFmtId="0" xfId="0" applyAlignment="1" applyBorder="1" applyFont="1">
      <alignment horizontal="right" vertical="bottom"/>
    </xf>
    <xf borderId="18" fillId="0" fontId="16" numFmtId="49" xfId="0" applyAlignment="1" applyBorder="1" applyFont="1" applyNumberFormat="1">
      <alignment horizontal="center" vertical="bottom"/>
    </xf>
    <xf borderId="19" fillId="0" fontId="16" numFmtId="49" xfId="0" applyAlignment="1" applyBorder="1" applyFont="1" applyNumberFormat="1">
      <alignment horizontal="center" vertical="bottom"/>
    </xf>
    <xf borderId="22" fillId="8" fontId="15" numFmtId="0" xfId="0" applyAlignment="1" applyBorder="1" applyFont="1">
      <alignment vertical="bottom"/>
    </xf>
    <xf borderId="18" fillId="8" fontId="15" numFmtId="0" xfId="0" applyAlignment="1" applyBorder="1" applyFont="1">
      <alignment vertical="bottom"/>
    </xf>
    <xf borderId="17" fillId="0" fontId="16" numFmtId="0" xfId="0" applyAlignment="1" applyBorder="1" applyFont="1">
      <alignment horizontal="right" vertical="bottom"/>
    </xf>
    <xf borderId="14" fillId="0" fontId="29" numFmtId="0" xfId="0" applyAlignment="1" applyBorder="1" applyFont="1">
      <alignment readingOrder="0" shrinkToFit="0" vertical="bottom" wrapText="1"/>
    </xf>
    <xf borderId="19" fillId="0" fontId="16" numFmtId="0" xfId="0" applyAlignment="1" applyBorder="1" applyFont="1">
      <alignment horizontal="right" readingOrder="0" vertical="bottom"/>
    </xf>
    <xf borderId="22" fillId="0" fontId="16" numFmtId="0" xfId="0" applyAlignment="1" applyBorder="1" applyFont="1">
      <alignment horizontal="right" vertical="bottom"/>
    </xf>
    <xf borderId="14" fillId="3" fontId="0" numFmtId="0" xfId="0" applyAlignment="1" applyBorder="1" applyFont="1">
      <alignment horizontal="left" readingOrder="0" shrinkToFit="0" vertical="center" wrapText="1"/>
    </xf>
    <xf borderId="17" fillId="0" fontId="16" numFmtId="0" xfId="0" applyAlignment="1" applyBorder="1" applyFont="1">
      <alignment horizontal="right" readingOrder="0" vertical="bottom"/>
    </xf>
    <xf borderId="14" fillId="0" fontId="16" numFmtId="0" xfId="0" applyAlignment="1" applyBorder="1" applyFont="1">
      <alignment readingOrder="0" vertical="bottom"/>
    </xf>
    <xf borderId="19" fillId="0" fontId="16" numFmtId="0" xfId="0" applyAlignment="1" applyBorder="1" applyFont="1">
      <alignment horizontal="right" vertical="bottom"/>
    </xf>
    <xf borderId="13" fillId="0" fontId="4" numFmtId="0" xfId="0" applyAlignment="1" applyBorder="1" applyFont="1">
      <alignment horizontal="center" readingOrder="0"/>
    </xf>
    <xf borderId="16" fillId="0" fontId="4" numFmtId="0" xfId="0" applyAlignment="1" applyBorder="1" applyFont="1">
      <alignment readingOrder="0"/>
    </xf>
    <xf borderId="13" fillId="0" fontId="16" numFmtId="0" xfId="0" applyAlignment="1" applyBorder="1" applyFont="1">
      <alignment horizontal="right" readingOrder="0" vertical="bottom"/>
    </xf>
    <xf borderId="13" fillId="0" fontId="44" numFmtId="0" xfId="0" applyAlignment="1" applyBorder="1" applyFont="1">
      <alignment horizontal="center" readingOrder="0" vertical="bottom"/>
    </xf>
    <xf borderId="14" fillId="0" fontId="10" numFmtId="0" xfId="0" applyAlignment="1" applyBorder="1" applyFont="1">
      <alignment readingOrder="0" vertical="bottom"/>
    </xf>
    <xf borderId="13" fillId="0" fontId="16" numFmtId="0" xfId="0" applyAlignment="1" applyBorder="1" applyFont="1">
      <alignment horizontal="center" readingOrder="0" vertical="bottom"/>
    </xf>
    <xf borderId="22" fillId="0" fontId="12" numFmtId="0" xfId="0" applyAlignment="1" applyBorder="1" applyFont="1">
      <alignment readingOrder="0" shrinkToFit="0" wrapText="1"/>
    </xf>
    <xf borderId="17" fillId="0" fontId="16" numFmtId="0" xfId="0" applyAlignment="1" applyBorder="1" applyFont="1">
      <alignment horizontal="center" vertical="bottom"/>
    </xf>
    <xf borderId="18" fillId="0" fontId="16" numFmtId="0" xfId="0" applyAlignment="1" applyBorder="1" applyFont="1">
      <alignment horizontal="center" vertical="bottom"/>
    </xf>
    <xf borderId="17" fillId="0" fontId="16" numFmtId="0" xfId="0" applyAlignment="1" applyBorder="1" applyFont="1">
      <alignment readingOrder="0" vertical="bottom"/>
    </xf>
    <xf borderId="14" fillId="3" fontId="0" numFmtId="0" xfId="0" applyAlignment="1" applyBorder="1" applyFont="1">
      <alignment readingOrder="0" shrinkToFit="0" vertical="center" wrapText="1"/>
    </xf>
    <xf borderId="14" fillId="0" fontId="16" numFmtId="0" xfId="0" applyAlignment="1" applyBorder="1" applyFont="1">
      <alignment readingOrder="0"/>
    </xf>
    <xf borderId="14" fillId="0" fontId="0" numFmtId="0" xfId="0" applyAlignment="1" applyBorder="1" applyFont="1">
      <alignment readingOrder="0" shrinkToFit="0" vertical="center" wrapText="1"/>
    </xf>
    <xf borderId="16" fillId="0" fontId="0" numFmtId="0" xfId="0" applyAlignment="1" applyBorder="1" applyFont="1">
      <alignment readingOrder="0" shrinkToFit="0" vertical="center" wrapText="1"/>
    </xf>
    <xf borderId="22" fillId="0" fontId="10" numFmtId="0" xfId="0" applyAlignment="1" applyBorder="1" applyFont="1">
      <alignment readingOrder="0" vertical="bottom"/>
    </xf>
    <xf borderId="46" fillId="3" fontId="0" numFmtId="0" xfId="0" applyAlignment="1" applyBorder="1" applyFont="1">
      <alignment readingOrder="0" shrinkToFit="0" vertical="center" wrapText="1"/>
    </xf>
    <xf borderId="13" fillId="0" fontId="29" numFmtId="0" xfId="0" applyAlignment="1" applyBorder="1" applyFont="1">
      <alignment horizontal="left" readingOrder="0" shrinkToFit="0" vertical="center" wrapText="1"/>
    </xf>
    <xf borderId="15" fillId="0" fontId="16" numFmtId="0" xfId="0" applyAlignment="1" applyBorder="1" applyFont="1">
      <alignment horizontal="right" vertical="bottom"/>
    </xf>
    <xf borderId="13" fillId="0" fontId="29" numFmtId="0" xfId="0" applyAlignment="1" applyBorder="1" applyFont="1">
      <alignment horizontal="center" readingOrder="0" vertical="bottom"/>
    </xf>
    <xf borderId="13" fillId="0" fontId="16" numFmtId="0" xfId="0" applyAlignment="1" applyBorder="1" applyFont="1">
      <alignment horizontal="right" vertical="bottom"/>
    </xf>
    <xf borderId="22" fillId="0" fontId="10" numFmtId="0" xfId="0" applyAlignment="1" applyBorder="1" applyFont="1">
      <alignment vertical="bottom"/>
    </xf>
    <xf borderId="13" fillId="0" fontId="45" numFmtId="0" xfId="0" applyAlignment="1" applyBorder="1" applyFont="1">
      <alignment horizontal="center" readingOrder="0" vertical="bottom"/>
    </xf>
    <xf borderId="14" fillId="8" fontId="15" numFmtId="0" xfId="0" applyAlignment="1" applyBorder="1" applyFont="1">
      <alignment vertical="bottom"/>
    </xf>
    <xf borderId="13" fillId="0" fontId="10" numFmtId="0" xfId="0" applyAlignment="1" applyBorder="1" applyFont="1">
      <alignment horizontal="right" vertical="bottom"/>
    </xf>
    <xf borderId="17" fillId="0" fontId="10" numFmtId="0" xfId="0" applyAlignment="1" applyBorder="1" applyFont="1">
      <alignment horizontal="right" vertical="bottom"/>
    </xf>
    <xf borderId="18" fillId="0" fontId="16" numFmtId="0" xfId="0" applyAlignment="1" applyBorder="1" applyFont="1">
      <alignment readingOrder="0" shrinkToFit="0" vertical="bottom" wrapText="1"/>
    </xf>
    <xf borderId="13" fillId="8" fontId="15" numFmtId="0" xfId="0" applyAlignment="1" applyBorder="1" applyFont="1">
      <alignment readingOrder="0" vertical="bottom"/>
    </xf>
    <xf borderId="14" fillId="0" fontId="10" numFmtId="0" xfId="0" applyAlignment="1" applyBorder="1" applyFont="1">
      <alignment horizontal="right" readingOrder="0" vertical="bottom"/>
    </xf>
    <xf borderId="13" fillId="0" fontId="4" numFmtId="0" xfId="0" applyAlignment="1" applyBorder="1" applyFont="1">
      <alignment horizontal="right" readingOrder="0"/>
    </xf>
    <xf borderId="14" fillId="0" fontId="29" numFmtId="0" xfId="0" applyAlignment="1" applyBorder="1" applyFont="1">
      <alignment readingOrder="0"/>
    </xf>
    <xf borderId="22" fillId="0" fontId="10" numFmtId="0" xfId="0" applyAlignment="1" applyBorder="1" applyFont="1">
      <alignment horizontal="right" readingOrder="0" vertical="bottom"/>
    </xf>
    <xf borderId="14" fillId="8" fontId="8" numFmtId="0" xfId="0" applyAlignment="1" applyBorder="1" applyFont="1">
      <alignment readingOrder="0"/>
    </xf>
    <xf borderId="22" fillId="0" fontId="10" numFmtId="0" xfId="0" applyAlignment="1" applyBorder="1" applyFont="1">
      <alignment horizontal="right" vertical="bottom"/>
    </xf>
    <xf borderId="22" fillId="0" fontId="16" numFmtId="0" xfId="0" applyAlignment="1" applyBorder="1" applyFont="1">
      <alignment vertical="bottom"/>
    </xf>
    <xf borderId="14" fillId="0" fontId="4" numFmtId="0" xfId="0" applyBorder="1" applyFont="1"/>
    <xf borderId="16" fillId="3" fontId="0" numFmtId="0" xfId="0" applyAlignment="1" applyBorder="1" applyFont="1">
      <alignment readingOrder="0" shrinkToFit="0" vertical="center" wrapText="1"/>
    </xf>
    <xf borderId="20" fillId="0" fontId="15" numFmtId="0" xfId="0" applyAlignment="1" applyBorder="1" applyFont="1">
      <alignment vertical="bottom"/>
    </xf>
    <xf borderId="0" fillId="3" fontId="0" numFmtId="0" xfId="0" applyFont="1"/>
    <xf borderId="0" fillId="0" fontId="16" numFmtId="0" xfId="0" applyAlignment="1" applyFont="1">
      <alignment vertical="bottom"/>
    </xf>
    <xf borderId="22" fillId="0" fontId="15" numFmtId="0" xfId="0" applyAlignment="1" applyBorder="1" applyFont="1">
      <alignment vertical="bottom"/>
    </xf>
    <xf borderId="18" fillId="0" fontId="15" numFmtId="0" xfId="0" applyAlignment="1" applyBorder="1" applyFont="1">
      <alignment vertical="bottom"/>
    </xf>
    <xf borderId="18" fillId="0" fontId="16" numFmtId="0" xfId="0" applyAlignment="1" applyBorder="1" applyFont="1">
      <alignment vertical="bottom"/>
    </xf>
    <xf borderId="18" fillId="0" fontId="16" numFmtId="166" xfId="0" applyAlignment="1" applyBorder="1" applyFont="1" applyNumberFormat="1">
      <alignment readingOrder="0" vertical="bottom"/>
    </xf>
    <xf borderId="18" fillId="3" fontId="46" numFmtId="49" xfId="0" applyAlignment="1" applyBorder="1" applyFont="1" applyNumberFormat="1">
      <alignment readingOrder="0"/>
    </xf>
    <xf borderId="18" fillId="0" fontId="47" numFmtId="0" xfId="0" applyAlignment="1" applyBorder="1" applyFont="1">
      <alignment vertical="bottom"/>
    </xf>
    <xf borderId="19" fillId="0" fontId="48" numFmtId="0" xfId="0" applyAlignment="1" applyBorder="1" applyFont="1">
      <alignment horizontal="right" readingOrder="0" vertical="bottom"/>
    </xf>
    <xf borderId="18" fillId="0" fontId="1" numFmtId="0" xfId="0" applyAlignment="1" applyBorder="1" applyFont="1">
      <alignment horizontal="center" readingOrder="0" vertical="bottom"/>
    </xf>
    <xf borderId="47" fillId="0" fontId="15" numFmtId="0" xfId="0" applyAlignment="1" applyBorder="1" applyFont="1">
      <alignment vertical="bottom"/>
    </xf>
    <xf borderId="19" fillId="8" fontId="16" numFmtId="0" xfId="0" applyAlignment="1" applyBorder="1" applyFont="1">
      <alignment horizontal="right" vertical="bottom"/>
    </xf>
    <xf borderId="13" fillId="8" fontId="16" numFmtId="0" xfId="0" applyAlignment="1" applyBorder="1" applyFont="1">
      <alignment horizontal="right" vertical="bottom"/>
    </xf>
    <xf borderId="14" fillId="8" fontId="16" numFmtId="0" xfId="0" applyAlignment="1" applyBorder="1" applyFont="1">
      <alignment horizontal="right" vertical="bottom"/>
    </xf>
    <xf borderId="17" fillId="8" fontId="16" numFmtId="0" xfId="0" applyAlignment="1" applyBorder="1" applyFont="1">
      <alignment horizontal="right" vertical="bottom"/>
    </xf>
    <xf borderId="13" fillId="0" fontId="16" numFmtId="0" xfId="0" applyAlignment="1" applyBorder="1" applyFont="1">
      <alignment readingOrder="0" vertical="bottom"/>
    </xf>
    <xf borderId="20" fillId="0" fontId="15" numFmtId="0" xfId="0" applyAlignment="1" applyBorder="1" applyFont="1">
      <alignment readingOrder="0" vertical="bottom"/>
    </xf>
    <xf borderId="0" fillId="3" fontId="49" numFmtId="0" xfId="0" applyFont="1"/>
    <xf borderId="46" fillId="0" fontId="15" numFmtId="0" xfId="0" applyBorder="1" applyFont="1"/>
    <xf borderId="46" fillId="0" fontId="15" numFmtId="14" xfId="0" applyAlignment="1" applyBorder="1" applyFont="1" applyNumberFormat="1">
      <alignment horizontal="center" readingOrder="0"/>
    </xf>
    <xf borderId="45" fillId="0" fontId="4" numFmtId="166" xfId="0" applyAlignment="1" applyBorder="1" applyFont="1" applyNumberFormat="1">
      <alignment horizontal="center"/>
    </xf>
    <xf borderId="0" fillId="0" fontId="15" numFmtId="0" xfId="0" applyAlignment="1" applyFont="1">
      <alignment readingOrder="0"/>
    </xf>
    <xf borderId="0" fillId="0" fontId="15" numFmtId="0" xfId="0" applyFont="1"/>
    <xf borderId="20" fillId="0" fontId="8" numFmtId="0" xfId="0" applyAlignment="1" applyBorder="1" applyFont="1">
      <alignment horizontal="center"/>
    </xf>
    <xf borderId="20" fillId="0" fontId="4" numFmtId="49" xfId="0" applyAlignment="1" applyBorder="1" applyFont="1" applyNumberFormat="1">
      <alignment horizontal="center" readingOrder="0"/>
    </xf>
    <xf borderId="33" fillId="0" fontId="4" numFmtId="49" xfId="0" applyAlignment="1" applyBorder="1" applyFont="1" applyNumberFormat="1">
      <alignment horizontal="center"/>
    </xf>
    <xf borderId="0" fillId="0" fontId="16" numFmtId="174" xfId="0" applyAlignment="1" applyFont="1" applyNumberFormat="1">
      <alignment horizontal="left"/>
    </xf>
    <xf borderId="0" fillId="0" fontId="16" numFmtId="0" xfId="0" applyAlignment="1" applyFont="1">
      <alignment horizontal="center"/>
    </xf>
    <xf borderId="14" fillId="0" fontId="8" numFmtId="0" xfId="0" applyAlignment="1" applyBorder="1" applyFont="1">
      <alignment horizontal="center" readingOrder="0"/>
    </xf>
    <xf borderId="0" fillId="0" fontId="16" numFmtId="175" xfId="0" applyAlignment="1" applyFont="1" applyNumberFormat="1">
      <alignment horizontal="left"/>
    </xf>
    <xf borderId="13" fillId="0" fontId="2" numFmtId="0" xfId="0" applyAlignment="1" applyBorder="1" applyFont="1">
      <alignment readingOrder="0"/>
    </xf>
    <xf borderId="13" fillId="0" fontId="8" numFmtId="0" xfId="0" applyAlignment="1" applyBorder="1" applyFont="1">
      <alignment horizontal="center" readingOrder="0"/>
    </xf>
    <xf borderId="13" fillId="0" fontId="19" numFmtId="0" xfId="0" applyAlignment="1" applyBorder="1" applyFont="1">
      <alignment readingOrder="0"/>
    </xf>
    <xf borderId="14" fillId="0" fontId="4" numFmtId="0" xfId="0" applyAlignment="1" applyBorder="1" applyFont="1">
      <alignment horizontal="center" readingOrder="0"/>
    </xf>
    <xf borderId="13" fillId="38" fontId="4" numFmtId="0" xfId="0" applyAlignment="1" applyBorder="1" applyFont="1">
      <alignment readingOrder="0"/>
    </xf>
    <xf borderId="13" fillId="38" fontId="4" numFmtId="0" xfId="0" applyBorder="1" applyFont="1"/>
    <xf borderId="18" fillId="0" fontId="50" numFmtId="0" xfId="0" applyAlignment="1" applyBorder="1" applyFont="1">
      <alignment horizontal="center" readingOrder="0" shrinkToFit="0" vertical="top" wrapText="1"/>
    </xf>
    <xf borderId="18" fillId="0" fontId="51" numFmtId="0" xfId="0" applyAlignment="1" applyBorder="1" applyFont="1">
      <alignment horizontal="center"/>
    </xf>
    <xf borderId="18" fillId="0" fontId="51" numFmtId="0" xfId="0" applyAlignment="1" applyBorder="1" applyFont="1">
      <alignment horizontal="center" readingOrder="0"/>
    </xf>
    <xf borderId="18" fillId="0" fontId="52" numFmtId="0" xfId="0" applyAlignment="1" applyBorder="1" applyFont="1">
      <alignment horizontal="center" shrinkToFit="0" vertical="bottom" wrapText="1"/>
    </xf>
    <xf borderId="0" fillId="3" fontId="15" numFmtId="49" xfId="0" applyAlignment="1" applyFont="1" applyNumberFormat="1">
      <alignment horizontal="left" vertical="top"/>
    </xf>
    <xf borderId="20" fillId="0" fontId="8" numFmtId="0" xfId="0" applyAlignment="1" applyBorder="1" applyFont="1">
      <alignment horizontal="center"/>
    </xf>
    <xf borderId="20" fillId="0" fontId="16" numFmtId="0" xfId="0" applyBorder="1" applyFont="1"/>
    <xf borderId="0" fillId="3" fontId="16" numFmtId="174" xfId="0" applyAlignment="1" applyFont="1" applyNumberFormat="1">
      <alignment horizontal="center" vertical="bottom"/>
    </xf>
    <xf borderId="0" fillId="0" fontId="16" numFmtId="0" xfId="0" applyAlignment="1" applyFont="1">
      <alignment horizontal="center" readingOrder="0"/>
    </xf>
    <xf borderId="33" fillId="0" fontId="16" numFmtId="174" xfId="0" applyAlignment="1" applyBorder="1" applyFont="1" applyNumberFormat="1">
      <alignment horizontal="center"/>
    </xf>
    <xf borderId="22" fillId="0" fontId="16" numFmtId="0" xfId="0" applyBorder="1" applyFont="1"/>
    <xf borderId="18" fillId="0" fontId="16" numFmtId="175" xfId="0" applyAlignment="1" applyBorder="1" applyFont="1" applyNumberFormat="1">
      <alignment horizontal="center"/>
    </xf>
    <xf borderId="18" fillId="0" fontId="16" numFmtId="0" xfId="0" applyAlignment="1" applyBorder="1" applyFont="1">
      <alignment horizontal="center" readingOrder="0"/>
    </xf>
    <xf borderId="19" fillId="0" fontId="16" numFmtId="175" xfId="0" applyAlignment="1" applyBorder="1" applyFont="1" applyNumberFormat="1">
      <alignment horizontal="center"/>
    </xf>
    <xf borderId="0" fillId="0" fontId="2" numFmtId="0" xfId="0" applyAlignment="1" applyFont="1">
      <alignment horizontal="center"/>
    </xf>
    <xf borderId="46" fillId="0" fontId="15" numFmtId="0" xfId="0" applyAlignment="1" applyBorder="1" applyFont="1">
      <alignment readingOrder="0"/>
    </xf>
    <xf borderId="47" fillId="0" fontId="53" numFmtId="0" xfId="0" applyBorder="1" applyFont="1"/>
    <xf borderId="45" fillId="0" fontId="54" numFmtId="0" xfId="0" applyAlignment="1" applyBorder="1" applyFont="1">
      <alignment horizontal="center" readingOrder="0"/>
    </xf>
    <xf borderId="0" fillId="0" fontId="16" numFmtId="0" xfId="0" applyAlignment="1" applyFont="1">
      <alignment readingOrder="0" vertical="center"/>
    </xf>
    <xf borderId="0" fillId="0" fontId="1" numFmtId="0" xfId="0" applyAlignment="1" applyFont="1">
      <alignment horizontal="center" readingOrder="0" shrinkToFit="0" vertical="center" wrapText="1"/>
    </xf>
    <xf borderId="20" fillId="0" fontId="16" numFmtId="0" xfId="0" applyAlignment="1" applyBorder="1" applyFont="1">
      <alignment horizontal="right"/>
    </xf>
    <xf borderId="0" fillId="3" fontId="55" numFmtId="0" xfId="0" applyFont="1"/>
    <xf borderId="0" fillId="0" fontId="16" numFmtId="0" xfId="0" applyAlignment="1" applyFont="1">
      <alignment horizontal="left" shrinkToFit="0" vertical="top" wrapText="1"/>
    </xf>
    <xf borderId="0" fillId="0" fontId="15" numFmtId="0" xfId="0" applyAlignment="1" applyFont="1">
      <alignment horizontal="center"/>
    </xf>
    <xf borderId="22" fillId="0" fontId="16" numFmtId="0" xfId="0" applyAlignment="1" applyBorder="1" applyFont="1">
      <alignment horizontal="right"/>
    </xf>
    <xf borderId="18" fillId="0" fontId="15" numFmtId="0" xfId="0" applyAlignment="1" applyBorder="1" applyFont="1">
      <alignment horizontal="left"/>
    </xf>
    <xf borderId="18" fillId="0" fontId="15" numFmtId="0" xfId="0" applyAlignment="1" applyBorder="1" applyFont="1">
      <alignment horizontal="center" readingOrder="0"/>
    </xf>
    <xf borderId="14" fillId="0" fontId="15" numFmtId="0" xfId="0" applyAlignment="1" applyBorder="1" applyFont="1">
      <alignment readingOrder="0"/>
    </xf>
    <xf borderId="14" fillId="0" fontId="15" numFmtId="0" xfId="0" applyAlignment="1" applyBorder="1" applyFont="1">
      <alignment horizontal="center" readingOrder="0"/>
    </xf>
    <xf borderId="46" fillId="0" fontId="19" numFmtId="0" xfId="0" applyAlignment="1" applyBorder="1" applyFont="1">
      <alignment readingOrder="0"/>
    </xf>
    <xf borderId="18" fillId="0" fontId="16" numFmtId="0" xfId="0" applyAlignment="1" applyBorder="1" applyFont="1">
      <alignment horizontal="center" vertical="bottom"/>
    </xf>
    <xf borderId="0" fillId="3" fontId="0" numFmtId="0" xfId="0" applyAlignment="1" applyFont="1">
      <alignment horizontal="center" readingOrder="0"/>
    </xf>
    <xf borderId="13" fillId="0" fontId="29" numFmtId="0" xfId="0" applyAlignment="1" applyBorder="1" applyFont="1">
      <alignment horizontal="center" readingOrder="0"/>
    </xf>
    <xf borderId="14" fillId="0" fontId="4" numFmtId="0" xfId="0" applyAlignment="1" applyBorder="1" applyFont="1">
      <alignment horizontal="center"/>
    </xf>
    <xf borderId="13" fillId="0" fontId="16" numFmtId="176" xfId="0" applyAlignment="1" applyBorder="1" applyFont="1" applyNumberFormat="1">
      <alignment horizontal="center" readingOrder="0" vertical="center"/>
    </xf>
    <xf borderId="14" fillId="0" fontId="16" numFmtId="0" xfId="0" applyBorder="1" applyFont="1"/>
    <xf borderId="16" fillId="0" fontId="16" numFmtId="0" xfId="0" applyAlignment="1" applyBorder="1" applyFont="1">
      <alignment readingOrder="0"/>
    </xf>
    <xf borderId="16" fillId="0" fontId="16" numFmtId="0" xfId="0" applyBorder="1" applyFont="1"/>
    <xf borderId="46" fillId="0" fontId="15" numFmtId="0" xfId="0" applyAlignment="1" applyBorder="1" applyFont="1">
      <alignment horizontal="left" readingOrder="0"/>
    </xf>
    <xf borderId="47" fillId="0" fontId="15" numFmtId="0" xfId="0" applyAlignment="1" applyBorder="1" applyFont="1">
      <alignment horizontal="left"/>
    </xf>
    <xf borderId="47" fillId="0" fontId="56" numFmtId="0" xfId="0" applyAlignment="1" applyBorder="1" applyFont="1">
      <alignment horizontal="left"/>
    </xf>
    <xf borderId="20" fillId="0" fontId="16" numFmtId="0" xfId="0" applyAlignment="1" applyBorder="1" applyFont="1">
      <alignment horizontal="left" readingOrder="0"/>
    </xf>
    <xf borderId="46" fillId="0" fontId="15" numFmtId="0" xfId="0" applyAlignment="1" applyBorder="1" applyFont="1">
      <alignment horizontal="left"/>
    </xf>
    <xf borderId="20" fillId="0" fontId="15" numFmtId="0" xfId="0" applyBorder="1" applyFont="1"/>
    <xf borderId="0" fillId="3" fontId="16" numFmtId="0" xfId="0" applyAlignment="1" applyFont="1">
      <alignment readingOrder="0"/>
    </xf>
    <xf borderId="13" fillId="0" fontId="16" numFmtId="0" xfId="0" applyAlignment="1" applyBorder="1" applyFont="1">
      <alignment horizontal="center" readingOrder="0"/>
    </xf>
    <xf borderId="14" fillId="0" fontId="16" numFmtId="0" xfId="0" applyAlignment="1" applyBorder="1" applyFont="1">
      <alignment horizontal="center"/>
    </xf>
    <xf borderId="14" fillId="0" fontId="16" numFmtId="0" xfId="0" applyAlignment="1" applyBorder="1" applyFont="1">
      <alignment horizontal="center" readingOrder="0"/>
    </xf>
    <xf borderId="14" fillId="3" fontId="10" numFmtId="0" xfId="0" applyAlignment="1" applyBorder="1" applyFont="1">
      <alignment vertical="bottom"/>
    </xf>
    <xf borderId="13" fillId="3" fontId="12" numFmtId="0" xfId="0" applyAlignment="1" applyBorder="1" applyFont="1">
      <alignment horizontal="center" vertical="bottom"/>
    </xf>
    <xf borderId="16" fillId="3" fontId="44" numFmtId="0" xfId="0" applyAlignment="1" applyBorder="1" applyFont="1">
      <alignment horizontal="center" vertical="bottom"/>
    </xf>
    <xf borderId="13" fillId="3" fontId="44" numFmtId="167" xfId="0" applyAlignment="1" applyBorder="1" applyFont="1" applyNumberFormat="1">
      <alignment horizontal="center" vertical="bottom"/>
    </xf>
    <xf borderId="15" fillId="3" fontId="44" numFmtId="177" xfId="0" applyAlignment="1" applyBorder="1" applyFont="1" applyNumberFormat="1">
      <alignment horizontal="center" vertical="bottom"/>
    </xf>
    <xf borderId="15" fillId="3" fontId="44" numFmtId="167" xfId="0" applyAlignment="1" applyBorder="1" applyFont="1" applyNumberFormat="1">
      <alignment horizontal="center" vertical="bottom"/>
    </xf>
    <xf borderId="16" fillId="3" fontId="44" numFmtId="0" xfId="0" applyAlignment="1" applyBorder="1" applyFont="1">
      <alignment horizontal="center" shrinkToFit="0" vertical="bottom" wrapText="1"/>
    </xf>
    <xf borderId="14" fillId="3" fontId="57" numFmtId="0" xfId="0" applyAlignment="1" applyBorder="1" applyFont="1">
      <alignment horizontal="left" shrinkToFit="0" vertical="bottom" wrapText="1"/>
    </xf>
    <xf borderId="22" fillId="3" fontId="10" numFmtId="0" xfId="0" applyAlignment="1" applyBorder="1" applyFont="1">
      <alignment vertical="bottom"/>
    </xf>
    <xf borderId="13" fillId="3" fontId="10" numFmtId="0" xfId="0" applyAlignment="1" applyBorder="1" applyFont="1">
      <alignment horizontal="center" vertical="bottom"/>
    </xf>
    <xf borderId="18" fillId="3" fontId="44" numFmtId="0" xfId="0" applyAlignment="1" applyBorder="1" applyFont="1">
      <alignment horizontal="center" vertical="bottom"/>
    </xf>
    <xf borderId="17" fillId="3" fontId="44" numFmtId="167" xfId="0" applyAlignment="1" applyBorder="1" applyFont="1" applyNumberFormat="1">
      <alignment horizontal="center" vertical="bottom"/>
    </xf>
    <xf borderId="19" fillId="3" fontId="44" numFmtId="177" xfId="0" applyAlignment="1" applyBorder="1" applyFont="1" applyNumberFormat="1">
      <alignment horizontal="center" vertical="bottom"/>
    </xf>
    <xf borderId="19" fillId="3" fontId="44" numFmtId="167" xfId="0" applyAlignment="1" applyBorder="1" applyFont="1" applyNumberFormat="1">
      <alignment horizontal="center" vertical="bottom"/>
    </xf>
    <xf borderId="18" fillId="3" fontId="44" numFmtId="178" xfId="0" applyAlignment="1" applyBorder="1" applyFont="1" applyNumberFormat="1">
      <alignment horizontal="center" vertical="bottom"/>
    </xf>
    <xf borderId="22" fillId="3" fontId="57" numFmtId="0" xfId="0" applyAlignment="1" applyBorder="1" applyFont="1">
      <alignment horizontal="left" vertical="bottom"/>
    </xf>
    <xf borderId="18" fillId="3" fontId="44" numFmtId="0" xfId="0" applyAlignment="1" applyBorder="1" applyFont="1">
      <alignment horizontal="center" shrinkToFit="0" vertical="bottom" wrapText="1"/>
    </xf>
    <xf borderId="22" fillId="3" fontId="57" numFmtId="0" xfId="0" applyAlignment="1" applyBorder="1" applyFont="1">
      <alignment horizontal="left" shrinkToFit="0" vertical="bottom" wrapText="1"/>
    </xf>
    <xf borderId="18" fillId="3" fontId="44" numFmtId="0" xfId="0" applyAlignment="1" applyBorder="1" applyFont="1">
      <alignment horizontal="center" vertical="bottom"/>
    </xf>
    <xf borderId="33" fillId="3" fontId="44" numFmtId="177" xfId="0" applyAlignment="1" applyBorder="1" applyFont="1" applyNumberFormat="1">
      <alignment horizontal="center" vertical="bottom"/>
    </xf>
    <xf borderId="33" fillId="3" fontId="44" numFmtId="167" xfId="0" applyAlignment="1" applyBorder="1" applyFont="1" applyNumberFormat="1">
      <alignment horizontal="center" vertical="bottom"/>
    </xf>
    <xf borderId="0" fillId="3" fontId="44" numFmtId="0" xfId="0" applyAlignment="1" applyFont="1">
      <alignment horizontal="center" shrinkToFit="0" vertical="bottom" wrapText="1"/>
    </xf>
    <xf borderId="20" fillId="3" fontId="57" numFmtId="0" xfId="0" applyAlignment="1" applyBorder="1" applyFont="1">
      <alignment horizontal="left" shrinkToFit="0" vertical="bottom" wrapText="1"/>
    </xf>
    <xf borderId="47" fillId="0" fontId="16" numFmtId="0" xfId="0" applyAlignment="1" applyBorder="1" applyFont="1">
      <alignment horizontal="left" shrinkToFit="0" wrapText="1"/>
    </xf>
    <xf borderId="47" fillId="0" fontId="16" numFmtId="0" xfId="0" applyAlignment="1" applyBorder="1" applyFont="1">
      <alignment horizontal="left" readingOrder="0"/>
    </xf>
    <xf borderId="47" fillId="0" fontId="16" numFmtId="0" xfId="0" applyBorder="1" applyFont="1"/>
    <xf borderId="47" fillId="0" fontId="16" numFmtId="0" xfId="0" applyAlignment="1" applyBorder="1" applyFont="1">
      <alignment readingOrder="0" vertical="center"/>
    </xf>
    <xf borderId="22" fillId="0" fontId="15" numFmtId="0" xfId="0" applyAlignment="1" applyBorder="1" applyFont="1">
      <alignment horizontal="left" vertical="bottom"/>
    </xf>
    <xf borderId="0" fillId="0" fontId="15" numFmtId="0" xfId="0" applyAlignment="1" applyFont="1">
      <alignment horizontal="left" vertical="bottom"/>
    </xf>
    <xf borderId="0" fillId="0" fontId="15" numFmtId="0" xfId="0" applyAlignment="1" applyFont="1">
      <alignment horizontal="left" readingOrder="0" vertical="bottom"/>
    </xf>
    <xf borderId="0" fillId="3" fontId="0" numFmtId="0" xfId="0" applyAlignment="1" applyFont="1">
      <alignment readingOrder="0"/>
    </xf>
    <xf borderId="33" fillId="0" fontId="16" numFmtId="0" xfId="0" applyAlignment="1" applyBorder="1" applyFont="1">
      <alignment readingOrder="0" vertical="center"/>
    </xf>
    <xf borderId="17" fillId="0" fontId="15" numFmtId="0" xfId="0" applyAlignment="1" applyBorder="1" applyFont="1">
      <alignment horizontal="left" vertical="bottom"/>
    </xf>
    <xf borderId="18" fillId="0" fontId="16" numFmtId="0" xfId="0" applyAlignment="1" applyBorder="1" applyFont="1">
      <alignment horizontal="right"/>
    </xf>
    <xf borderId="18" fillId="0" fontId="16" numFmtId="14" xfId="0" applyAlignment="1" applyBorder="1" applyFont="1" applyNumberFormat="1">
      <alignment horizontal="left"/>
    </xf>
    <xf borderId="18" fillId="0" fontId="4" numFmtId="49" xfId="0" applyAlignment="1" applyBorder="1" applyFont="1" applyNumberFormat="1">
      <alignment readingOrder="0"/>
    </xf>
    <xf borderId="18" fillId="0" fontId="58" numFmtId="14" xfId="0" applyAlignment="1" applyBorder="1" applyFont="1" applyNumberFormat="1">
      <alignment horizontal="left"/>
    </xf>
    <xf borderId="18" fillId="0" fontId="16" numFmtId="0" xfId="0" applyAlignment="1" applyBorder="1" applyFont="1">
      <alignment horizontal="right" readingOrder="0" vertical="center"/>
    </xf>
    <xf borderId="18" fillId="0" fontId="16" numFmtId="0" xfId="0" applyAlignment="1" applyBorder="1" applyFont="1">
      <alignment horizontal="left" readingOrder="0" vertical="center"/>
    </xf>
    <xf borderId="0" fillId="0" fontId="48" numFmtId="0" xfId="0" applyAlignment="1" applyFont="1">
      <alignment horizontal="left" readingOrder="0" vertical="top"/>
    </xf>
    <xf borderId="0" fillId="0" fontId="16" numFmtId="0" xfId="0" applyAlignment="1" applyFont="1">
      <alignment horizontal="right"/>
    </xf>
    <xf borderId="0" fillId="0" fontId="16" numFmtId="14" xfId="0" applyAlignment="1" applyFont="1" applyNumberFormat="1">
      <alignment horizontal="left"/>
    </xf>
    <xf borderId="0" fillId="0" fontId="4" numFmtId="49" xfId="0" applyAlignment="1" applyFont="1" applyNumberFormat="1">
      <alignment readingOrder="0"/>
    </xf>
    <xf borderId="0" fillId="0" fontId="58" numFmtId="14" xfId="0" applyAlignment="1" applyFont="1" applyNumberFormat="1">
      <alignment horizontal="left"/>
    </xf>
    <xf borderId="0" fillId="0" fontId="58" numFmtId="14" xfId="0" applyAlignment="1" applyFont="1" applyNumberFormat="1">
      <alignment horizontal="right"/>
    </xf>
    <xf borderId="0" fillId="0" fontId="58" numFmtId="0" xfId="0" applyAlignment="1" applyFont="1">
      <alignment horizontal="center" shrinkToFit="0" wrapText="1"/>
    </xf>
    <xf borderId="14" fillId="10" fontId="15" numFmtId="0" xfId="0" applyBorder="1" applyFont="1"/>
    <xf borderId="21" fillId="10" fontId="15" numFmtId="49" xfId="0" applyAlignment="1" applyBorder="1" applyFont="1" applyNumberFormat="1">
      <alignment horizontal="left" readingOrder="0" vertical="top"/>
    </xf>
    <xf borderId="28" fillId="10" fontId="15" numFmtId="49" xfId="0" applyAlignment="1" applyBorder="1" applyFont="1" applyNumberFormat="1">
      <alignment horizontal="center" readingOrder="0" vertical="top"/>
    </xf>
    <xf borderId="20" fillId="0" fontId="2" numFmtId="0" xfId="0" applyAlignment="1" applyBorder="1" applyFont="1">
      <alignment horizontal="center"/>
    </xf>
    <xf borderId="51" fillId="0" fontId="1" numFmtId="0" xfId="0" applyAlignment="1" applyBorder="1" applyFont="1">
      <alignment horizontal="center" readingOrder="0" vertical="center"/>
    </xf>
    <xf borderId="47" fillId="0" fontId="1" numFmtId="0" xfId="0" applyAlignment="1" applyBorder="1" applyFont="1">
      <alignment horizontal="center" readingOrder="0" shrinkToFit="0" vertical="center" wrapText="1"/>
    </xf>
    <xf borderId="52" fillId="0" fontId="4" numFmtId="0" xfId="0" applyBorder="1" applyFont="1"/>
    <xf borderId="14" fillId="10" fontId="15" numFmtId="0" xfId="0" applyAlignment="1" applyBorder="1" applyFont="1">
      <alignment readingOrder="0"/>
    </xf>
    <xf borderId="24" fillId="0" fontId="15" numFmtId="0" xfId="0" applyAlignment="1" applyBorder="1" applyFont="1">
      <alignment horizontal="center" readingOrder="0" vertical="center"/>
    </xf>
    <xf borderId="36" fillId="0" fontId="15" numFmtId="0" xfId="0" applyAlignment="1" applyBorder="1" applyFont="1">
      <alignment horizontal="center"/>
    </xf>
    <xf borderId="53" fillId="0" fontId="19" numFmtId="0" xfId="0" applyAlignment="1" applyBorder="1" applyFont="1">
      <alignment horizontal="right" vertical="center"/>
    </xf>
    <xf borderId="54" fillId="3" fontId="55" numFmtId="0" xfId="0" applyAlignment="1" applyBorder="1" applyFont="1">
      <alignment vertical="center"/>
    </xf>
    <xf borderId="55" fillId="0" fontId="4" numFmtId="0" xfId="0" applyBorder="1" applyFont="1"/>
    <xf borderId="56" fillId="3" fontId="59" numFmtId="0" xfId="0" applyAlignment="1" applyBorder="1" applyFont="1">
      <alignment horizontal="right" readingOrder="0" vertical="center"/>
    </xf>
    <xf borderId="54" fillId="0" fontId="15" numFmtId="0" xfId="0" applyAlignment="1" applyBorder="1" applyFont="1">
      <alignment readingOrder="0" vertical="center"/>
    </xf>
    <xf borderId="57" fillId="0" fontId="4" numFmtId="0" xfId="0" applyBorder="1" applyFont="1"/>
    <xf borderId="58" fillId="0" fontId="19" numFmtId="0" xfId="0" applyAlignment="1" applyBorder="1" applyFont="1">
      <alignment horizontal="right" vertical="center"/>
    </xf>
    <xf borderId="59" fillId="0" fontId="15" numFmtId="0" xfId="0" applyAlignment="1" applyBorder="1" applyFont="1">
      <alignment horizontal="left" vertical="center"/>
    </xf>
    <xf borderId="59" fillId="0" fontId="4" numFmtId="0" xfId="0" applyBorder="1" applyFont="1"/>
    <xf borderId="60" fillId="0" fontId="19" numFmtId="0" xfId="0" applyAlignment="1" applyBorder="1" applyFont="1">
      <alignment horizontal="right" readingOrder="0" shrinkToFit="0" vertical="center" wrapText="0"/>
    </xf>
    <xf borderId="61" fillId="0" fontId="15" numFmtId="0" xfId="0" applyAlignment="1" applyBorder="1" applyFont="1">
      <alignment vertical="center"/>
    </xf>
    <xf borderId="62" fillId="0" fontId="4" numFmtId="0" xfId="0" applyBorder="1" applyFont="1"/>
    <xf borderId="63" fillId="0" fontId="19" numFmtId="0" xfId="0" applyAlignment="1" applyBorder="1" applyFont="1">
      <alignment horizontal="right" vertical="center"/>
    </xf>
    <xf borderId="64" fillId="0" fontId="15" numFmtId="0" xfId="0" applyAlignment="1" applyBorder="1" applyFont="1">
      <alignment horizontal="left" vertical="center"/>
    </xf>
    <xf borderId="65" fillId="0" fontId="4" numFmtId="0" xfId="0" applyBorder="1" applyFont="1"/>
    <xf borderId="66" fillId="0" fontId="19" numFmtId="0" xfId="0" applyAlignment="1" applyBorder="1" applyFont="1">
      <alignment horizontal="right" readingOrder="0" shrinkToFit="0" vertical="center" wrapText="1"/>
    </xf>
    <xf borderId="64" fillId="0" fontId="15" numFmtId="0" xfId="0" applyAlignment="1" applyBorder="1" applyFont="1">
      <alignment vertical="center"/>
    </xf>
    <xf borderId="67" fillId="0" fontId="4" numFmtId="0" xfId="0" applyBorder="1" applyFont="1"/>
    <xf borderId="14" fillId="10" fontId="15" numFmtId="0" xfId="0" applyAlignment="1" applyBorder="1" applyFont="1">
      <alignment horizontal="center" readingOrder="0"/>
    </xf>
    <xf borderId="14" fillId="10" fontId="19" numFmtId="0" xfId="0" applyAlignment="1" applyBorder="1" applyFont="1">
      <alignment readingOrder="0"/>
    </xf>
    <xf borderId="13" fillId="0" fontId="16" numFmtId="0" xfId="0" applyAlignment="1" applyBorder="1" applyFont="1">
      <alignment vertical="bottom"/>
    </xf>
    <xf borderId="22" fillId="0" fontId="16" numFmtId="0" xfId="0" applyAlignment="1" applyBorder="1" applyFont="1">
      <alignment readingOrder="0"/>
    </xf>
    <xf borderId="19" fillId="0" fontId="19" numFmtId="0" xfId="0" applyAlignment="1" applyBorder="1" applyFont="1">
      <alignment readingOrder="0"/>
    </xf>
    <xf borderId="13" fillId="0" fontId="16" numFmtId="179" xfId="0" applyAlignment="1" applyBorder="1" applyFont="1" applyNumberFormat="1">
      <alignment horizontal="center" readingOrder="0"/>
    </xf>
    <xf borderId="20" fillId="10" fontId="15" numFmtId="0" xfId="0" applyBorder="1" applyFont="1"/>
    <xf borderId="47" fillId="3" fontId="0" numFmtId="0" xfId="0" applyAlignment="1" applyBorder="1" applyFont="1">
      <alignment readingOrder="0"/>
    </xf>
    <xf borderId="20" fillId="0" fontId="15" numFmtId="0" xfId="0" applyAlignment="1" applyBorder="1" applyFont="1">
      <alignment horizontal="left" vertical="bottom"/>
    </xf>
    <xf borderId="0" fillId="0" fontId="16" numFmtId="0" xfId="0" applyAlignment="1" applyFont="1">
      <alignment horizontal="left" readingOrder="0" vertical="bottom"/>
    </xf>
    <xf borderId="13" fillId="0" fontId="15" numFmtId="0" xfId="0" applyAlignment="1" applyBorder="1" applyFont="1">
      <alignment horizontal="left" vertical="bottom"/>
    </xf>
    <xf borderId="18" fillId="0" fontId="15" numFmtId="0" xfId="0" applyAlignment="1" applyBorder="1" applyFont="1">
      <alignment horizontal="left" vertical="bottom"/>
    </xf>
    <xf borderId="18" fillId="0" fontId="16" numFmtId="0" xfId="0" applyAlignment="1" applyBorder="1" applyFont="1">
      <alignment readingOrder="0" vertical="center"/>
    </xf>
    <xf borderId="18" fillId="0" fontId="4" numFmtId="0" xfId="0" applyAlignment="1" applyBorder="1" applyFont="1">
      <alignment horizontal="right" readingOrder="0"/>
    </xf>
    <xf borderId="19" fillId="0" fontId="16" numFmtId="0" xfId="0" applyAlignment="1" applyBorder="1" applyFont="1">
      <alignment horizontal="center" readingOrder="0" vertical="center"/>
    </xf>
    <xf borderId="14" fillId="0" fontId="16" numFmtId="0" xfId="0" applyAlignment="1" applyBorder="1" applyFont="1">
      <alignment readingOrder="0"/>
    </xf>
    <xf borderId="13" fillId="0" fontId="4" numFmtId="0" xfId="0" applyAlignment="1" applyBorder="1" applyFont="1">
      <alignment horizontal="center"/>
    </xf>
    <xf borderId="15" fillId="3" fontId="44" numFmtId="0" xfId="0" applyAlignment="1" applyBorder="1" applyFont="1">
      <alignment horizontal="center" vertical="bottom"/>
    </xf>
    <xf borderId="16" fillId="3" fontId="44" numFmtId="0" xfId="0" applyAlignment="1" applyBorder="1" applyFont="1">
      <alignment horizontal="left" shrinkToFit="0" vertical="bottom" wrapText="1"/>
    </xf>
    <xf borderId="19" fillId="3" fontId="44" numFmtId="178" xfId="0" applyAlignment="1" applyBorder="1" applyFont="1" applyNumberFormat="1">
      <alignment horizontal="center" vertical="bottom"/>
    </xf>
    <xf borderId="18" fillId="3" fontId="44" numFmtId="178" xfId="0" applyAlignment="1" applyBorder="1" applyFont="1" applyNumberFormat="1">
      <alignment horizontal="left" vertical="bottom"/>
    </xf>
    <xf borderId="19" fillId="3" fontId="44" numFmtId="0" xfId="0" applyAlignment="1" applyBorder="1" applyFont="1">
      <alignment horizontal="center" vertical="bottom"/>
    </xf>
    <xf borderId="18" fillId="3" fontId="44" numFmtId="0" xfId="0" applyAlignment="1" applyBorder="1" applyFont="1">
      <alignment horizontal="left" shrinkToFit="0" vertical="bottom" wrapText="1"/>
    </xf>
    <xf borderId="18" fillId="3" fontId="44" numFmtId="0" xfId="0" applyAlignment="1" applyBorder="1" applyFont="1">
      <alignment horizontal="left" vertical="bottom"/>
    </xf>
    <xf borderId="33" fillId="3" fontId="44" numFmtId="178" xfId="0" applyAlignment="1" applyBorder="1" applyFont="1" applyNumberFormat="1">
      <alignment horizontal="center" vertical="bottom"/>
    </xf>
    <xf borderId="0" fillId="3" fontId="44" numFmtId="0" xfId="0" applyAlignment="1" applyFont="1">
      <alignment horizontal="left" shrinkToFit="0" vertical="bottom" wrapText="1"/>
    </xf>
    <xf borderId="13" fillId="0" fontId="4" numFmtId="176" xfId="0" applyAlignment="1" applyBorder="1" applyFont="1" applyNumberFormat="1">
      <alignment horizontal="center" readingOrder="0"/>
    </xf>
    <xf borderId="13" fillId="0" fontId="4" numFmtId="176" xfId="0" applyAlignment="1" applyBorder="1" applyFont="1" applyNumberFormat="1">
      <alignment horizontal="center"/>
    </xf>
    <xf borderId="19" fillId="0" fontId="16" numFmtId="176" xfId="0" applyAlignment="1" applyBorder="1" applyFont="1" applyNumberFormat="1">
      <alignment horizontal="center" readingOrder="0" vertical="center"/>
    </xf>
    <xf borderId="0" fillId="0" fontId="4" numFmtId="0" xfId="0" applyFont="1"/>
    <xf borderId="0" fillId="0" fontId="15" numFmtId="0" xfId="0" applyAlignment="1" applyFont="1">
      <alignment readingOrder="0" vertical="bottom"/>
    </xf>
    <xf borderId="13" fillId="8" fontId="4" numFmtId="0" xfId="0" applyAlignment="1" applyBorder="1" applyFont="1">
      <alignment horizontal="center" readingOrder="0"/>
    </xf>
    <xf borderId="13" fillId="8" fontId="4" numFmtId="0" xfId="0" applyAlignment="1" applyBorder="1" applyFont="1">
      <alignment readingOrder="0"/>
    </xf>
    <xf borderId="13" fillId="38" fontId="16" numFmtId="0" xfId="0" applyAlignment="1" applyBorder="1" applyFont="1">
      <alignment readingOrder="0" vertical="bottom"/>
    </xf>
    <xf borderId="13" fillId="38" fontId="10" numFmtId="0" xfId="0" applyAlignment="1" applyBorder="1" applyFont="1">
      <alignment vertical="bottom"/>
    </xf>
    <xf borderId="13" fillId="38" fontId="0" numFmtId="0" xfId="0" applyAlignment="1" applyBorder="1" applyFont="1">
      <alignment readingOrder="0" shrinkToFit="0" vertical="center" wrapText="1"/>
    </xf>
    <xf borderId="13" fillId="38" fontId="12" numFmtId="0" xfId="0" applyAlignment="1" applyBorder="1" applyFont="1">
      <alignment shrinkToFit="0" wrapText="1"/>
    </xf>
    <xf borderId="13" fillId="38" fontId="16" numFmtId="0" xfId="0" applyAlignment="1" applyBorder="1" applyFont="1">
      <alignment readingOrder="0"/>
    </xf>
    <xf borderId="13" fillId="38" fontId="10" numFmtId="0" xfId="0" applyAlignment="1" applyBorder="1" applyFont="1">
      <alignment vertical="bottom"/>
    </xf>
    <xf borderId="0" fillId="0" fontId="1" numFmtId="0" xfId="0" applyAlignment="1" applyFont="1">
      <alignment horizontal="left" readingOrder="0"/>
    </xf>
    <xf borderId="0" fillId="0" fontId="50" numFmtId="0" xfId="0" applyAlignment="1" applyFont="1">
      <alignment horizontal="left" readingOrder="0" shrinkToFit="0" wrapText="1"/>
    </xf>
    <xf borderId="0" fillId="0" fontId="51" numFmtId="0" xfId="0" applyAlignment="1" applyFont="1">
      <alignment horizontal="left" readingOrder="0"/>
    </xf>
    <xf borderId="47" fillId="0" fontId="15" numFmtId="0" xfId="0" applyBorder="1" applyFont="1"/>
    <xf borderId="47" fillId="0" fontId="15" numFmtId="0" xfId="0" applyAlignment="1" applyBorder="1" applyFont="1">
      <alignment horizontal="right"/>
    </xf>
    <xf borderId="68" fillId="0" fontId="15" numFmtId="0" xfId="0" applyAlignment="1" applyBorder="1" applyFont="1">
      <alignment horizontal="right"/>
    </xf>
    <xf borderId="48" fillId="0" fontId="23" numFmtId="0" xfId="0" applyAlignment="1" applyBorder="1" applyFont="1">
      <alignment horizontal="center" shrinkToFit="0" vertical="bottom" wrapText="1"/>
    </xf>
    <xf borderId="0" fillId="4" fontId="4" numFmtId="164" xfId="0" applyAlignment="1" applyFont="1" applyNumberFormat="1">
      <alignment readingOrder="0"/>
    </xf>
    <xf borderId="0" fillId="0" fontId="16" numFmtId="174" xfId="0" applyAlignment="1" applyFont="1" applyNumberFormat="1">
      <alignment horizontal="right"/>
    </xf>
    <xf borderId="69" fillId="0" fontId="16" numFmtId="174" xfId="0" applyAlignment="1" applyBorder="1" applyFont="1" applyNumberFormat="1">
      <alignment horizontal="right"/>
    </xf>
    <xf borderId="21" fillId="5" fontId="15" numFmtId="0" xfId="0" applyAlignment="1" applyBorder="1" applyFont="1">
      <alignment horizontal="center" readingOrder="0"/>
    </xf>
    <xf borderId="28" fillId="5" fontId="15" numFmtId="0" xfId="0" applyAlignment="1" applyBorder="1" applyFont="1">
      <alignment horizontal="center" readingOrder="0"/>
    </xf>
    <xf borderId="30" fillId="0" fontId="15" numFmtId="0" xfId="0" applyAlignment="1" applyBorder="1" applyFont="1">
      <alignment horizontal="center" readingOrder="0"/>
    </xf>
    <xf borderId="18" fillId="4" fontId="16" numFmtId="175" xfId="0" applyAlignment="1" applyBorder="1" applyFont="1" applyNumberFormat="1">
      <alignment horizontal="right" readingOrder="0"/>
    </xf>
    <xf borderId="18" fillId="0" fontId="16" numFmtId="175" xfId="0" applyAlignment="1" applyBorder="1" applyFont="1" applyNumberFormat="1">
      <alignment horizontal="right"/>
    </xf>
    <xf borderId="70" fillId="0" fontId="16" numFmtId="175" xfId="0" applyAlignment="1" applyBorder="1" applyFont="1" applyNumberFormat="1">
      <alignment horizontal="right"/>
    </xf>
    <xf borderId="24" fillId="4" fontId="15" numFmtId="175" xfId="0" applyAlignment="1" applyBorder="1" applyFont="1" applyNumberFormat="1">
      <alignment horizontal="center" readingOrder="0"/>
    </xf>
    <xf borderId="36" fillId="4" fontId="15" numFmtId="0" xfId="0" applyAlignment="1" applyBorder="1" applyFont="1">
      <alignment horizontal="center" readingOrder="0"/>
    </xf>
    <xf borderId="16" fillId="0" fontId="15" numFmtId="0" xfId="0" applyAlignment="1" applyBorder="1" applyFont="1">
      <alignment readingOrder="0"/>
    </xf>
    <xf borderId="15" fillId="0" fontId="15" numFmtId="0" xfId="0" applyAlignment="1" applyBorder="1" applyFont="1">
      <alignment readingOrder="0"/>
    </xf>
    <xf borderId="16" fillId="3" fontId="15" numFmtId="0" xfId="0" applyAlignment="1" applyBorder="1" applyFont="1">
      <alignment readingOrder="0"/>
    </xf>
    <xf borderId="0" fillId="3" fontId="15" numFmtId="0" xfId="0" applyAlignment="1" applyFont="1">
      <alignment readingOrder="0"/>
    </xf>
    <xf borderId="0" fillId="3" fontId="16" numFmtId="0" xfId="0" applyFont="1"/>
    <xf borderId="13" fillId="0" fontId="60" numFmtId="0" xfId="0" applyAlignment="1" applyBorder="1" applyFont="1">
      <alignment horizontal="center" readingOrder="0"/>
    </xf>
    <xf borderId="13" fillId="0" fontId="15" numFmtId="0" xfId="0" applyAlignment="1" applyBorder="1" applyFont="1">
      <alignment readingOrder="0"/>
    </xf>
    <xf borderId="13" fillId="0" fontId="15" numFmtId="0" xfId="0" applyAlignment="1" applyBorder="1" applyFont="1">
      <alignment horizontal="center" readingOrder="0"/>
    </xf>
    <xf borderId="13" fillId="0" fontId="15" numFmtId="0" xfId="0" applyBorder="1" applyFont="1"/>
    <xf borderId="13" fillId="0" fontId="15" numFmtId="0" xfId="0" applyAlignment="1" applyBorder="1" applyFont="1">
      <alignment horizontal="right" readingOrder="0"/>
    </xf>
    <xf borderId="13" fillId="0" fontId="15" numFmtId="0" xfId="0" applyAlignment="1" applyBorder="1" applyFont="1">
      <alignment readingOrder="0" shrinkToFit="0" wrapText="1"/>
    </xf>
    <xf borderId="71" fillId="39" fontId="25" numFmtId="0" xfId="0" applyAlignment="1" applyBorder="1" applyFill="1" applyFont="1">
      <alignment horizontal="center" readingOrder="0" vertical="bottom"/>
    </xf>
    <xf borderId="72" fillId="4" fontId="9" numFmtId="0" xfId="0" applyAlignment="1" applyBorder="1" applyFont="1">
      <alignment horizontal="center" readingOrder="0" vertical="bottom"/>
    </xf>
    <xf borderId="72" fillId="0" fontId="4" numFmtId="0" xfId="0" applyBorder="1" applyFont="1"/>
    <xf borderId="73" fillId="0" fontId="4" numFmtId="0" xfId="0" applyBorder="1" applyFont="1"/>
    <xf borderId="71" fillId="39" fontId="9" numFmtId="0" xfId="0" applyAlignment="1" applyBorder="1" applyFont="1">
      <alignment horizontal="center" readingOrder="0" vertical="bottom"/>
    </xf>
    <xf borderId="13" fillId="0" fontId="61" numFmtId="0" xfId="0" applyAlignment="1" applyBorder="1" applyFont="1">
      <alignment horizontal="center" vertical="bottom"/>
    </xf>
    <xf borderId="15" fillId="4" fontId="9" numFmtId="0" xfId="0" applyAlignment="1" applyBorder="1" applyFont="1">
      <alignment horizontal="center" shrinkToFit="0" vertical="bottom" wrapText="1"/>
    </xf>
    <xf borderId="15" fillId="4" fontId="10" numFmtId="0" xfId="0" applyAlignment="1" applyBorder="1" applyFont="1">
      <alignment readingOrder="0" shrinkToFit="0" vertical="bottom" wrapText="1"/>
    </xf>
    <xf borderId="15" fillId="4" fontId="10" numFmtId="0" xfId="0" applyAlignment="1" applyBorder="1" applyFont="1">
      <alignment horizontal="center" readingOrder="0" shrinkToFit="0" vertical="bottom" wrapText="1"/>
    </xf>
    <xf borderId="17" fillId="0" fontId="10" numFmtId="0" xfId="0" applyAlignment="1" applyBorder="1" applyFont="1">
      <alignment shrinkToFit="0" vertical="bottom" wrapText="1"/>
    </xf>
    <xf borderId="19" fillId="0" fontId="10" numFmtId="167" xfId="0" applyAlignment="1" applyBorder="1" applyFont="1" applyNumberFormat="1">
      <alignment horizontal="right" shrinkToFit="0" vertical="bottom" wrapText="1"/>
    </xf>
    <xf borderId="19" fillId="0" fontId="10" numFmtId="178" xfId="0" applyAlignment="1" applyBorder="1" applyFont="1" applyNumberFormat="1">
      <alignment horizontal="right" shrinkToFit="0" vertical="bottom" wrapText="1"/>
    </xf>
    <xf borderId="19" fillId="0" fontId="10" numFmtId="178" xfId="0" applyAlignment="1" applyBorder="1" applyFont="1" applyNumberFormat="1">
      <alignment horizontal="center" readingOrder="0" shrinkToFit="0" vertical="bottom" wrapText="1"/>
    </xf>
    <xf borderId="13" fillId="4" fontId="16" numFmtId="0" xfId="0" applyAlignment="1" applyBorder="1" applyFont="1">
      <alignment readingOrder="0" shrinkToFit="0" wrapText="1"/>
    </xf>
    <xf borderId="13" fillId="4" fontId="16" numFmtId="0" xfId="0" applyAlignment="1" applyBorder="1" applyFont="1">
      <alignment horizontal="center" readingOrder="0"/>
    </xf>
    <xf borderId="17" fillId="0" fontId="61" numFmtId="0" xfId="0" applyAlignment="1" applyBorder="1" applyFont="1">
      <alignment horizontal="center" readingOrder="0" vertical="bottom"/>
    </xf>
    <xf borderId="19" fillId="4" fontId="9" numFmtId="0" xfId="0" applyAlignment="1" applyBorder="1" applyFont="1">
      <alignment horizontal="center" readingOrder="0" shrinkToFit="0" vertical="bottom" wrapText="1"/>
    </xf>
    <xf borderId="19" fillId="4" fontId="10" numFmtId="0" xfId="0" applyAlignment="1" applyBorder="1" applyFont="1">
      <alignment readingOrder="0" shrinkToFit="0" vertical="bottom" wrapText="1"/>
    </xf>
    <xf borderId="19" fillId="4" fontId="10" numFmtId="0" xfId="0" applyAlignment="1" applyBorder="1" applyFont="1">
      <alignment horizontal="center" readingOrder="0" shrinkToFit="0" vertical="bottom" wrapText="1"/>
    </xf>
    <xf borderId="19" fillId="4" fontId="9" numFmtId="0" xfId="0" applyAlignment="1" applyBorder="1" applyFont="1">
      <alignment horizontal="center" shrinkToFit="0" vertical="bottom" wrapText="1"/>
    </xf>
    <xf borderId="17" fillId="4" fontId="61" numFmtId="0" xfId="0" applyAlignment="1" applyBorder="1" applyFont="1">
      <alignment horizontal="center" readingOrder="0" vertical="bottom"/>
    </xf>
    <xf borderId="13" fillId="4" fontId="62" numFmtId="0" xfId="0" applyAlignment="1" applyBorder="1" applyFont="1">
      <alignment horizontal="center" readingOrder="0"/>
    </xf>
    <xf borderId="13" fillId="4" fontId="15" numFmtId="0" xfId="0" applyAlignment="1" applyBorder="1" applyFont="1">
      <alignment horizontal="center" readingOrder="0" shrinkToFit="0" wrapText="1"/>
    </xf>
    <xf borderId="13" fillId="4" fontId="16" numFmtId="0" xfId="0" applyAlignment="1" applyBorder="1" applyFont="1">
      <alignment horizontal="center" readingOrder="0" shrinkToFit="0" wrapText="1"/>
    </xf>
    <xf borderId="13" fillId="4" fontId="16" numFmtId="0" xfId="0" applyAlignment="1" applyBorder="1" applyFont="1">
      <alignment shrinkToFit="0" wrapText="1"/>
    </xf>
    <xf borderId="13" fillId="4" fontId="16" numFmtId="0" xfId="0" applyAlignment="1" applyBorder="1" applyFont="1">
      <alignment horizontal="center"/>
    </xf>
    <xf borderId="13" fillId="4" fontId="16" numFmtId="0" xfId="0" applyAlignment="1" applyBorder="1" applyFont="1">
      <alignment horizontal="center" shrinkToFit="0" wrapText="1"/>
    </xf>
    <xf borderId="13" fillId="4" fontId="10" numFmtId="0" xfId="0" applyAlignment="1" applyBorder="1" applyFont="1">
      <alignment horizontal="center" readingOrder="0" vertical="bottom"/>
    </xf>
    <xf borderId="19" fillId="4" fontId="16" numFmtId="0" xfId="0" applyAlignment="1" applyBorder="1" applyFont="1">
      <alignment readingOrder="0" shrinkToFit="0" wrapText="1"/>
    </xf>
    <xf borderId="13" fillId="4" fontId="4" numFmtId="0" xfId="0" applyAlignment="1" applyBorder="1" applyFont="1">
      <alignment shrinkToFit="0" wrapText="1"/>
    </xf>
    <xf borderId="13" fillId="4" fontId="4" numFmtId="0" xfId="0" applyAlignment="1" applyBorder="1" applyFont="1">
      <alignment horizontal="center"/>
    </xf>
    <xf borderId="15" fillId="4" fontId="9" numFmtId="0" xfId="0" applyAlignment="1" applyBorder="1" applyFont="1">
      <alignment horizontal="center" readingOrder="0" shrinkToFit="0" vertical="bottom" wrapText="1"/>
    </xf>
    <xf borderId="15" fillId="4" fontId="10" numFmtId="0" xfId="0" applyAlignment="1" applyBorder="1" applyFont="1">
      <alignment shrinkToFit="0" vertical="bottom" wrapText="1"/>
    </xf>
    <xf borderId="15" fillId="4" fontId="10" numFmtId="0" xfId="0" applyAlignment="1" applyBorder="1" applyFont="1">
      <alignment horizontal="center" shrinkToFit="0" vertical="bottom" wrapText="1"/>
    </xf>
    <xf borderId="19" fillId="4" fontId="10" numFmtId="0" xfId="0" applyAlignment="1" applyBorder="1" applyFont="1">
      <alignment shrinkToFit="0" vertical="bottom" wrapText="1"/>
    </xf>
    <xf borderId="19" fillId="4" fontId="10" numFmtId="0" xfId="0" applyAlignment="1" applyBorder="1" applyFont="1">
      <alignment horizontal="center" shrinkToFit="0" vertical="bottom" wrapText="1"/>
    </xf>
    <xf borderId="19" fillId="4" fontId="10" numFmtId="0" xfId="0" applyAlignment="1" applyBorder="1" applyFont="1">
      <alignment shrinkToFit="0" vertical="bottom" wrapText="1"/>
    </xf>
    <xf borderId="13" fillId="4" fontId="10" numFmtId="0" xfId="0" applyAlignment="1" applyBorder="1" applyFont="1">
      <alignment horizontal="center" vertical="bottom"/>
    </xf>
    <xf borderId="15" fillId="4" fontId="9" numFmtId="0" xfId="0" applyAlignment="1" applyBorder="1" applyFont="1">
      <alignment horizontal="center" readingOrder="0" vertical="bottom"/>
    </xf>
    <xf borderId="15" fillId="4" fontId="10" numFmtId="0" xfId="0" applyAlignment="1" applyBorder="1" applyFont="1">
      <alignment readingOrder="0" vertical="bottom"/>
    </xf>
    <xf borderId="15" fillId="4" fontId="10" numFmtId="0" xfId="0" applyAlignment="1" applyBorder="1" applyFont="1">
      <alignment horizontal="center" readingOrder="0" vertical="bottom"/>
    </xf>
    <xf borderId="17" fillId="0" fontId="61" numFmtId="0" xfId="0" applyAlignment="1" applyBorder="1" applyFont="1">
      <alignment horizontal="center" vertical="bottom"/>
    </xf>
    <xf borderId="19" fillId="4" fontId="9" numFmtId="0" xfId="0" applyAlignment="1" applyBorder="1" applyFont="1">
      <alignment horizontal="center" readingOrder="0" vertical="bottom"/>
    </xf>
    <xf borderId="19" fillId="4" fontId="10" numFmtId="0" xfId="0" applyAlignment="1" applyBorder="1" applyFont="1">
      <alignment readingOrder="0" vertical="bottom"/>
    </xf>
    <xf borderId="19" fillId="4" fontId="10" numFmtId="0" xfId="0" applyAlignment="1" applyBorder="1" applyFont="1">
      <alignment horizontal="center" readingOrder="0" vertical="bottom"/>
    </xf>
    <xf borderId="19" fillId="4" fontId="10" numFmtId="0" xfId="0" applyAlignment="1" applyBorder="1" applyFont="1">
      <alignment horizontal="center" vertical="bottom"/>
    </xf>
    <xf borderId="19" fillId="4" fontId="10" numFmtId="0" xfId="0" applyAlignment="1" applyBorder="1" applyFont="1">
      <alignment vertical="bottom"/>
    </xf>
    <xf borderId="19" fillId="4" fontId="10" numFmtId="0" xfId="0" applyAlignment="1" applyBorder="1" applyFont="1">
      <alignment horizontal="center" vertical="bottom"/>
    </xf>
    <xf borderId="48" fillId="4" fontId="62" numFmtId="0" xfId="0" applyAlignment="1" applyBorder="1" applyFont="1">
      <alignment horizontal="center" readingOrder="0"/>
    </xf>
    <xf borderId="33" fillId="4" fontId="9" numFmtId="0" xfId="0" applyAlignment="1" applyBorder="1" applyFont="1">
      <alignment horizontal="center" readingOrder="0" vertical="bottom"/>
    </xf>
    <xf borderId="33" fillId="4" fontId="10" numFmtId="0" xfId="0" applyAlignment="1" applyBorder="1" applyFont="1">
      <alignment vertical="bottom"/>
    </xf>
    <xf borderId="33" fillId="4" fontId="10" numFmtId="0" xfId="0" applyAlignment="1" applyBorder="1" applyFont="1">
      <alignment horizontal="center" vertical="bottom"/>
    </xf>
    <xf borderId="33" fillId="4" fontId="10" numFmtId="0" xfId="0" applyAlignment="1" applyBorder="1" applyFont="1">
      <alignment shrinkToFit="0" vertical="bottom" wrapText="1"/>
    </xf>
    <xf borderId="48" fillId="4" fontId="10" numFmtId="0" xfId="0" applyAlignment="1" applyBorder="1" applyFont="1">
      <alignment horizontal="center" vertical="bottom"/>
    </xf>
    <xf borderId="0" fillId="0" fontId="7" numFmtId="0" xfId="0" applyAlignment="1" applyFont="1">
      <alignment readingOrder="0"/>
    </xf>
    <xf borderId="14" fillId="0" fontId="9" numFmtId="0" xfId="0" applyAlignment="1" applyBorder="1" applyFont="1">
      <alignment vertical="top"/>
    </xf>
    <xf borderId="13" fillId="0" fontId="9" numFmtId="0" xfId="0" applyAlignment="1" applyBorder="1" applyFont="1">
      <alignment vertical="top"/>
    </xf>
    <xf borderId="46" fillId="4" fontId="15" numFmtId="0" xfId="0" applyAlignment="1" applyBorder="1" applyFont="1">
      <alignment horizontal="left" readingOrder="0" vertical="top"/>
    </xf>
    <xf borderId="22" fillId="0" fontId="15" numFmtId="0" xfId="0" applyAlignment="1" applyBorder="1" applyFont="1">
      <alignment horizontal="left" readingOrder="0"/>
    </xf>
    <xf borderId="18" fillId="4" fontId="15" numFmtId="0" xfId="0" applyAlignment="1" applyBorder="1" applyFont="1">
      <alignment horizontal="left" readingOrder="0"/>
    </xf>
    <xf borderId="46" fillId="0" fontId="4" numFmtId="0" xfId="0" applyAlignment="1" applyBorder="1" applyFont="1">
      <alignment horizontal="right"/>
    </xf>
    <xf borderId="47" fillId="0" fontId="4" numFmtId="0" xfId="0" applyAlignment="1" applyBorder="1" applyFont="1">
      <alignment horizontal="right"/>
    </xf>
    <xf borderId="45" fillId="0" fontId="10" numFmtId="0" xfId="0" applyAlignment="1" applyBorder="1" applyFont="1">
      <alignment vertical="bottom"/>
    </xf>
    <xf borderId="22" fillId="0" fontId="9" numFmtId="0" xfId="0" applyAlignment="1" applyBorder="1" applyFont="1">
      <alignment vertical="bottom"/>
    </xf>
    <xf borderId="16" fillId="0" fontId="10" numFmtId="0" xfId="0" applyAlignment="1" applyBorder="1" applyFont="1">
      <alignment vertical="bottom"/>
    </xf>
    <xf borderId="15" fillId="0" fontId="10" numFmtId="0" xfId="0" applyAlignment="1" applyBorder="1" applyFont="1">
      <alignment vertical="bottom"/>
    </xf>
    <xf borderId="22" fillId="0" fontId="4" numFmtId="0" xfId="0" applyAlignment="1" applyBorder="1" applyFont="1">
      <alignment horizontal="right"/>
    </xf>
    <xf borderId="18" fillId="0" fontId="4" numFmtId="0" xfId="0" applyAlignment="1" applyBorder="1" applyFont="1">
      <alignment horizontal="right"/>
    </xf>
    <xf borderId="19" fillId="0" fontId="10" numFmtId="0" xfId="0" applyAlignment="1" applyBorder="1" applyFont="1">
      <alignment vertical="bottom"/>
    </xf>
    <xf borderId="0" fillId="0" fontId="24" numFmtId="0" xfId="0" applyAlignment="1" applyFont="1">
      <alignment readingOrder="0"/>
    </xf>
    <xf borderId="18" fillId="0" fontId="23" numFmtId="0" xfId="0" applyAlignment="1" applyBorder="1" applyFont="1">
      <alignment horizontal="center" shrinkToFit="0" vertical="bottom" wrapText="1"/>
    </xf>
    <xf borderId="0" fillId="0" fontId="63" numFmtId="0" xfId="0" applyAlignment="1" applyFont="1">
      <alignment vertical="bottom"/>
    </xf>
    <xf borderId="0" fillId="0" fontId="64" numFmtId="0" xfId="0" applyAlignment="1" applyFont="1">
      <alignment shrinkToFit="0" vertical="bottom" wrapText="0"/>
    </xf>
    <xf borderId="50" fillId="0" fontId="4" numFmtId="0" xfId="0" applyBorder="1" applyFont="1"/>
    <xf borderId="0" fillId="0" fontId="63" numFmtId="0" xfId="0" applyAlignment="1" applyFont="1">
      <alignment shrinkToFit="0" vertical="bottom" wrapText="0"/>
    </xf>
    <xf borderId="0" fillId="0" fontId="64" numFmtId="0" xfId="0" applyAlignment="1" applyFont="1">
      <alignment readingOrder="0" shrinkToFit="0" vertical="bottom" wrapText="0"/>
    </xf>
    <xf borderId="0" fillId="0" fontId="65" numFmtId="0" xfId="0" applyAlignment="1" applyFont="1">
      <alignment readingOrder="0" vertical="bottom"/>
    </xf>
    <xf borderId="0" fillId="0" fontId="64" numFmtId="0" xfId="0" applyAlignment="1" applyFont="1">
      <alignment vertical="bottom"/>
    </xf>
    <xf borderId="0" fillId="0" fontId="64" numFmtId="0" xfId="0" applyAlignment="1" applyFont="1">
      <alignment readingOrder="0" vertical="bottom"/>
    </xf>
    <xf borderId="0" fillId="0" fontId="10" numFmtId="167" xfId="0" applyAlignment="1" applyFont="1" applyNumberFormat="1">
      <alignment horizontal="right" vertical="bottom"/>
    </xf>
    <xf borderId="0" fillId="0" fontId="10" numFmtId="0" xfId="0" applyAlignment="1" applyFont="1">
      <alignment horizontal="right" vertical="bottom"/>
    </xf>
    <xf borderId="0" fillId="0" fontId="63" numFmtId="0" xfId="0" applyAlignment="1" applyFont="1">
      <alignment readingOrder="0" vertical="bottom"/>
    </xf>
    <xf borderId="0" fillId="0" fontId="10" numFmtId="0" xfId="0" applyAlignment="1" applyFont="1">
      <alignment vertical="bottom"/>
    </xf>
    <xf borderId="50" fillId="13" fontId="30" numFmtId="0" xfId="0" applyAlignment="1" applyBorder="1" applyFont="1">
      <alignment shrinkToFit="0" vertical="bottom" wrapText="0"/>
    </xf>
    <xf borderId="0" fillId="0" fontId="10" numFmtId="177" xfId="0" applyAlignment="1" applyFont="1" applyNumberFormat="1">
      <alignment horizontal="right" vertical="bottom"/>
    </xf>
    <xf borderId="74" fillId="0" fontId="9" numFmtId="0" xfId="0" applyAlignment="1" applyBorder="1" applyFont="1">
      <alignment vertical="bottom"/>
    </xf>
    <xf borderId="50" fillId="0" fontId="10" numFmtId="0" xfId="0" applyAlignment="1" applyBorder="1" applyFont="1">
      <alignment readingOrder="0" shrinkToFit="0" vertical="bottom" wrapText="0"/>
    </xf>
    <xf borderId="50" fillId="0" fontId="10" numFmtId="0" xfId="0" applyAlignment="1" applyBorder="1" applyFont="1">
      <alignment vertical="bottom"/>
    </xf>
    <xf borderId="17" fillId="0" fontId="10" numFmtId="0" xfId="0" applyAlignment="1" applyBorder="1" applyFont="1">
      <alignment vertical="bottom"/>
    </xf>
    <xf borderId="17" fillId="0" fontId="9" numFmtId="0" xfId="0" applyAlignment="1" applyBorder="1" applyFont="1">
      <alignment vertical="bottom"/>
    </xf>
    <xf borderId="0" fillId="8" fontId="31" numFmtId="0" xfId="0" applyAlignment="1" applyFont="1">
      <alignment horizontal="center" vertical="bottom"/>
    </xf>
    <xf borderId="0" fillId="0" fontId="61" numFmtId="0" xfId="0" applyAlignment="1" applyFont="1">
      <alignment horizontal="center" vertical="bottom"/>
    </xf>
    <xf borderId="14" fillId="39" fontId="9" numFmtId="0" xfId="0" applyAlignment="1" applyBorder="1" applyFont="1">
      <alignment readingOrder="0" shrinkToFit="0" vertical="top" wrapText="1"/>
    </xf>
    <xf borderId="14" fillId="40" fontId="9" numFmtId="0" xfId="0" applyAlignment="1" applyBorder="1" applyFill="1" applyFont="1">
      <alignment vertical="center"/>
    </xf>
    <xf borderId="0" fillId="0" fontId="10" numFmtId="0" xfId="0" applyAlignment="1" applyFont="1">
      <alignment vertical="bottom"/>
    </xf>
    <xf borderId="0" fillId="2" fontId="9" numFmtId="0" xfId="0" applyAlignment="1" applyFont="1">
      <alignment vertical="bottom"/>
    </xf>
    <xf borderId="0" fillId="2" fontId="9" numFmtId="49" xfId="0" applyAlignment="1" applyFont="1" applyNumberFormat="1">
      <alignment vertical="bottom"/>
    </xf>
    <xf borderId="0" fillId="2" fontId="9" numFmtId="178" xfId="0" applyAlignment="1" applyFont="1" applyNumberFormat="1">
      <alignment horizontal="center" vertical="bottom"/>
    </xf>
    <xf borderId="0" fillId="2" fontId="9" numFmtId="178" xfId="0" applyAlignment="1" applyFont="1" applyNumberFormat="1">
      <alignment horizontal="center" vertical="bottom"/>
    </xf>
    <xf borderId="0" fillId="3" fontId="66" numFmtId="0" xfId="0" applyAlignment="1" applyFont="1">
      <alignment readingOrder="0" vertical="bottom"/>
    </xf>
    <xf borderId="0" fillId="3" fontId="66" numFmtId="0" xfId="0" applyAlignment="1" applyFont="1">
      <alignment horizontal="center" readingOrder="0" vertical="bottom"/>
    </xf>
    <xf borderId="0" fillId="0" fontId="66" numFmtId="167" xfId="0" applyAlignment="1" applyFont="1" applyNumberFormat="1">
      <alignment horizontal="center" vertical="bottom"/>
    </xf>
    <xf borderId="0" fillId="3" fontId="10" numFmtId="178" xfId="0" applyAlignment="1" applyFont="1" applyNumberFormat="1">
      <alignment horizontal="center" vertical="bottom"/>
    </xf>
    <xf borderId="0" fillId="3" fontId="10" numFmtId="178" xfId="0" applyAlignment="1" applyFont="1" applyNumberFormat="1">
      <alignment horizontal="center" readingOrder="0" vertical="bottom"/>
    </xf>
    <xf borderId="0" fillId="0" fontId="10" numFmtId="178" xfId="0" applyAlignment="1" applyFont="1" applyNumberFormat="1">
      <alignment horizontal="center" readingOrder="0" vertical="bottom"/>
    </xf>
    <xf borderId="0" fillId="3" fontId="66" numFmtId="0" xfId="0" applyAlignment="1" applyFont="1">
      <alignment vertical="bottom"/>
    </xf>
    <xf borderId="0" fillId="3" fontId="66" numFmtId="0" xfId="0" applyAlignment="1" applyFont="1">
      <alignment horizontal="center" vertical="bottom"/>
    </xf>
    <xf borderId="0" fillId="0" fontId="10" numFmtId="178" xfId="0" applyAlignment="1" applyFont="1" applyNumberFormat="1">
      <alignment horizontal="center" vertical="bottom"/>
    </xf>
    <xf borderId="0" fillId="3" fontId="67" numFmtId="0" xfId="0" applyAlignment="1" applyFont="1">
      <alignment vertical="bottom"/>
    </xf>
    <xf borderId="0" fillId="0" fontId="66" numFmtId="0" xfId="0" applyAlignment="1" applyFont="1">
      <alignment vertical="bottom"/>
    </xf>
    <xf borderId="0" fillId="0" fontId="66" numFmtId="178" xfId="0" applyAlignment="1" applyFont="1" applyNumberFormat="1">
      <alignment horizontal="center" vertical="bottom"/>
    </xf>
    <xf borderId="0" fillId="3" fontId="66" numFmtId="178" xfId="0" applyAlignment="1" applyFont="1" applyNumberFormat="1">
      <alignment horizontal="center" vertical="bottom"/>
    </xf>
    <xf borderId="0" fillId="3" fontId="66" numFmtId="0" xfId="0" applyAlignment="1" applyFont="1">
      <alignment vertical="bottom"/>
    </xf>
    <xf borderId="0" fillId="0" fontId="66" numFmtId="178" xfId="0" applyAlignment="1" applyFont="1" applyNumberFormat="1">
      <alignment horizontal="center" readingOrder="0" vertical="bottom"/>
    </xf>
    <xf quotePrefix="1" borderId="0" fillId="3" fontId="66" numFmtId="0" xfId="0" applyAlignment="1" applyFont="1">
      <alignment vertical="bottom"/>
    </xf>
    <xf borderId="0" fillId="3" fontId="10" numFmtId="0" xfId="0" applyAlignment="1" applyFont="1">
      <alignment vertical="bottom"/>
    </xf>
    <xf borderId="0" fillId="0" fontId="10" numFmtId="167" xfId="0" applyAlignment="1" applyFont="1" applyNumberFormat="1">
      <alignment vertical="bottom"/>
    </xf>
    <xf borderId="18" fillId="0" fontId="66" numFmtId="0" xfId="0" applyAlignment="1" applyBorder="1" applyFont="1">
      <alignment vertical="bottom"/>
    </xf>
    <xf borderId="18" fillId="3" fontId="66" numFmtId="0" xfId="0" applyAlignment="1" applyBorder="1" applyFont="1">
      <alignment horizontal="center" vertical="bottom"/>
    </xf>
    <xf borderId="18" fillId="0" fontId="66" numFmtId="167" xfId="0" applyAlignment="1" applyBorder="1" applyFont="1" applyNumberFormat="1">
      <alignment horizontal="center" vertical="bottom"/>
    </xf>
    <xf borderId="18" fillId="0" fontId="10" numFmtId="178" xfId="0" applyAlignment="1" applyBorder="1" applyFont="1" applyNumberFormat="1">
      <alignment horizontal="center" vertical="bottom"/>
    </xf>
    <xf borderId="18" fillId="0" fontId="66" numFmtId="178" xfId="0" applyAlignment="1" applyBorder="1" applyFont="1" applyNumberFormat="1">
      <alignment horizontal="center" vertical="bottom"/>
    </xf>
    <xf borderId="18" fillId="0" fontId="10" numFmtId="0" xfId="0" applyAlignment="1" applyBorder="1" applyFont="1">
      <alignment vertical="bottom"/>
    </xf>
    <xf borderId="17" fillId="39" fontId="68" numFmtId="0" xfId="0" applyAlignment="1" applyBorder="1" applyFont="1">
      <alignment shrinkToFit="0" vertical="bottom" wrapText="0"/>
    </xf>
    <xf borderId="17" fillId="39" fontId="10" numFmtId="0" xfId="0" applyAlignment="1" applyBorder="1" applyFont="1">
      <alignment vertical="bottom"/>
    </xf>
    <xf borderId="17" fillId="39" fontId="10" numFmtId="167" xfId="0" applyAlignment="1" applyBorder="1" applyFont="1" applyNumberFormat="1">
      <alignment vertical="bottom"/>
    </xf>
    <xf borderId="17" fillId="39" fontId="10" numFmtId="178" xfId="0" applyAlignment="1" applyBorder="1" applyFont="1" applyNumberFormat="1">
      <alignment horizontal="center" vertical="bottom"/>
    </xf>
    <xf borderId="0" fillId="0" fontId="10" numFmtId="178" xfId="0" applyAlignment="1" applyFont="1" applyNumberFormat="1">
      <alignment horizontal="center" vertical="bottom"/>
    </xf>
    <xf borderId="0" fillId="3" fontId="66" numFmtId="0" xfId="0" applyAlignment="1" applyFont="1">
      <alignment horizontal="center" vertical="bottom"/>
    </xf>
    <xf borderId="0" fillId="0" fontId="10" numFmtId="0" xfId="0" applyAlignment="1" applyFont="1">
      <alignment vertical="bottom"/>
    </xf>
    <xf borderId="0" fillId="0" fontId="66" numFmtId="0" xfId="0" applyAlignment="1" applyFont="1">
      <alignment vertical="bottom"/>
    </xf>
    <xf borderId="0" fillId="41" fontId="10" numFmtId="0" xfId="0" applyAlignment="1" applyFill="1" applyFont="1">
      <alignment vertical="bottom"/>
    </xf>
    <xf borderId="0" fillId="0" fontId="10" numFmtId="0" xfId="0" applyAlignment="1" applyFont="1">
      <alignment vertical="bottom"/>
    </xf>
    <xf borderId="0" fillId="14" fontId="10" numFmtId="0" xfId="0" applyAlignment="1" applyFont="1">
      <alignment vertical="bottom"/>
    </xf>
    <xf borderId="0" fillId="4" fontId="10" numFmtId="0" xfId="0" applyAlignment="1" applyFont="1">
      <alignment vertical="bottom"/>
    </xf>
    <xf borderId="0" fillId="15" fontId="10" numFmtId="0" xfId="0" applyAlignment="1" applyFont="1">
      <alignment vertical="bottom"/>
    </xf>
    <xf borderId="0" fillId="13" fontId="10" numFmtId="0" xfId="0" applyAlignment="1" applyFont="1">
      <alignment vertical="bottom"/>
    </xf>
    <xf quotePrefix="1" borderId="0" fillId="0" fontId="10" numFmtId="178" xfId="0" applyAlignment="1" applyFont="1" applyNumberFormat="1">
      <alignment horizontal="center" vertical="bottom"/>
    </xf>
    <xf quotePrefix="1" borderId="0" fillId="0" fontId="66" numFmtId="178" xfId="0" applyAlignment="1" applyFont="1" applyNumberFormat="1">
      <alignment horizontal="center" vertical="bottom"/>
    </xf>
    <xf borderId="0" fillId="0" fontId="10" numFmtId="0" xfId="0" applyAlignment="1" applyFont="1">
      <alignment horizontal="center" vertical="bottom"/>
    </xf>
    <xf borderId="0" fillId="0" fontId="10" numFmtId="49" xfId="0" applyAlignment="1" applyFont="1" applyNumberFormat="1">
      <alignment vertical="bottom"/>
    </xf>
    <xf borderId="18" fillId="0" fontId="69" numFmtId="0" xfId="0" applyAlignment="1" applyBorder="1" applyFont="1">
      <alignment horizontal="center" vertical="bottom"/>
    </xf>
    <xf borderId="45" fillId="0" fontId="15" numFmtId="0" xfId="0" applyBorder="1" applyFont="1"/>
    <xf borderId="20" fillId="0" fontId="4" numFmtId="0" xfId="0" applyAlignment="1" applyBorder="1" applyFont="1">
      <alignment horizontal="right" readingOrder="0"/>
    </xf>
    <xf borderId="0" fillId="0" fontId="4" numFmtId="180" xfId="0" applyAlignment="1" applyFont="1" applyNumberFormat="1">
      <alignment readingOrder="0"/>
    </xf>
    <xf borderId="33" fillId="0" fontId="16" numFmtId="174" xfId="0" applyAlignment="1" applyBorder="1" applyFont="1" applyNumberFormat="1">
      <alignment horizontal="left"/>
    </xf>
    <xf borderId="22" fillId="0" fontId="8" numFmtId="0" xfId="0" applyAlignment="1" applyBorder="1" applyFont="1">
      <alignment horizontal="center" vertical="top"/>
    </xf>
    <xf borderId="22" fillId="0" fontId="4" numFmtId="0" xfId="0" applyAlignment="1" applyBorder="1" applyFont="1">
      <alignment horizontal="right" readingOrder="0"/>
    </xf>
    <xf borderId="0" fillId="0" fontId="4" numFmtId="175" xfId="0" applyAlignment="1" applyFont="1" applyNumberFormat="1">
      <alignment readingOrder="0"/>
    </xf>
    <xf borderId="18" fillId="0" fontId="16" numFmtId="175" xfId="0" applyAlignment="1" applyBorder="1" applyFont="1" applyNumberFormat="1">
      <alignment horizontal="left"/>
    </xf>
    <xf borderId="18" fillId="0" fontId="16" numFmtId="0" xfId="0" applyAlignment="1" applyBorder="1" applyFont="1">
      <alignment horizontal="center"/>
    </xf>
    <xf borderId="19" fillId="0" fontId="16" numFmtId="175" xfId="0" applyAlignment="1" applyBorder="1" applyFont="1" applyNumberFormat="1">
      <alignment horizontal="left"/>
    </xf>
    <xf borderId="14" fillId="9" fontId="16" numFmtId="0" xfId="0" applyBorder="1" applyFont="1"/>
    <xf borderId="13" fillId="0" fontId="70" numFmtId="0" xfId="0" applyAlignment="1" applyBorder="1" applyFont="1">
      <alignment horizontal="center" readingOrder="0"/>
    </xf>
    <xf borderId="13" fillId="0" fontId="10" numFmtId="0" xfId="0" applyAlignment="1" applyBorder="1" applyFont="1">
      <alignment horizontal="left" vertical="bottom"/>
    </xf>
    <xf borderId="15" fillId="0" fontId="10" numFmtId="0" xfId="0" applyAlignment="1" applyBorder="1" applyFont="1">
      <alignment horizontal="left" vertical="bottom"/>
    </xf>
    <xf borderId="15" fillId="0" fontId="10" numFmtId="0" xfId="0" applyAlignment="1" applyBorder="1" applyFont="1">
      <alignment horizontal="center" vertical="bottom"/>
    </xf>
    <xf borderId="15" fillId="0" fontId="10" numFmtId="167" xfId="0" applyAlignment="1" applyBorder="1" applyFont="1" applyNumberFormat="1">
      <alignment horizontal="center" vertical="bottom"/>
    </xf>
    <xf borderId="15" fillId="0" fontId="10" numFmtId="178" xfId="0" applyAlignment="1" applyBorder="1" applyFont="1" applyNumberFormat="1">
      <alignment horizontal="center" vertical="bottom"/>
    </xf>
    <xf borderId="13" fillId="0" fontId="4" numFmtId="0" xfId="0" applyAlignment="1" applyBorder="1" applyFont="1">
      <alignment horizontal="left"/>
    </xf>
    <xf borderId="17" fillId="0" fontId="10" numFmtId="0" xfId="0" applyAlignment="1" applyBorder="1" applyFont="1">
      <alignment horizontal="left" vertical="bottom"/>
    </xf>
    <xf borderId="19" fillId="0" fontId="10" numFmtId="0" xfId="0" applyAlignment="1" applyBorder="1" applyFont="1">
      <alignment horizontal="left" vertical="bottom"/>
    </xf>
    <xf borderId="19" fillId="0" fontId="10" numFmtId="0" xfId="0" applyAlignment="1" applyBorder="1" applyFont="1">
      <alignment horizontal="center" vertical="bottom"/>
    </xf>
    <xf borderId="19" fillId="0" fontId="10" numFmtId="178" xfId="0" applyAlignment="1" applyBorder="1" applyFont="1" applyNumberFormat="1">
      <alignment horizontal="center" vertical="bottom"/>
    </xf>
    <xf borderId="19" fillId="0" fontId="44" numFmtId="0" xfId="0" applyAlignment="1" applyBorder="1" applyFont="1">
      <alignment horizontal="center" shrinkToFit="0" vertical="bottom" wrapText="1"/>
    </xf>
    <xf borderId="13" fillId="0" fontId="26" numFmtId="0" xfId="0" applyAlignment="1" applyBorder="1" applyFont="1">
      <alignment horizontal="center" readingOrder="0"/>
    </xf>
    <xf borderId="13" fillId="0" fontId="16" numFmtId="0" xfId="0" applyAlignment="1" applyBorder="1" applyFont="1">
      <alignment horizontal="left" readingOrder="0"/>
    </xf>
    <xf borderId="14" fillId="0" fontId="15" numFmtId="0" xfId="0" applyAlignment="1" applyBorder="1" applyFont="1">
      <alignment horizontal="left" readingOrder="0" vertical="top"/>
    </xf>
    <xf borderId="46" fillId="0" fontId="15" numFmtId="0" xfId="0" applyAlignment="1" applyBorder="1" applyFont="1">
      <alignment horizontal="left" readingOrder="0" vertical="top"/>
    </xf>
    <xf borderId="14" fillId="0" fontId="15" numFmtId="0" xfId="0" applyAlignment="1" applyBorder="1" applyFont="1">
      <alignment horizontal="left" readingOrder="0"/>
    </xf>
    <xf borderId="14" fillId="0" fontId="16" numFmtId="0" xfId="0" applyAlignment="1" applyBorder="1" applyFont="1">
      <alignment horizontal="left" readingOrder="0"/>
    </xf>
    <xf borderId="22" fillId="0" fontId="15" numFmtId="0" xfId="0" applyAlignment="1" applyBorder="1" applyFont="1">
      <alignment horizontal="left" readingOrder="0" vertical="bottom"/>
    </xf>
    <xf borderId="18" fillId="0" fontId="15" numFmtId="0" xfId="0" applyAlignment="1" applyBorder="1" applyFont="1">
      <alignment horizontal="left" readingOrder="0" vertical="bottom"/>
    </xf>
    <xf borderId="22" fillId="0" fontId="16" numFmtId="0" xfId="0" applyAlignment="1" applyBorder="1" applyFont="1">
      <alignment horizontal="left" readingOrder="0"/>
    </xf>
    <xf borderId="18" fillId="0" fontId="16" numFmtId="174" xfId="0" applyAlignment="1" applyBorder="1" applyFont="1" applyNumberFormat="1">
      <alignment horizontal="left" readingOrder="0"/>
    </xf>
    <xf borderId="18" fillId="0" fontId="16" numFmtId="0" xfId="0" applyAlignment="1" applyBorder="1" applyFont="1">
      <alignment horizontal="left" readingOrder="0"/>
    </xf>
    <xf borderId="19" fillId="0" fontId="16" numFmtId="175" xfId="0" applyAlignment="1" applyBorder="1" applyFont="1" applyNumberFormat="1">
      <alignment horizontal="left" readingOrder="0"/>
    </xf>
    <xf borderId="0" fillId="0" fontId="51" numFmtId="0" xfId="0" applyAlignment="1" applyFont="1">
      <alignment horizontal="center" readingOrder="0"/>
    </xf>
    <xf borderId="0" fillId="0" fontId="48" numFmtId="0" xfId="0" applyAlignment="1" applyFont="1">
      <alignment horizontal="right" readingOrder="0"/>
    </xf>
    <xf borderId="22" fillId="0" fontId="8" numFmtId="0" xfId="0" applyAlignment="1" applyBorder="1" applyFont="1">
      <alignment horizontal="center" readingOrder="0" vertical="top"/>
    </xf>
    <xf borderId="13" fillId="0" fontId="4" numFmtId="0" xfId="0" applyAlignment="1" applyBorder="1" applyFont="1">
      <alignment horizontal="left" shrinkToFit="0" wrapText="1"/>
    </xf>
    <xf borderId="0" fillId="0" fontId="21" numFmtId="0" xfId="0" applyAlignment="1" applyFont="1">
      <alignment horizontal="right" readingOrder="0" vertical="top"/>
    </xf>
    <xf borderId="0" fillId="0" fontId="4" numFmtId="0" xfId="0" applyAlignment="1" applyFont="1">
      <alignment horizontal="center" shrinkToFit="0" textRotation="90" vertical="center" wrapText="1"/>
    </xf>
    <xf borderId="13" fillId="0" fontId="8" numFmtId="0" xfId="0" applyAlignment="1" applyBorder="1" applyFont="1">
      <alignment horizontal="center" shrinkToFit="0" textRotation="90" vertical="center" wrapText="1"/>
    </xf>
    <xf borderId="46" fillId="3" fontId="33" numFmtId="0" xfId="0" applyAlignment="1" applyBorder="1" applyFont="1">
      <alignment readingOrder="0" textRotation="90"/>
    </xf>
    <xf borderId="46" fillId="0" fontId="16" numFmtId="174" xfId="0" applyAlignment="1" applyBorder="1" applyFont="1" applyNumberFormat="1">
      <alignment horizontal="left" textRotation="90"/>
    </xf>
    <xf borderId="45" fillId="0" fontId="16" numFmtId="175" xfId="0" applyAlignment="1" applyBorder="1" applyFont="1" applyNumberFormat="1">
      <alignment horizontal="left" textRotation="90"/>
    </xf>
    <xf borderId="48" fillId="8" fontId="4" numFmtId="0" xfId="0" applyAlignment="1" applyBorder="1" applyFont="1">
      <alignment textRotation="90"/>
    </xf>
    <xf borderId="13" fillId="0" fontId="15" numFmtId="0" xfId="0" applyAlignment="1" applyBorder="1" applyFont="1">
      <alignment horizontal="center" readingOrder="0" textRotation="90" vertical="center"/>
    </xf>
    <xf borderId="13" fillId="0" fontId="4" numFmtId="0" xfId="0" applyAlignment="1" applyBorder="1" applyFont="1">
      <alignment textRotation="90"/>
    </xf>
    <xf borderId="48" fillId="0" fontId="8" numFmtId="0" xfId="0" applyAlignment="1" applyBorder="1" applyFont="1">
      <alignment readingOrder="0" textRotation="90"/>
    </xf>
    <xf borderId="48" fillId="0" fontId="4" numFmtId="0" xfId="0" applyAlignment="1" applyBorder="1" applyFont="1">
      <alignment textRotation="90"/>
    </xf>
    <xf borderId="48" fillId="0" fontId="4" numFmtId="0" xfId="0" applyAlignment="1" applyBorder="1" applyFont="1">
      <alignment readingOrder="0" textRotation="90"/>
    </xf>
    <xf borderId="48" fillId="0" fontId="4" numFmtId="175" xfId="0" applyAlignment="1" applyBorder="1" applyFont="1" applyNumberFormat="1">
      <alignment textRotation="90"/>
    </xf>
    <xf borderId="0" fillId="0" fontId="2" numFmtId="0" xfId="0" applyAlignment="1" applyFont="1">
      <alignment horizontal="center" readingOrder="0" textRotation="90"/>
    </xf>
    <xf borderId="13" fillId="0" fontId="2" numFmtId="0" xfId="0" applyAlignment="1" applyBorder="1" applyFont="1">
      <alignment horizontal="center" readingOrder="0" textRotation="90"/>
    </xf>
    <xf borderId="20" fillId="0" fontId="16" numFmtId="0" xfId="0" applyAlignment="1" applyBorder="1" applyFont="1">
      <alignment horizontal="center" textRotation="90"/>
    </xf>
    <xf borderId="33" fillId="0" fontId="16" numFmtId="0" xfId="0" applyAlignment="1" applyBorder="1" applyFont="1">
      <alignment horizontal="center" textRotation="90"/>
    </xf>
    <xf borderId="49" fillId="8" fontId="4" numFmtId="0" xfId="0" applyAlignment="1" applyBorder="1" applyFont="1">
      <alignment textRotation="90"/>
    </xf>
    <xf borderId="13" fillId="0" fontId="4" numFmtId="0" xfId="0" applyAlignment="1" applyBorder="1" applyFont="1">
      <alignment textRotation="90" vertical="center"/>
    </xf>
    <xf borderId="49" fillId="0" fontId="4" numFmtId="0" xfId="0" applyBorder="1" applyFont="1"/>
    <xf borderId="49" fillId="0" fontId="4" numFmtId="0" xfId="0" applyAlignment="1" applyBorder="1" applyFont="1">
      <alignment textRotation="90"/>
    </xf>
    <xf borderId="48" fillId="0" fontId="2" numFmtId="0" xfId="0" applyAlignment="1" applyBorder="1" applyFont="1">
      <alignment horizontal="center" readingOrder="0" textRotation="90"/>
    </xf>
    <xf borderId="49" fillId="0" fontId="4" numFmtId="180" xfId="0" applyAlignment="1" applyBorder="1" applyFont="1" applyNumberFormat="1">
      <alignment textRotation="90"/>
    </xf>
    <xf borderId="20" fillId="0" fontId="16" numFmtId="174" xfId="0" applyAlignment="1" applyBorder="1" applyFont="1" applyNumberFormat="1">
      <alignment horizontal="left" textRotation="90"/>
    </xf>
    <xf borderId="33" fillId="0" fontId="16" numFmtId="175" xfId="0" applyAlignment="1" applyBorder="1" applyFont="1" applyNumberFormat="1">
      <alignment horizontal="left" textRotation="90"/>
    </xf>
    <xf borderId="17" fillId="0" fontId="4" numFmtId="0" xfId="0" applyBorder="1" applyFont="1"/>
    <xf borderId="17" fillId="0" fontId="4" numFmtId="0" xfId="0" applyAlignment="1" applyBorder="1" applyFont="1">
      <alignment readingOrder="0" textRotation="90"/>
    </xf>
    <xf borderId="22" fillId="0" fontId="16" numFmtId="0" xfId="0" applyAlignment="1" applyBorder="1" applyFont="1">
      <alignment readingOrder="0" textRotation="90"/>
    </xf>
    <xf borderId="19" fillId="0" fontId="16" numFmtId="0" xfId="0" applyAlignment="1" applyBorder="1" applyFont="1">
      <alignment readingOrder="0" textRotation="90"/>
    </xf>
    <xf borderId="13" fillId="0" fontId="48" numFmtId="0" xfId="0" applyAlignment="1" applyBorder="1" applyFont="1">
      <alignment horizontal="right" readingOrder="0" textRotation="90" vertical="top"/>
    </xf>
    <xf borderId="0" fillId="3" fontId="0" numFmtId="0" xfId="0" applyAlignment="1" applyFont="1">
      <alignment readingOrder="0" textRotation="90"/>
    </xf>
    <xf borderId="20" fillId="0" fontId="4" numFmtId="180" xfId="0" applyAlignment="1" applyBorder="1" applyFont="1" applyNumberFormat="1">
      <alignment readingOrder="0" textRotation="90"/>
    </xf>
    <xf borderId="33" fillId="0" fontId="4" numFmtId="175" xfId="0" applyAlignment="1" applyBorder="1" applyFont="1" applyNumberFormat="1">
      <alignment readingOrder="0" textRotation="90"/>
    </xf>
    <xf borderId="49" fillId="0" fontId="15" numFmtId="0" xfId="0" applyAlignment="1" applyBorder="1" applyFont="1">
      <alignment horizontal="left" readingOrder="0" textRotation="90" vertical="bottom"/>
    </xf>
    <xf borderId="22" fillId="0" fontId="4" numFmtId="0" xfId="0" applyAlignment="1" applyBorder="1" applyFont="1">
      <alignment horizontal="right" readingOrder="0" textRotation="90"/>
    </xf>
    <xf borderId="19" fillId="0" fontId="4" numFmtId="0" xfId="0" applyAlignment="1" applyBorder="1" applyFont="1">
      <alignment horizontal="right" readingOrder="0" textRotation="90"/>
    </xf>
    <xf borderId="17" fillId="8" fontId="4" numFmtId="0" xfId="0" applyAlignment="1" applyBorder="1" applyFont="1">
      <alignment textRotation="90"/>
    </xf>
    <xf borderId="46" fillId="3" fontId="0" numFmtId="0" xfId="0" applyAlignment="1" applyBorder="1" applyFont="1">
      <alignment readingOrder="0" textRotation="90"/>
    </xf>
    <xf borderId="0" fillId="0" fontId="8" numFmtId="0" xfId="0" applyAlignment="1" applyFont="1">
      <alignment horizontal="center" textRotation="90" vertical="center"/>
    </xf>
    <xf borderId="33" fillId="0" fontId="8" numFmtId="0" xfId="0" applyAlignment="1" applyBorder="1" applyFont="1">
      <alignment horizontal="center" textRotation="90" vertical="center"/>
    </xf>
    <xf borderId="48" fillId="3" fontId="55" numFmtId="0" xfId="0" applyAlignment="1" applyBorder="1" applyFont="1">
      <alignment readingOrder="0" textRotation="90"/>
    </xf>
    <xf borderId="13" fillId="0" fontId="15" numFmtId="0" xfId="0" applyAlignment="1" applyBorder="1" applyFont="1">
      <alignment horizontal="center" textRotation="90" vertical="center"/>
    </xf>
    <xf borderId="48" fillId="0" fontId="15" numFmtId="0" xfId="0" applyAlignment="1" applyBorder="1" applyFont="1">
      <alignment horizontal="center" textRotation="90" vertical="center"/>
    </xf>
    <xf borderId="13" fillId="0" fontId="4" numFmtId="0" xfId="0" applyAlignment="1" applyBorder="1" applyFont="1">
      <alignment textRotation="90" vertical="center"/>
    </xf>
    <xf borderId="0" fillId="3" fontId="33" numFmtId="0" xfId="0" applyAlignment="1" applyFont="1">
      <alignment readingOrder="0" textRotation="90"/>
    </xf>
    <xf borderId="0" fillId="0" fontId="4" numFmtId="0" xfId="0" applyAlignment="1" applyFont="1">
      <alignment textRotation="90" vertical="center"/>
    </xf>
    <xf borderId="13" fillId="0" fontId="4" numFmtId="178" xfId="0" applyAlignment="1" applyBorder="1" applyFont="1" applyNumberFormat="1">
      <alignment textRotation="90" vertical="center"/>
    </xf>
    <xf borderId="48" fillId="3" fontId="71" numFmtId="0" xfId="0" applyAlignment="1" applyBorder="1" applyFont="1">
      <alignment readingOrder="0" textRotation="90"/>
    </xf>
    <xf borderId="15" fillId="0" fontId="10" numFmtId="0" xfId="0" applyAlignment="1" applyBorder="1" applyFont="1">
      <alignment horizontal="left" textRotation="90" vertical="bottom"/>
    </xf>
    <xf borderId="13" fillId="0" fontId="10" numFmtId="0" xfId="0" applyAlignment="1" applyBorder="1" applyFont="1">
      <alignment horizontal="left" textRotation="90" vertical="bottom"/>
    </xf>
    <xf borderId="13" fillId="0" fontId="8" numFmtId="0" xfId="0" applyAlignment="1" applyBorder="1" applyFont="1">
      <alignment textRotation="90" vertical="center"/>
    </xf>
    <xf borderId="21" fillId="0" fontId="55" numFmtId="0" xfId="0" applyAlignment="1" applyBorder="1" applyFont="1">
      <alignment horizontal="left" shrinkToFit="0" vertical="center" wrapText="1"/>
    </xf>
    <xf borderId="28" fillId="0" fontId="0" numFmtId="0" xfId="0" applyAlignment="1" applyBorder="1" applyFont="1">
      <alignment horizontal="left" shrinkToFit="0" vertical="center" wrapText="1"/>
    </xf>
    <xf borderId="28" fillId="0" fontId="0" numFmtId="181" xfId="0" applyAlignment="1" applyBorder="1" applyFont="1" applyNumberFormat="1">
      <alignment horizontal="center" shrinkToFit="0" vertical="center" wrapText="1"/>
    </xf>
    <xf borderId="28" fillId="0" fontId="0" numFmtId="0" xfId="0" applyAlignment="1" applyBorder="1" applyFont="1">
      <alignment shrinkToFit="0" vertical="center" wrapText="1"/>
    </xf>
    <xf borderId="30" fillId="0" fontId="55" numFmtId="182" xfId="0" applyAlignment="1" applyBorder="1" applyFont="1" applyNumberFormat="1">
      <alignment shrinkToFit="0" vertical="center" wrapText="1"/>
    </xf>
    <xf borderId="24" fillId="0" fontId="55" numFmtId="0" xfId="0" applyAlignment="1" applyBorder="1" applyFont="1">
      <alignment horizontal="center" shrinkToFit="0" vertical="center" wrapText="1"/>
    </xf>
    <xf borderId="24" fillId="0" fontId="0" numFmtId="0" xfId="0" applyAlignment="1" applyBorder="1" applyFont="1">
      <alignment horizontal="center" shrinkToFit="0" vertical="center" wrapText="1"/>
    </xf>
    <xf borderId="36" fillId="0" fontId="0" numFmtId="0" xfId="0" applyAlignment="1" applyBorder="1" applyFont="1">
      <alignment horizontal="left" shrinkToFit="0" vertical="center" wrapText="1"/>
    </xf>
    <xf borderId="36" fillId="0" fontId="0" numFmtId="49" xfId="0" applyAlignment="1" applyBorder="1" applyFont="1" applyNumberFormat="1">
      <alignment horizontal="center" shrinkToFit="0" vertical="center" wrapText="1"/>
    </xf>
    <xf borderId="36" fillId="0" fontId="0" numFmtId="0" xfId="0" applyAlignment="1" applyBorder="1" applyFont="1">
      <alignment shrinkToFit="0" vertical="center" wrapText="1"/>
    </xf>
    <xf borderId="37" fillId="0" fontId="0" numFmtId="0" xfId="0" applyAlignment="1" applyBorder="1" applyFont="1">
      <alignment shrinkToFit="0" vertical="center" wrapText="1"/>
    </xf>
    <xf borderId="21" fillId="0" fontId="55" numFmtId="0" xfId="0" applyAlignment="1" applyBorder="1" applyFont="1">
      <alignment shrinkToFit="0" vertical="center" wrapText="1"/>
    </xf>
    <xf borderId="51" fillId="0" fontId="0" numFmtId="0" xfId="0" applyAlignment="1" applyBorder="1" applyFont="1">
      <alignment horizontal="center" shrinkToFit="0" vertical="center" wrapText="1"/>
    </xf>
    <xf borderId="46" fillId="0" fontId="0" numFmtId="0" xfId="0" applyAlignment="1" applyBorder="1" applyFont="1">
      <alignment horizontal="center" shrinkToFit="0" vertical="center" wrapText="1"/>
    </xf>
    <xf borderId="43" fillId="0" fontId="0" numFmtId="0" xfId="0" applyAlignment="1" applyBorder="1" applyFont="1">
      <alignment horizontal="center" shrinkToFit="0" vertical="center" wrapText="1"/>
    </xf>
    <xf borderId="22" fillId="0" fontId="0" numFmtId="0" xfId="0" applyAlignment="1" applyBorder="1" applyFont="1">
      <alignment horizontal="center" shrinkToFit="0" vertical="center" wrapText="1"/>
    </xf>
    <xf borderId="43" fillId="0" fontId="0" numFmtId="0" xfId="0" applyAlignment="1" applyBorder="1" applyFont="1">
      <alignment horizontal="left" readingOrder="0" shrinkToFit="0" vertical="center" wrapText="1"/>
    </xf>
    <xf borderId="22" fillId="0" fontId="0" numFmtId="0" xfId="0" applyAlignment="1" applyBorder="1" applyFont="1">
      <alignment horizontal="left" readingOrder="0" shrinkToFit="0" vertical="center" wrapText="1"/>
    </xf>
    <xf borderId="42" fillId="0" fontId="0" numFmtId="0" xfId="0" applyAlignment="1" applyBorder="1" applyFont="1">
      <alignment horizontal="left" readingOrder="0" shrinkToFit="0" vertical="center" wrapText="1"/>
    </xf>
    <xf borderId="14" fillId="0" fontId="0" numFmtId="0" xfId="0" applyAlignment="1" applyBorder="1" applyFont="1">
      <alignment horizontal="left" readingOrder="0" shrinkToFit="0" vertical="center" wrapText="1"/>
    </xf>
    <xf borderId="42" fillId="0" fontId="0" numFmtId="0" xfId="0" applyAlignment="1" applyBorder="1" applyFont="1">
      <alignment horizontal="left" shrinkToFit="0" vertical="center" wrapText="1"/>
    </xf>
    <xf borderId="14" fillId="0" fontId="0" numFmtId="0" xfId="0" applyAlignment="1" applyBorder="1" applyFont="1">
      <alignment horizontal="left" shrinkToFit="0" vertical="center" wrapText="1"/>
    </xf>
    <xf borderId="51" fillId="0" fontId="0" numFmtId="0" xfId="0" applyAlignment="1" applyBorder="1" applyFont="1">
      <alignment horizontal="left" shrinkToFit="0" vertical="center" wrapText="1"/>
    </xf>
    <xf borderId="46" fillId="0" fontId="0" numFmtId="0" xfId="0" applyAlignment="1" applyBorder="1" applyFont="1">
      <alignment horizontal="left" shrinkToFit="0" vertical="center" wrapText="1"/>
    </xf>
    <xf borderId="75" fillId="0" fontId="55" numFmtId="0" xfId="0" applyAlignment="1" applyBorder="1" applyFont="1">
      <alignment horizontal="center" shrinkToFit="0" wrapText="1"/>
    </xf>
    <xf borderId="76" fillId="0" fontId="4" numFmtId="0" xfId="0" applyBorder="1" applyFont="1"/>
    <xf borderId="76" fillId="0" fontId="0" numFmtId="0" xfId="0" applyAlignment="1" applyBorder="1" applyFont="1">
      <alignment horizontal="center" shrinkToFit="0" wrapText="1"/>
    </xf>
    <xf borderId="28" fillId="0" fontId="0" numFmtId="0" xfId="0" applyAlignment="1" applyBorder="1" applyFont="1">
      <alignment horizontal="center" shrinkToFit="0" wrapText="1"/>
    </xf>
    <xf borderId="40" fillId="0" fontId="0" numFmtId="0" xfId="0" applyAlignment="1" applyBorder="1" applyFont="1">
      <alignment horizontal="center" shrinkToFit="0" wrapText="1"/>
    </xf>
    <xf borderId="28" fillId="0" fontId="0" numFmtId="0" xfId="0" applyAlignment="1" applyBorder="1" applyFont="1">
      <alignment horizontal="left" shrinkToFit="0" wrapText="1"/>
    </xf>
    <xf borderId="40" fillId="0" fontId="55" numFmtId="0" xfId="0" applyAlignment="1" applyBorder="1" applyFont="1">
      <alignment shrinkToFit="0" wrapText="1"/>
    </xf>
    <xf borderId="30" fillId="0" fontId="55" numFmtId="0" xfId="0" applyAlignment="1" applyBorder="1" applyFont="1">
      <alignment shrinkToFit="0" wrapText="1"/>
    </xf>
    <xf borderId="75" fillId="0" fontId="55" numFmtId="0" xfId="0" applyAlignment="1" applyBorder="1" applyFont="1">
      <alignment readingOrder="0" shrinkToFit="0" vertical="center" wrapText="1"/>
    </xf>
    <xf borderId="36" fillId="0" fontId="48" numFmtId="0" xfId="0" applyAlignment="1" applyBorder="1" applyFont="1">
      <alignment horizontal="right" readingOrder="0" vertical="bottom"/>
    </xf>
    <xf borderId="75" fillId="0" fontId="55" numFmtId="0" xfId="0" applyAlignment="1" applyBorder="1" applyFont="1">
      <alignment shrinkToFit="0" vertical="center" wrapText="1"/>
    </xf>
    <xf borderId="77" fillId="0" fontId="4" numFmtId="0" xfId="0" applyBorder="1" applyFont="1"/>
    <xf borderId="36" fillId="0" fontId="55" numFmtId="0" xfId="0" applyAlignment="1" applyBorder="1" applyFont="1">
      <alignment shrinkToFit="0" vertical="center" wrapText="1"/>
    </xf>
    <xf borderId="36" fillId="0" fontId="0" numFmtId="0" xfId="0" applyAlignment="1" applyBorder="1" applyFont="1">
      <alignment horizontal="center" shrinkToFit="0" vertical="center" wrapText="1"/>
    </xf>
    <xf borderId="36" fillId="0" fontId="0" numFmtId="181" xfId="0" applyAlignment="1" applyBorder="1" applyFont="1" applyNumberFormat="1">
      <alignment horizontal="center" shrinkToFit="0" vertical="center" wrapText="1"/>
    </xf>
    <xf borderId="18" fillId="0" fontId="1" numFmtId="0" xfId="0" applyAlignment="1" applyBorder="1" applyFont="1">
      <alignment horizontal="center" readingOrder="0" vertical="center"/>
    </xf>
    <xf borderId="46" fillId="0" fontId="55" numFmtId="0" xfId="0" applyAlignment="1" applyBorder="1" applyFont="1">
      <alignment horizontal="left" shrinkToFit="0" vertical="center" wrapText="1"/>
    </xf>
    <xf borderId="47" fillId="0" fontId="0" numFmtId="0" xfId="0" applyAlignment="1" applyBorder="1" applyFont="1">
      <alignment horizontal="left" shrinkToFit="0" vertical="center" wrapText="1"/>
    </xf>
    <xf borderId="78" fillId="0" fontId="0" numFmtId="182" xfId="0" applyAlignment="1" applyBorder="1" applyFont="1" applyNumberFormat="1">
      <alignment horizontal="center" shrinkToFit="0" vertical="center" wrapText="1"/>
    </xf>
    <xf borderId="47" fillId="0" fontId="0" numFmtId="0" xfId="0" applyAlignment="1" applyBorder="1" applyFont="1">
      <alignment shrinkToFit="0" vertical="center" wrapText="1"/>
    </xf>
    <xf borderId="79" fillId="0" fontId="0" numFmtId="182" xfId="0" applyAlignment="1" applyBorder="1" applyFont="1" applyNumberFormat="1">
      <alignment horizontal="center" shrinkToFit="0" vertical="center" wrapText="1"/>
    </xf>
    <xf borderId="22" fillId="0" fontId="55" numFmtId="0" xfId="0" applyAlignment="1" applyBorder="1" applyFont="1">
      <alignment horizontal="center" shrinkToFit="0" vertical="center" wrapText="1"/>
    </xf>
    <xf borderId="22" fillId="0" fontId="0" numFmtId="0" xfId="0" applyAlignment="1" applyBorder="1" applyFont="1">
      <alignment horizontal="center" readingOrder="0" shrinkToFit="0" vertical="center" wrapText="1"/>
    </xf>
    <xf borderId="18" fillId="0" fontId="0" numFmtId="0" xfId="0" applyAlignment="1" applyBorder="1" applyFont="1">
      <alignment horizontal="left" shrinkToFit="0" vertical="center" wrapText="1"/>
    </xf>
    <xf borderId="18" fillId="0" fontId="0" numFmtId="182" xfId="0" applyAlignment="1" applyBorder="1" applyFont="1" applyNumberFormat="1">
      <alignment horizontal="center" shrinkToFit="0" vertical="center" wrapText="1"/>
    </xf>
    <xf borderId="18" fillId="0" fontId="0" numFmtId="0" xfId="0" applyAlignment="1" applyBorder="1" applyFont="1">
      <alignment shrinkToFit="0" vertical="center" wrapText="1"/>
    </xf>
    <xf borderId="19" fillId="0" fontId="0" numFmtId="182" xfId="0" applyAlignment="1" applyBorder="1" applyFont="1" applyNumberFormat="1">
      <alignment horizontal="center" shrinkToFit="0" vertical="center" wrapText="1"/>
    </xf>
    <xf borderId="14" fillId="0" fontId="55" numFmtId="0" xfId="0" applyAlignment="1" applyBorder="1" applyFont="1">
      <alignment shrinkToFit="0" vertical="center" wrapText="1"/>
    </xf>
    <xf borderId="14" fillId="0" fontId="0" numFmtId="0" xfId="0" applyAlignment="1" applyBorder="1" applyFont="1">
      <alignment horizontal="center" shrinkToFit="0" wrapText="1"/>
    </xf>
    <xf borderId="14" fillId="0" fontId="0" numFmtId="0" xfId="0" applyAlignment="1" applyBorder="1" applyFont="1">
      <alignment horizontal="center" readingOrder="0" shrinkToFit="0" wrapText="1"/>
    </xf>
    <xf borderId="14" fillId="0" fontId="0" numFmtId="0" xfId="0" applyAlignment="1" applyBorder="1" applyFont="1">
      <alignment horizontal="center" shrinkToFit="0" vertical="center" wrapText="1"/>
    </xf>
    <xf borderId="14" fillId="0" fontId="0" numFmtId="0" xfId="0" applyAlignment="1" applyBorder="1" applyFont="1">
      <alignment readingOrder="0" shrinkToFit="0" vertical="center" wrapText="1"/>
    </xf>
    <xf borderId="14" fillId="0" fontId="0" numFmtId="0" xfId="0" applyAlignment="1" applyBorder="1" applyFont="1">
      <alignment shrinkToFit="0" vertical="center" wrapText="1"/>
    </xf>
    <xf borderId="46" fillId="0" fontId="72" numFmtId="0" xfId="0" applyAlignment="1" applyBorder="1" applyFont="1">
      <alignment horizontal="center" readingOrder="0" shrinkToFit="0" vertical="center" wrapText="1"/>
    </xf>
    <xf borderId="14" fillId="0" fontId="0" numFmtId="0" xfId="0" applyAlignment="1" applyBorder="1" applyFont="1">
      <alignment horizontal="center" readingOrder="0" shrinkToFit="0" vertical="center" wrapText="1"/>
    </xf>
    <xf borderId="14" fillId="0" fontId="73" numFmtId="0" xfId="0" applyAlignment="1" applyBorder="1" applyFont="1">
      <alignment horizontal="center" readingOrder="0" shrinkToFit="0" vertical="center" wrapText="1"/>
    </xf>
    <xf borderId="48" fillId="0" fontId="0" numFmtId="0" xfId="0" applyAlignment="1" applyBorder="1" applyFont="1">
      <alignment horizontal="center" shrinkToFit="0" wrapText="1"/>
    </xf>
    <xf borderId="13" fillId="0" fontId="0" numFmtId="0" xfId="0" applyAlignment="1" applyBorder="1" applyFont="1">
      <alignment horizontal="center" shrinkToFit="0" wrapText="1"/>
    </xf>
    <xf borderId="80" fillId="0" fontId="11" numFmtId="0" xfId="0" applyAlignment="1" applyBorder="1" applyFont="1">
      <alignment readingOrder="0" shrinkToFit="0" vertical="center" wrapText="1"/>
    </xf>
    <xf borderId="14" fillId="0" fontId="11" numFmtId="0" xfId="0" applyAlignment="1" applyBorder="1" applyFont="1">
      <alignment readingOrder="0" shrinkToFit="0" vertical="center" wrapText="1"/>
    </xf>
    <xf borderId="14" fillId="0" fontId="11" numFmtId="183" xfId="0" applyAlignment="1" applyBorder="1" applyFont="1" applyNumberFormat="1">
      <alignment readingOrder="0" shrinkToFit="0" vertical="center" wrapText="1"/>
    </xf>
    <xf borderId="13" fillId="0" fontId="11" numFmtId="183" xfId="0" applyAlignment="1" applyBorder="1" applyFont="1" applyNumberFormat="1">
      <alignment readingOrder="0" shrinkToFit="0" vertical="center" wrapText="1"/>
    </xf>
    <xf borderId="48" fillId="0" fontId="29" numFmtId="0" xfId="0" applyAlignment="1" applyBorder="1" applyFont="1">
      <alignment horizontal="left" readingOrder="0" vertical="center"/>
    </xf>
    <xf borderId="13" fillId="0" fontId="11" numFmtId="0" xfId="0" applyAlignment="1" applyBorder="1" applyFont="1">
      <alignment readingOrder="0" shrinkToFit="0" vertical="center" wrapText="1"/>
    </xf>
    <xf borderId="80" fillId="0" fontId="11" numFmtId="0" xfId="0" applyAlignment="1" applyBorder="1" applyFont="1">
      <alignment shrinkToFit="0" vertical="center" wrapText="1"/>
    </xf>
    <xf borderId="14" fillId="0" fontId="11" numFmtId="0" xfId="0" applyAlignment="1" applyBorder="1" applyFont="1">
      <alignment shrinkToFit="0" vertical="center" wrapText="1"/>
    </xf>
    <xf borderId="13" fillId="0" fontId="11" numFmtId="0" xfId="0" applyAlignment="1" applyBorder="1" applyFont="1">
      <alignment shrinkToFit="0" vertical="center" wrapText="1"/>
    </xf>
    <xf borderId="14" fillId="0" fontId="55" numFmtId="0" xfId="0" applyAlignment="1" applyBorder="1" applyFont="1">
      <alignment readingOrder="0" shrinkToFit="0" vertical="top" wrapText="1"/>
    </xf>
    <xf borderId="14" fillId="0" fontId="74" numFmtId="0" xfId="0" applyAlignment="1" applyBorder="1" applyFont="1">
      <alignment readingOrder="0" shrinkToFit="0" vertical="top" wrapText="1"/>
    </xf>
    <xf borderId="14" fillId="0" fontId="55" numFmtId="0" xfId="0" applyAlignment="1" applyBorder="1" applyFont="1">
      <alignment horizontal="left" readingOrder="0" shrinkToFit="0" vertical="top" wrapText="1"/>
    </xf>
    <xf borderId="14" fillId="0" fontId="73" numFmtId="0" xfId="0" applyAlignment="1" applyBorder="1" applyFont="1">
      <alignment readingOrder="0" shrinkToFit="0" vertical="center" wrapText="1"/>
    </xf>
    <xf borderId="16" fillId="0" fontId="55" numFmtId="0" xfId="0" applyAlignment="1" applyBorder="1" applyFont="1">
      <alignment readingOrder="0" shrinkToFit="0" wrapText="1"/>
    </xf>
    <xf borderId="16" fillId="0" fontId="55" numFmtId="0" xfId="0" applyAlignment="1" applyBorder="1" applyFont="1">
      <alignment readingOrder="0" shrinkToFit="0" vertical="bottom" wrapText="1"/>
    </xf>
    <xf borderId="46" fillId="0" fontId="55" numFmtId="0" xfId="0" applyAlignment="1" applyBorder="1" applyFont="1">
      <alignment readingOrder="0" shrinkToFit="0" vertical="top" wrapText="1"/>
    </xf>
    <xf borderId="47" fillId="0" fontId="55" numFmtId="0" xfId="0" applyAlignment="1" applyBorder="1" applyFont="1">
      <alignment readingOrder="0" shrinkToFit="0" wrapText="1"/>
    </xf>
    <xf borderId="15" fillId="0" fontId="43" numFmtId="0" xfId="0" applyAlignment="1" applyBorder="1" applyFont="1">
      <alignment horizontal="right" readingOrder="0" shrinkToFit="0" vertical="bottom" wrapText="1"/>
    </xf>
    <xf borderId="16" fillId="0" fontId="55" numFmtId="0" xfId="0" applyAlignment="1" applyBorder="1" applyFont="1">
      <alignment shrinkToFit="0" vertical="center" wrapText="1"/>
    </xf>
    <xf borderId="16" fillId="0" fontId="0" numFmtId="0" xfId="0" applyAlignment="1" applyBorder="1" applyFont="1">
      <alignment horizontal="center" shrinkToFit="0" vertical="center" wrapText="1"/>
    </xf>
    <xf borderId="0" fillId="0" fontId="75" numFmtId="0" xfId="0" applyAlignment="1" applyFont="1">
      <alignment shrinkToFit="0" wrapText="0"/>
    </xf>
    <xf borderId="0" fillId="0" fontId="32" numFmtId="0" xfId="0" applyAlignment="1" applyFont="1">
      <alignment horizontal="left" readingOrder="0" vertical="bottom"/>
    </xf>
    <xf borderId="0" fillId="0" fontId="12" numFmtId="0" xfId="0" applyAlignment="1" applyFont="1">
      <alignment readingOrder="0" vertical="bottom"/>
    </xf>
    <xf borderId="0" fillId="0" fontId="9" numFmtId="167" xfId="0" applyAlignment="1" applyFont="1" applyNumberFormat="1">
      <alignment horizontal="right" readingOrder="0" shrinkToFit="0" vertical="bottom" wrapText="0"/>
    </xf>
    <xf borderId="0" fillId="0" fontId="76" numFmtId="167" xfId="0" applyAlignment="1" applyFont="1" applyNumberFormat="1">
      <alignment horizontal="left" readingOrder="0"/>
    </xf>
    <xf borderId="0" fillId="0" fontId="10" numFmtId="0" xfId="0" applyAlignment="1" applyFont="1">
      <alignment readingOrder="0" shrinkToFit="0" vertical="bottom" wrapText="0"/>
    </xf>
    <xf borderId="13" fillId="0" fontId="8" numFmtId="0" xfId="0" applyBorder="1" applyFont="1"/>
    <xf borderId="0" fillId="0" fontId="10" numFmtId="0" xfId="0" applyAlignment="1" applyFont="1">
      <alignment horizontal="left" readingOrder="0" shrinkToFit="0" vertical="top" wrapText="1"/>
    </xf>
    <xf borderId="13" fillId="3" fontId="0" numFmtId="167" xfId="0" applyAlignment="1" applyBorder="1" applyFont="1" applyNumberFormat="1">
      <alignment horizontal="center" readingOrder="0"/>
    </xf>
    <xf borderId="13" fillId="0" fontId="10" numFmtId="167" xfId="0" applyAlignment="1" applyBorder="1" applyFont="1" applyNumberFormat="1">
      <alignment horizontal="center" readingOrder="0"/>
    </xf>
    <xf borderId="13" fillId="11" fontId="0" numFmtId="167" xfId="0" applyAlignment="1" applyBorder="1" applyFont="1" applyNumberFormat="1">
      <alignment horizontal="center" readingOrder="0"/>
    </xf>
    <xf borderId="13" fillId="11" fontId="10" numFmtId="167" xfId="0" applyAlignment="1" applyBorder="1" applyFont="1" applyNumberFormat="1">
      <alignment horizontal="center" readingOrder="0"/>
    </xf>
    <xf borderId="13" fillId="38" fontId="4" numFmtId="0" xfId="0" applyAlignment="1" applyBorder="1" applyFont="1">
      <alignment horizontal="center"/>
    </xf>
    <xf borderId="0" fillId="38" fontId="4" numFmtId="0" xfId="0" applyFont="1"/>
    <xf borderId="0" fillId="0" fontId="77" numFmtId="0" xfId="0" applyAlignment="1" applyFont="1">
      <alignment horizontal="left" readingOrder="0" shrinkToFit="0" vertical="bottom" wrapText="1"/>
    </xf>
    <xf borderId="0" fillId="0" fontId="10" numFmtId="0" xfId="0" applyAlignment="1" applyFont="1">
      <alignment horizontal="center" readingOrder="0" vertical="bottom"/>
    </xf>
    <xf borderId="0" fillId="0" fontId="4" numFmtId="0" xfId="0" applyAlignment="1" applyFont="1">
      <alignment horizontal="right" readingOrder="0" vertical="top"/>
    </xf>
    <xf borderId="0" fillId="0" fontId="4" numFmtId="0" xfId="0" applyAlignment="1" applyFont="1">
      <alignment vertical="top"/>
    </xf>
    <xf borderId="14" fillId="0" fontId="9" numFmtId="0" xfId="0" applyAlignment="1" applyBorder="1" applyFont="1">
      <alignment horizontal="center" readingOrder="0" shrinkToFit="0" vertical="bottom" wrapText="0"/>
    </xf>
    <xf borderId="13" fillId="0" fontId="9" numFmtId="0" xfId="0" applyAlignment="1" applyBorder="1" applyFont="1">
      <alignment horizontal="right" readingOrder="0" vertical="bottom"/>
    </xf>
    <xf borderId="13" fillId="4" fontId="25" numFmtId="0" xfId="0" applyAlignment="1" applyBorder="1" applyFont="1">
      <alignment readingOrder="0" vertical="bottom"/>
    </xf>
    <xf borderId="13" fillId="0" fontId="9" numFmtId="0" xfId="0" applyAlignment="1" applyBorder="1" applyFont="1">
      <alignment horizontal="center" readingOrder="0" shrinkToFit="0" vertical="bottom" wrapText="0"/>
    </xf>
    <xf borderId="0" fillId="0" fontId="9" numFmtId="167" xfId="0" applyAlignment="1" applyFont="1" applyNumberFormat="1">
      <alignment horizontal="center" readingOrder="0" shrinkToFit="0" vertical="bottom" wrapText="0"/>
    </xf>
    <xf borderId="0" fillId="0" fontId="9" numFmtId="0" xfId="0" applyAlignment="1" applyFont="1">
      <alignment horizontal="right" readingOrder="0" vertical="bottom"/>
    </xf>
    <xf borderId="0" fillId="4" fontId="10" numFmtId="0" xfId="0" applyAlignment="1" applyFont="1">
      <alignment horizontal="center" readingOrder="0" vertical="bottom"/>
    </xf>
    <xf borderId="13" fillId="5" fontId="9" numFmtId="0" xfId="0" applyAlignment="1" applyBorder="1" applyFont="1">
      <alignment readingOrder="0" vertical="bottom"/>
    </xf>
    <xf borderId="13" fillId="5" fontId="8" numFmtId="0" xfId="0" applyAlignment="1" applyBorder="1" applyFont="1">
      <alignment horizontal="center"/>
    </xf>
    <xf borderId="13" fillId="5" fontId="4" numFmtId="0" xfId="0" applyBorder="1" applyFont="1"/>
    <xf borderId="13" fillId="5" fontId="8" numFmtId="0" xfId="0" applyAlignment="1" applyBorder="1" applyFont="1">
      <alignment readingOrder="0"/>
    </xf>
    <xf borderId="0" fillId="5" fontId="8" numFmtId="0" xfId="0" applyAlignment="1" applyFont="1">
      <alignment readingOrder="0"/>
    </xf>
    <xf borderId="13" fillId="0" fontId="25" numFmtId="0" xfId="0" applyAlignment="1" applyBorder="1" applyFont="1">
      <alignment horizontal="right" readingOrder="0" vertical="bottom"/>
    </xf>
    <xf borderId="13" fillId="4" fontId="9" numFmtId="0" xfId="0" applyAlignment="1" applyBorder="1" applyFont="1">
      <alignment readingOrder="0" shrinkToFit="0" vertical="bottom" wrapText="0"/>
    </xf>
    <xf borderId="13" fillId="0" fontId="10" numFmtId="0" xfId="0" applyAlignment="1" applyBorder="1" applyFont="1">
      <alignment horizontal="center"/>
    </xf>
    <xf borderId="0" fillId="5" fontId="10" numFmtId="0" xfId="0" applyAlignment="1" applyFont="1">
      <alignment horizontal="center" vertical="bottom"/>
    </xf>
    <xf borderId="0" fillId="5" fontId="64" numFmtId="49" xfId="0" applyAlignment="1" applyFont="1" applyNumberFormat="1">
      <alignment horizontal="left" shrinkToFit="0" vertical="top" wrapText="0"/>
    </xf>
    <xf borderId="13" fillId="4" fontId="9" numFmtId="0" xfId="0" applyAlignment="1" applyBorder="1" applyFont="1">
      <alignment readingOrder="0" shrinkToFit="0" vertical="center" wrapText="0"/>
    </xf>
    <xf borderId="0" fillId="0" fontId="77" numFmtId="0" xfId="0" applyAlignment="1" applyFont="1">
      <alignment horizontal="left" readingOrder="0" vertical="bottom"/>
    </xf>
    <xf borderId="46" fillId="0" fontId="10" numFmtId="0" xfId="0" applyAlignment="1" applyBorder="1" applyFont="1">
      <alignment horizontal="right" vertical="bottom"/>
    </xf>
    <xf borderId="14" fillId="38" fontId="25" numFmtId="0" xfId="0" applyAlignment="1" applyBorder="1" applyFont="1">
      <alignment readingOrder="0" shrinkToFit="0" vertical="bottom" wrapText="1"/>
    </xf>
    <xf borderId="16" fillId="38" fontId="9" numFmtId="0" xfId="0" applyAlignment="1" applyBorder="1" applyFont="1">
      <alignment readingOrder="0" shrinkToFit="0" vertical="bottom" wrapText="1"/>
    </xf>
    <xf borderId="16" fillId="38" fontId="9" numFmtId="0" xfId="0" applyAlignment="1" applyBorder="1" applyFont="1">
      <alignment horizontal="center" readingOrder="0" shrinkToFit="0" vertical="bottom" wrapText="1"/>
    </xf>
    <xf borderId="16" fillId="38" fontId="9" numFmtId="167" xfId="0" applyAlignment="1" applyBorder="1" applyFont="1" applyNumberFormat="1">
      <alignment horizontal="center" readingOrder="0" shrinkToFit="0" vertical="bottom" wrapText="1"/>
    </xf>
    <xf borderId="15" fillId="38" fontId="9" numFmtId="0" xfId="0" applyAlignment="1" applyBorder="1" applyFont="1">
      <alignment horizontal="center" readingOrder="0" shrinkToFit="0" vertical="bottom" wrapText="1"/>
    </xf>
    <xf borderId="20" fillId="0" fontId="9" numFmtId="0" xfId="0" applyAlignment="1" applyBorder="1" applyFont="1">
      <alignment horizontal="center" readingOrder="0" vertical="bottom"/>
    </xf>
    <xf borderId="20" fillId="0" fontId="10" numFmtId="0" xfId="0" applyAlignment="1" applyBorder="1" applyFont="1">
      <alignment horizontal="center" vertical="bottom"/>
    </xf>
    <xf borderId="47" fillId="0" fontId="77" numFmtId="0" xfId="0" applyAlignment="1" applyBorder="1" applyFont="1">
      <alignment readingOrder="0" vertical="bottom"/>
    </xf>
    <xf borderId="47" fillId="0" fontId="10" numFmtId="167" xfId="0" applyAlignment="1" applyBorder="1" applyFont="1" applyNumberFormat="1">
      <alignment horizontal="center" readingOrder="0" shrinkToFit="0" vertical="bottom" wrapText="0"/>
    </xf>
    <xf borderId="47" fillId="0" fontId="10" numFmtId="3" xfId="0" applyAlignment="1" applyBorder="1" applyFont="1" applyNumberFormat="1">
      <alignment horizontal="center" vertical="bottom"/>
    </xf>
    <xf borderId="47" fillId="0" fontId="10" numFmtId="168" xfId="0" applyAlignment="1" applyBorder="1" applyFont="1" applyNumberFormat="1">
      <alignment horizontal="center" vertical="bottom"/>
    </xf>
    <xf borderId="47" fillId="0" fontId="10" numFmtId="0" xfId="0" applyAlignment="1" applyBorder="1" applyFont="1">
      <alignment horizontal="center" vertical="bottom"/>
    </xf>
    <xf borderId="45" fillId="0" fontId="10" numFmtId="0" xfId="0" applyAlignment="1" applyBorder="1" applyFont="1">
      <alignment horizontal="center" vertical="bottom"/>
    </xf>
    <xf borderId="46" fillId="5" fontId="10" numFmtId="0" xfId="0" applyAlignment="1" applyBorder="1" applyFont="1">
      <alignment horizontal="center" readingOrder="0" vertical="bottom"/>
    </xf>
    <xf borderId="47" fillId="5" fontId="12" numFmtId="0" xfId="0" applyAlignment="1" applyBorder="1" applyFont="1">
      <alignment readingOrder="0" vertical="bottom"/>
    </xf>
    <xf borderId="47" fillId="5" fontId="10" numFmtId="0" xfId="0" applyAlignment="1" applyBorder="1" applyFont="1">
      <alignment readingOrder="0" shrinkToFit="0" vertical="bottom" wrapText="0"/>
    </xf>
    <xf borderId="47" fillId="5" fontId="10" numFmtId="0" xfId="0" applyAlignment="1" applyBorder="1" applyFont="1">
      <alignment horizontal="center" readingOrder="0" shrinkToFit="0" vertical="bottom" wrapText="0"/>
    </xf>
    <xf borderId="47" fillId="5" fontId="10" numFmtId="167" xfId="0" applyAlignment="1" applyBorder="1" applyFont="1" applyNumberFormat="1">
      <alignment horizontal="center" readingOrder="0" shrinkToFit="0" vertical="bottom" wrapText="0"/>
    </xf>
    <xf borderId="47" fillId="5" fontId="10" numFmtId="3" xfId="0" applyAlignment="1" applyBorder="1" applyFont="1" applyNumberFormat="1">
      <alignment horizontal="center" vertical="bottom"/>
    </xf>
    <xf borderId="47" fillId="5" fontId="10" numFmtId="168" xfId="0" applyAlignment="1" applyBorder="1" applyFont="1" applyNumberFormat="1">
      <alignment horizontal="center" vertical="bottom"/>
    </xf>
    <xf borderId="47" fillId="5" fontId="10" numFmtId="178" xfId="0" applyAlignment="1" applyBorder="1" applyFont="1" applyNumberFormat="1">
      <alignment horizontal="center" vertical="bottom"/>
    </xf>
    <xf borderId="45" fillId="5" fontId="10" numFmtId="168" xfId="0" applyAlignment="1" applyBorder="1" applyFont="1" applyNumberFormat="1">
      <alignment horizontal="center" vertical="bottom"/>
    </xf>
    <xf borderId="20" fillId="5" fontId="10" numFmtId="0" xfId="0" applyAlignment="1" applyBorder="1" applyFont="1">
      <alignment horizontal="center" readingOrder="0" vertical="bottom"/>
    </xf>
    <xf borderId="0" fillId="5" fontId="12" numFmtId="0" xfId="0" applyAlignment="1" applyFont="1">
      <alignment readingOrder="0" vertical="bottom"/>
    </xf>
    <xf borderId="0" fillId="5" fontId="10" numFmtId="0" xfId="0" applyAlignment="1" applyFont="1">
      <alignment readingOrder="0" shrinkToFit="0" vertical="bottom" wrapText="0"/>
    </xf>
    <xf borderId="0" fillId="5" fontId="10" numFmtId="0" xfId="0" applyAlignment="1" applyFont="1">
      <alignment horizontal="center" readingOrder="0" shrinkToFit="0" vertical="bottom" wrapText="0"/>
    </xf>
    <xf borderId="0" fillId="5" fontId="10" numFmtId="167" xfId="0" applyAlignment="1" applyFont="1" applyNumberFormat="1">
      <alignment horizontal="center" readingOrder="0" shrinkToFit="0" vertical="bottom" wrapText="0"/>
    </xf>
    <xf borderId="0" fillId="5" fontId="10" numFmtId="3" xfId="0" applyAlignment="1" applyFont="1" applyNumberFormat="1">
      <alignment horizontal="center" vertical="bottom"/>
    </xf>
    <xf borderId="0" fillId="5" fontId="10" numFmtId="168" xfId="0" applyAlignment="1" applyFont="1" applyNumberFormat="1">
      <alignment horizontal="center" vertical="bottom"/>
    </xf>
    <xf borderId="0" fillId="5" fontId="10" numFmtId="178" xfId="0" applyAlignment="1" applyFont="1" applyNumberFormat="1">
      <alignment horizontal="center" vertical="bottom"/>
    </xf>
    <xf borderId="33" fillId="5" fontId="10" numFmtId="168" xfId="0" applyAlignment="1" applyBorder="1" applyFont="1" applyNumberFormat="1">
      <alignment horizontal="center" vertical="bottom"/>
    </xf>
    <xf borderId="20" fillId="5" fontId="10" numFmtId="0" xfId="0" applyAlignment="1" applyBorder="1" applyFont="1">
      <alignment horizontal="center" vertical="bottom"/>
    </xf>
    <xf borderId="0" fillId="5" fontId="10" numFmtId="1" xfId="0" applyAlignment="1" applyFont="1" applyNumberFormat="1">
      <alignment horizontal="center" vertical="bottom"/>
    </xf>
    <xf borderId="0" fillId="5" fontId="4" numFmtId="0" xfId="0" applyAlignment="1" applyFont="1">
      <alignment horizontal="center"/>
    </xf>
    <xf borderId="0" fillId="5" fontId="4" numFmtId="167" xfId="0" applyAlignment="1" applyFont="1" applyNumberFormat="1">
      <alignment horizontal="center"/>
    </xf>
    <xf borderId="0" fillId="5" fontId="4" numFmtId="178" xfId="0" applyAlignment="1" applyFont="1" applyNumberFormat="1">
      <alignment horizontal="center"/>
    </xf>
    <xf borderId="0" fillId="5" fontId="4" numFmtId="168" xfId="0" applyAlignment="1" applyFont="1" applyNumberFormat="1">
      <alignment horizontal="center"/>
    </xf>
    <xf borderId="50" fillId="0" fontId="10" numFmtId="0" xfId="0" applyAlignment="1" applyBorder="1" applyFont="1">
      <alignment shrinkToFit="0" vertical="bottom" wrapText="0"/>
    </xf>
    <xf borderId="0" fillId="5" fontId="4" numFmtId="2" xfId="0" applyAlignment="1" applyFont="1" applyNumberFormat="1">
      <alignment horizontal="center"/>
    </xf>
    <xf borderId="22" fillId="5" fontId="10" numFmtId="0" xfId="0" applyAlignment="1" applyBorder="1" applyFont="1">
      <alignment horizontal="center" readingOrder="0" vertical="bottom"/>
    </xf>
    <xf borderId="18" fillId="5" fontId="4" numFmtId="0" xfId="0" applyBorder="1" applyFont="1"/>
    <xf borderId="18" fillId="5" fontId="4" numFmtId="0" xfId="0" applyAlignment="1" applyBorder="1" applyFont="1">
      <alignment horizontal="center"/>
    </xf>
    <xf borderId="18" fillId="5" fontId="4" numFmtId="167" xfId="0" applyAlignment="1" applyBorder="1" applyFont="1" applyNumberFormat="1">
      <alignment horizontal="center"/>
    </xf>
    <xf borderId="18" fillId="5" fontId="4" numFmtId="178" xfId="0" applyAlignment="1" applyBorder="1" applyFont="1" applyNumberFormat="1">
      <alignment horizontal="center"/>
    </xf>
    <xf borderId="18" fillId="5" fontId="4" numFmtId="168" xfId="0" applyAlignment="1" applyBorder="1" applyFont="1" applyNumberFormat="1">
      <alignment horizontal="center"/>
    </xf>
    <xf borderId="18" fillId="5" fontId="4" numFmtId="2" xfId="0" applyAlignment="1" applyBorder="1" applyFont="1" applyNumberFormat="1">
      <alignment horizontal="center"/>
    </xf>
    <xf borderId="18" fillId="5" fontId="10" numFmtId="178" xfId="0" applyAlignment="1" applyBorder="1" applyFont="1" applyNumberFormat="1">
      <alignment horizontal="center" vertical="bottom"/>
    </xf>
    <xf borderId="19" fillId="5" fontId="10" numFmtId="168" xfId="0" applyAlignment="1" applyBorder="1" applyFont="1" applyNumberFormat="1">
      <alignment horizontal="center" vertical="bottom"/>
    </xf>
    <xf borderId="0" fillId="0" fontId="4" numFmtId="167" xfId="0" applyAlignment="1" applyFont="1" applyNumberFormat="1">
      <alignment horizontal="center"/>
    </xf>
    <xf borderId="0" fillId="0" fontId="9" numFmtId="0" xfId="0" applyAlignment="1" applyFont="1">
      <alignment horizontal="center" readingOrder="0" shrinkToFit="0" vertical="bottom" wrapText="0"/>
    </xf>
    <xf borderId="0" fillId="0" fontId="4" numFmtId="0" xfId="0" applyAlignment="1" applyFont="1">
      <alignment horizontal="left" readingOrder="0" shrinkToFit="0" wrapText="1"/>
    </xf>
    <xf borderId="0" fillId="0" fontId="4" numFmtId="0" xfId="0" applyAlignment="1" applyFont="1">
      <alignment horizontal="left" readingOrder="0" shrinkToFit="0" vertical="top" wrapText="1"/>
    </xf>
    <xf borderId="46" fillId="38" fontId="25" numFmtId="0" xfId="0" applyAlignment="1" applyBorder="1" applyFont="1">
      <alignment readingOrder="0" shrinkToFit="0" vertical="bottom" wrapText="1"/>
    </xf>
    <xf borderId="47" fillId="38" fontId="9" numFmtId="0" xfId="0" applyAlignment="1" applyBorder="1" applyFont="1">
      <alignment readingOrder="0" shrinkToFit="0" vertical="bottom" wrapText="1"/>
    </xf>
    <xf borderId="47" fillId="38" fontId="9" numFmtId="0" xfId="0" applyAlignment="1" applyBorder="1" applyFont="1">
      <alignment horizontal="center" readingOrder="0" shrinkToFit="0" vertical="bottom" wrapText="1"/>
    </xf>
    <xf borderId="47" fillId="38" fontId="9" numFmtId="167" xfId="0" applyAlignment="1" applyBorder="1" applyFont="1" applyNumberFormat="1">
      <alignment horizontal="center" readingOrder="0" shrinkToFit="0" vertical="bottom" wrapText="1"/>
    </xf>
    <xf borderId="45" fillId="38" fontId="9" numFmtId="0" xfId="0" applyAlignment="1" applyBorder="1" applyFont="1">
      <alignment horizontal="center" readingOrder="0" shrinkToFit="0" vertical="bottom" wrapText="1"/>
    </xf>
    <xf borderId="0" fillId="0" fontId="10" numFmtId="0" xfId="0" applyAlignment="1" applyFont="1">
      <alignment horizontal="right" readingOrder="0" vertical="bottom"/>
    </xf>
    <xf borderId="0" fillId="0" fontId="12" numFmtId="0" xfId="0" applyAlignment="1" applyFont="1">
      <alignment vertical="bottom"/>
    </xf>
    <xf borderId="0" fillId="0" fontId="10" numFmtId="0" xfId="0" applyAlignment="1" applyFont="1">
      <alignment shrinkToFit="0" vertical="bottom" wrapText="0"/>
    </xf>
    <xf borderId="0" fillId="0" fontId="10" numFmtId="0" xfId="0" applyAlignment="1" applyFont="1">
      <alignment horizontal="center" readingOrder="0" shrinkToFit="0" vertical="bottom" wrapText="0"/>
    </xf>
    <xf borderId="0" fillId="0" fontId="10" numFmtId="167" xfId="0" applyAlignment="1" applyFont="1" applyNumberFormat="1">
      <alignment horizontal="center" readingOrder="0" shrinkToFit="0" vertical="bottom" wrapText="0"/>
    </xf>
    <xf borderId="0" fillId="0" fontId="10" numFmtId="178" xfId="0" applyAlignment="1" applyFont="1" applyNumberFormat="1">
      <alignment horizontal="center" vertical="bottom"/>
    </xf>
    <xf borderId="0" fillId="0" fontId="10" numFmtId="168" xfId="0" applyAlignment="1" applyFont="1" applyNumberFormat="1">
      <alignment horizontal="center" vertical="bottom"/>
    </xf>
    <xf borderId="0" fillId="0" fontId="10" numFmtId="2" xfId="0" applyAlignment="1" applyFont="1" applyNumberFormat="1">
      <alignment horizontal="center" readingOrder="0" vertical="bottom"/>
    </xf>
    <xf borderId="0" fillId="0" fontId="10" numFmtId="178" xfId="0" applyAlignment="1" applyFont="1" applyNumberFormat="1">
      <alignment horizontal="center" readingOrder="0" vertical="bottom"/>
    </xf>
    <xf borderId="0" fillId="0" fontId="10" numFmtId="168" xfId="0" applyAlignment="1" applyFont="1" applyNumberFormat="1">
      <alignment horizontal="center" readingOrder="0" vertical="bottom"/>
    </xf>
    <xf borderId="0" fillId="0" fontId="4" numFmtId="0" xfId="0" applyAlignment="1" applyFont="1">
      <alignment horizontal="center" readingOrder="0"/>
    </xf>
    <xf borderId="0" fillId="0" fontId="4" numFmtId="167" xfId="0" applyAlignment="1" applyFont="1" applyNumberFormat="1">
      <alignment horizontal="center" readingOrder="0"/>
    </xf>
    <xf borderId="0" fillId="0" fontId="10" numFmtId="0" xfId="0" applyAlignment="1" applyFont="1">
      <alignment horizontal="center" vertical="bottom"/>
    </xf>
    <xf borderId="0" fillId="0" fontId="4" numFmtId="0" xfId="0" applyAlignment="1" applyFont="1">
      <alignment readingOrder="0"/>
    </xf>
    <xf borderId="0" fillId="0" fontId="10" numFmtId="0" xfId="0" applyAlignment="1" applyFont="1">
      <alignment horizontal="center" shrinkToFit="0" vertical="bottom" wrapText="0"/>
    </xf>
    <xf borderId="0" fillId="0" fontId="25" numFmtId="0" xfId="0" applyAlignment="1" applyFont="1">
      <alignment readingOrder="0" vertical="bottom"/>
    </xf>
    <xf borderId="0" fillId="0" fontId="9" numFmtId="0" xfId="0" applyAlignment="1" applyFont="1">
      <alignment readingOrder="0" shrinkToFit="0" vertical="bottom" wrapText="0"/>
    </xf>
    <xf borderId="0" fillId="0" fontId="9" numFmtId="0" xfId="0" applyAlignment="1" applyFont="1">
      <alignment horizontal="center" readingOrder="0" shrinkToFit="0" vertical="bottom" wrapText="1"/>
    </xf>
    <xf borderId="0" fillId="0" fontId="4" numFmtId="20" xfId="0" applyAlignment="1" applyFont="1" applyNumberFormat="1">
      <alignment readingOrder="0"/>
    </xf>
    <xf borderId="0" fillId="0" fontId="4" numFmtId="0" xfId="0" applyAlignment="1" applyFont="1">
      <alignment readingOrder="0" vertical="top"/>
    </xf>
    <xf borderId="14" fillId="8" fontId="4" numFmtId="0" xfId="0" applyAlignment="1" applyBorder="1" applyFont="1">
      <alignment horizontal="center" readingOrder="0"/>
    </xf>
    <xf borderId="46" fillId="8" fontId="8" numFmtId="0" xfId="0" applyAlignment="1" applyBorder="1" applyFont="1">
      <alignment horizontal="center" readingOrder="0"/>
    </xf>
    <xf borderId="22" fillId="0" fontId="4" numFmtId="0" xfId="0" applyAlignment="1" applyBorder="1" applyFont="1">
      <alignment horizontal="center"/>
    </xf>
    <xf borderId="46" fillId="10" fontId="4" numFmtId="0" xfId="0" applyAlignment="1" applyBorder="1" applyFont="1">
      <alignment horizontal="center" readingOrder="0"/>
    </xf>
    <xf borderId="34" fillId="0" fontId="20" numFmtId="0" xfId="0" applyAlignment="1" applyBorder="1" applyFont="1">
      <alignment vertical="bottom"/>
    </xf>
    <xf borderId="0" fillId="0" fontId="20" numFmtId="0" xfId="0" applyAlignment="1" applyFont="1">
      <alignment vertical="bottom"/>
    </xf>
    <xf borderId="48" fillId="10" fontId="4" numFmtId="0" xfId="0" applyAlignment="1" applyBorder="1" applyFont="1">
      <alignment readingOrder="0"/>
    </xf>
    <xf borderId="49" fillId="0" fontId="4" numFmtId="14" xfId="0" applyAlignment="1" applyBorder="1" applyFont="1" applyNumberFormat="1">
      <alignment horizontal="left"/>
    </xf>
    <xf borderId="49" fillId="0" fontId="4" numFmtId="166" xfId="0" applyAlignment="1" applyBorder="1" applyFont="1" applyNumberFormat="1">
      <alignment horizontal="left"/>
    </xf>
    <xf borderId="17" fillId="0" fontId="4" numFmtId="49" xfId="0" applyBorder="1" applyFont="1" applyNumberFormat="1"/>
    <xf borderId="36" fillId="0" fontId="20" numFmtId="0" xfId="0" applyAlignment="1" applyBorder="1" applyFont="1">
      <alignment vertical="bottom"/>
    </xf>
    <xf borderId="37" fillId="0" fontId="20" numFmtId="0" xfId="0" applyAlignment="1" applyBorder="1" applyFont="1">
      <alignment vertical="bottom"/>
    </xf>
    <xf borderId="46" fillId="0" fontId="4" numFmtId="0" xfId="0" applyBorder="1" applyFont="1"/>
    <xf borderId="20" fillId="0" fontId="4" numFmtId="0" xfId="0" applyAlignment="1" applyBorder="1" applyFont="1">
      <alignment horizontal="center"/>
    </xf>
    <xf borderId="21" fillId="0" fontId="4" numFmtId="0" xfId="0" applyBorder="1" applyFont="1"/>
    <xf borderId="46" fillId="8" fontId="4" numFmtId="0" xfId="0" applyAlignment="1" applyBorder="1" applyFont="1">
      <alignment horizontal="center" readingOrder="0"/>
    </xf>
    <xf borderId="46" fillId="10" fontId="4" numFmtId="0" xfId="0" applyAlignment="1" applyBorder="1" applyFont="1">
      <alignment horizontal="center"/>
    </xf>
    <xf borderId="20" fillId="10" fontId="4" numFmtId="0" xfId="0" applyAlignment="1" applyBorder="1" applyFont="1">
      <alignment horizontal="center"/>
    </xf>
    <xf borderId="0" fillId="0" fontId="10" numFmtId="0" xfId="0" applyFont="1"/>
    <xf borderId="81" fillId="0" fontId="4" numFmtId="0" xfId="0" applyBorder="1" applyFont="1"/>
    <xf borderId="18" fillId="0" fontId="4" numFmtId="0" xfId="0" applyAlignment="1" applyBorder="1" applyFont="1">
      <alignment horizontal="center"/>
    </xf>
    <xf borderId="47" fillId="10" fontId="4" numFmtId="0" xfId="0" applyAlignment="1" applyBorder="1" applyFont="1">
      <alignment horizontal="center"/>
    </xf>
    <xf borderId="18" fillId="0" fontId="78" numFmtId="0" xfId="0" applyAlignment="1" applyBorder="1" applyFont="1">
      <alignment horizontal="center" readingOrder="0"/>
    </xf>
    <xf borderId="46" fillId="0" fontId="25" numFmtId="0" xfId="0" applyAlignment="1" applyBorder="1" applyFont="1">
      <alignment horizontal="left" shrinkToFit="0" wrapText="1"/>
    </xf>
    <xf borderId="47" fillId="0" fontId="25" numFmtId="0" xfId="0" applyAlignment="1" applyBorder="1" applyFont="1">
      <alignment horizontal="left" shrinkToFit="0" wrapText="1"/>
    </xf>
    <xf borderId="46" fillId="0" fontId="12" numFmtId="0" xfId="0" applyAlignment="1" applyBorder="1" applyFont="1">
      <alignment horizontal="left" shrinkToFit="0" wrapText="1"/>
    </xf>
    <xf borderId="79" fillId="0" fontId="12" numFmtId="182" xfId="0" applyAlignment="1" applyBorder="1" applyFont="1" applyNumberFormat="1">
      <alignment horizontal="center" shrinkToFit="0" wrapText="1"/>
    </xf>
    <xf borderId="47" fillId="0" fontId="12" numFmtId="0" xfId="0" applyAlignment="1" applyBorder="1" applyFont="1">
      <alignment shrinkToFit="0" wrapText="1"/>
    </xf>
    <xf borderId="22" fillId="0" fontId="25" numFmtId="0" xfId="0" applyAlignment="1" applyBorder="1" applyFont="1">
      <alignment horizontal="center" readingOrder="0" shrinkToFit="0" wrapText="1"/>
    </xf>
    <xf borderId="22" fillId="0" fontId="12" numFmtId="0" xfId="0" applyAlignment="1" applyBorder="1" applyFont="1">
      <alignment horizontal="left" shrinkToFit="0" wrapText="1"/>
    </xf>
    <xf borderId="19" fillId="0" fontId="12" numFmtId="49" xfId="0" applyAlignment="1" applyBorder="1" applyFont="1" applyNumberFormat="1">
      <alignment horizontal="center" readingOrder="0" shrinkToFit="0" wrapText="1"/>
    </xf>
    <xf borderId="18" fillId="0" fontId="12" numFmtId="0" xfId="0" applyAlignment="1" applyBorder="1" applyFont="1">
      <alignment shrinkToFit="0" wrapText="1"/>
    </xf>
    <xf borderId="46" fillId="0" fontId="79" numFmtId="0" xfId="0" applyAlignment="1" applyBorder="1" applyFont="1">
      <alignment horizontal="left" readingOrder="0" shrinkToFit="0" vertical="top" wrapText="1"/>
    </xf>
    <xf borderId="47" fillId="0" fontId="80" numFmtId="0" xfId="0" applyAlignment="1" applyBorder="1" applyFont="1">
      <alignment horizontal="center" readingOrder="0" shrinkToFit="0" vertical="top" wrapText="1"/>
    </xf>
    <xf borderId="45" fillId="0" fontId="79" numFmtId="0" xfId="0" applyAlignment="1" applyBorder="1" applyFont="1">
      <alignment horizontal="left" readingOrder="0" shrinkToFit="0" vertical="top" wrapText="1"/>
    </xf>
    <xf borderId="20" fillId="0" fontId="81" numFmtId="0" xfId="0" applyAlignment="1" applyBorder="1" applyFont="1">
      <alignment horizontal="center" readingOrder="0"/>
    </xf>
    <xf borderId="46" fillId="0" fontId="82" numFmtId="0" xfId="0" applyAlignment="1" applyBorder="1" applyFont="1">
      <alignment horizontal="center" readingOrder="0" shrinkToFit="0" vertical="top" wrapText="1"/>
    </xf>
    <xf borderId="49" fillId="0" fontId="81" numFmtId="0" xfId="0" applyAlignment="1" applyBorder="1" applyFont="1">
      <alignment horizontal="center" readingOrder="0"/>
    </xf>
    <xf borderId="20" fillId="0" fontId="83" numFmtId="0" xfId="0" applyAlignment="1" applyBorder="1" applyFont="1">
      <alignment horizontal="center" readingOrder="0"/>
    </xf>
    <xf borderId="20" fillId="0" fontId="10" numFmtId="0" xfId="0" applyAlignment="1" applyBorder="1" applyFont="1">
      <alignment shrinkToFit="0" vertical="top" wrapText="1"/>
    </xf>
    <xf quotePrefix="1" borderId="49" fillId="0" fontId="81" numFmtId="0" xfId="0" applyAlignment="1" applyBorder="1" applyFont="1">
      <alignment horizontal="center" readingOrder="0"/>
    </xf>
    <xf borderId="20" fillId="0" fontId="84" numFmtId="0" xfId="0" applyAlignment="1" applyBorder="1" applyFont="1">
      <alignment horizontal="center" readingOrder="0"/>
    </xf>
    <xf borderId="33" fillId="0" fontId="85" numFmtId="0" xfId="0" applyBorder="1" applyFont="1"/>
    <xf borderId="33" fillId="0" fontId="81" numFmtId="0" xfId="0" applyAlignment="1" applyBorder="1" applyFont="1">
      <alignment horizontal="center" readingOrder="0"/>
    </xf>
    <xf borderId="14" fillId="0" fontId="15" numFmtId="0" xfId="0" applyAlignment="1" applyBorder="1" applyFont="1">
      <alignment readingOrder="0" vertical="bottom"/>
    </xf>
    <xf borderId="47" fillId="0" fontId="16" numFmtId="0" xfId="0" applyAlignment="1" applyBorder="1" applyFont="1">
      <alignment readingOrder="0" vertical="bottom"/>
    </xf>
    <xf borderId="47" fillId="0" fontId="16" numFmtId="0" xfId="0" applyAlignment="1" applyBorder="1" applyFont="1">
      <alignment vertical="bottom"/>
    </xf>
    <xf borderId="47" fillId="0" fontId="16" numFmtId="0" xfId="0" applyAlignment="1" applyBorder="1" applyFont="1">
      <alignment readingOrder="0" vertical="bottom"/>
    </xf>
    <xf borderId="47" fillId="0" fontId="16" numFmtId="0" xfId="0" applyAlignment="1" applyBorder="1" applyFont="1">
      <alignment vertical="center"/>
    </xf>
    <xf borderId="18" fillId="0" fontId="16" numFmtId="0" xfId="0" applyAlignment="1" applyBorder="1" applyFont="1">
      <alignment horizontal="right" vertical="bottom"/>
    </xf>
    <xf borderId="18" fillId="0" fontId="16" numFmtId="14" xfId="0" applyAlignment="1" applyBorder="1" applyFont="1" applyNumberFormat="1">
      <alignment horizontal="right" readingOrder="0" vertical="bottom"/>
    </xf>
    <xf borderId="18" fillId="3" fontId="16" numFmtId="49" xfId="0" applyAlignment="1" applyBorder="1" applyFont="1" applyNumberFormat="1">
      <alignment readingOrder="0"/>
    </xf>
    <xf borderId="46" fillId="0" fontId="86" numFmtId="0" xfId="0" applyAlignment="1" applyBorder="1" applyFont="1">
      <alignment horizontal="left" readingOrder="0" shrinkToFit="0" vertical="top" wrapText="1"/>
    </xf>
    <xf borderId="20" fillId="0" fontId="86" numFmtId="0" xfId="0" applyAlignment="1" applyBorder="1" applyFont="1">
      <alignment horizontal="left" readingOrder="0" shrinkToFit="0" vertical="top" wrapText="1"/>
    </xf>
    <xf borderId="46" fillId="0" fontId="87" numFmtId="0" xfId="0" applyAlignment="1" applyBorder="1" applyFont="1">
      <alignment readingOrder="0"/>
    </xf>
    <xf borderId="46" fillId="0" fontId="25" numFmtId="0" xfId="0" applyAlignment="1" applyBorder="1" applyFont="1">
      <alignment shrinkToFit="0" vertical="bottom" wrapText="1"/>
    </xf>
    <xf borderId="47" fillId="0" fontId="72" numFmtId="0" xfId="0" applyAlignment="1" applyBorder="1" applyFont="1">
      <alignment horizontal="center" readingOrder="0" shrinkToFit="0" vertical="center" wrapText="1"/>
    </xf>
    <xf borderId="47" fillId="0" fontId="10" numFmtId="0" xfId="0" applyAlignment="1" applyBorder="1" applyFont="1">
      <alignment vertical="bottom"/>
    </xf>
    <xf borderId="47" fillId="3" fontId="12" numFmtId="0" xfId="0" applyAlignment="1" applyBorder="1" applyFont="1">
      <alignment vertical="bottom"/>
    </xf>
    <xf borderId="20" fillId="0" fontId="88" numFmtId="0" xfId="0" applyAlignment="1" applyBorder="1" applyFont="1">
      <alignment readingOrder="0"/>
    </xf>
    <xf borderId="0" fillId="0" fontId="25" numFmtId="0" xfId="0" applyAlignment="1" applyFont="1">
      <alignment shrinkToFit="0" vertical="bottom" wrapText="1"/>
    </xf>
    <xf borderId="0" fillId="3" fontId="12" numFmtId="0" xfId="0" applyAlignment="1" applyFont="1">
      <alignment vertical="bottom"/>
    </xf>
    <xf borderId="47" fillId="0" fontId="89" numFmtId="0" xfId="0" applyAlignment="1" applyBorder="1" applyFont="1">
      <alignment readingOrder="0" vertical="bottom"/>
    </xf>
    <xf borderId="0" fillId="0" fontId="1" numFmtId="0" xfId="0" applyAlignment="1" applyFont="1">
      <alignment horizontal="center" readingOrder="0"/>
    </xf>
    <xf borderId="14" fillId="0" fontId="9" numFmtId="0" xfId="0" applyAlignment="1" applyBorder="1" applyFont="1">
      <alignment horizontal="center" readingOrder="0"/>
    </xf>
    <xf borderId="47" fillId="0" fontId="10" numFmtId="0" xfId="0" applyAlignment="1" applyBorder="1" applyFont="1">
      <alignment readingOrder="0" vertical="top"/>
    </xf>
    <xf borderId="16" fillId="0" fontId="10" numFmtId="0" xfId="0" applyAlignment="1" applyBorder="1" applyFont="1">
      <alignment horizontal="center" readingOrder="0"/>
    </xf>
    <xf borderId="46" fillId="0" fontId="10" numFmtId="0" xfId="0" applyAlignment="1" applyBorder="1" applyFont="1">
      <alignment horizontal="center" readingOrder="0" vertical="top"/>
    </xf>
    <xf borderId="20" fillId="0" fontId="90" numFmtId="0" xfId="0" applyAlignment="1" applyBorder="1" applyFont="1">
      <alignment horizontal="center" readingOrder="0" vertical="center"/>
    </xf>
    <xf borderId="0" fillId="0" fontId="6" numFmtId="0" xfId="0" applyAlignment="1" applyFont="1">
      <alignment horizontal="center" vertical="center"/>
    </xf>
    <xf borderId="0" fillId="0" fontId="91" numFmtId="0" xfId="0" applyAlignment="1" applyFont="1">
      <alignment readingOrder="0"/>
    </xf>
    <xf borderId="19" fillId="0" fontId="4" numFmtId="0" xfId="0" applyAlignment="1" applyBorder="1" applyFont="1">
      <alignment horizontal="left" readingOrder="0"/>
    </xf>
    <xf borderId="16" fillId="0" fontId="91" numFmtId="0" xfId="0" applyAlignment="1" applyBorder="1" applyFont="1">
      <alignment horizontal="center" readingOrder="0"/>
    </xf>
    <xf borderId="14" fillId="0" fontId="91" numFmtId="0" xfId="0" applyAlignment="1" applyBorder="1" applyFont="1">
      <alignment horizontal="center" readingOrder="0"/>
    </xf>
    <xf borderId="46" fillId="0" fontId="4" numFmtId="0" xfId="0" applyAlignment="1" applyBorder="1" applyFont="1">
      <alignment horizontal="center" readingOrder="0"/>
    </xf>
    <xf borderId="33" fillId="0" fontId="4" numFmtId="0" xfId="0" applyAlignment="1" applyBorder="1" applyFont="1">
      <alignment horizontal="left" readingOrder="0"/>
    </xf>
    <xf borderId="82" fillId="42" fontId="20" numFmtId="0" xfId="0" applyAlignment="1" applyBorder="1" applyFill="1" applyFont="1">
      <alignment horizontal="center" readingOrder="0"/>
    </xf>
    <xf borderId="83" fillId="0" fontId="4" numFmtId="0" xfId="0" applyBorder="1" applyFont="1"/>
    <xf borderId="20" fillId="0" fontId="4" numFmtId="0" xfId="0" applyAlignment="1" applyBorder="1" applyFont="1">
      <alignment readingOrder="0" shrinkToFit="0" wrapText="1"/>
    </xf>
    <xf borderId="49" fillId="0" fontId="44" numFmtId="0" xfId="0" applyAlignment="1" applyBorder="1" applyFont="1">
      <alignment horizontal="center" readingOrder="0" shrinkToFit="0" wrapText="1"/>
    </xf>
    <xf borderId="0" fillId="0" fontId="44" numFmtId="0" xfId="0" applyAlignment="1" applyFont="1">
      <alignment horizontal="center" readingOrder="0" shrinkToFit="0" wrapText="1"/>
    </xf>
    <xf borderId="20" fillId="0" fontId="44" numFmtId="0" xfId="0" applyAlignment="1" applyBorder="1" applyFont="1">
      <alignment horizontal="center" readingOrder="0" shrinkToFit="0" wrapText="1"/>
    </xf>
    <xf borderId="48" fillId="0" fontId="44" numFmtId="0" xfId="0" applyAlignment="1" applyBorder="1" applyFont="1">
      <alignment horizontal="center" readingOrder="0" shrinkToFit="0" wrapText="1"/>
    </xf>
    <xf borderId="46" fillId="0" fontId="44" numFmtId="0" xfId="0" applyAlignment="1" applyBorder="1" applyFont="1">
      <alignment horizontal="center" readingOrder="0" shrinkToFit="0" vertical="bottom" wrapText="1"/>
    </xf>
    <xf borderId="45" fillId="0" fontId="44" numFmtId="0" xfId="0" applyAlignment="1" applyBorder="1" applyFont="1">
      <alignment horizontal="center" readingOrder="0" shrinkToFit="0" wrapText="1"/>
    </xf>
    <xf borderId="84" fillId="0" fontId="44" numFmtId="0" xfId="0" applyAlignment="1" applyBorder="1" applyFont="1">
      <alignment horizontal="center" readingOrder="0"/>
    </xf>
    <xf borderId="40" fillId="0" fontId="44" numFmtId="0" xfId="0" applyAlignment="1" applyBorder="1" applyFont="1">
      <alignment horizontal="center" readingOrder="0"/>
    </xf>
    <xf borderId="85" fillId="0" fontId="44" numFmtId="0" xfId="0" applyAlignment="1" applyBorder="1" applyFont="1">
      <alignment horizontal="center" readingOrder="0"/>
    </xf>
    <xf borderId="84" fillId="0" fontId="44" numFmtId="0" xfId="0" applyAlignment="1" applyBorder="1" applyFont="1">
      <alignment horizontal="center" readingOrder="0"/>
    </xf>
    <xf borderId="41" fillId="0" fontId="44" numFmtId="0" xfId="0" applyAlignment="1" applyBorder="1" applyFont="1">
      <alignment horizontal="center" readingOrder="0"/>
    </xf>
    <xf borderId="84" fillId="0" fontId="44" numFmtId="0" xfId="0" applyAlignment="1" applyBorder="1" applyFont="1">
      <alignment horizontal="center" readingOrder="0" shrinkToFit="0" wrapText="1"/>
    </xf>
    <xf borderId="84" fillId="0" fontId="44" numFmtId="184" xfId="0" applyAlignment="1" applyBorder="1" applyFont="1" applyNumberFormat="1">
      <alignment horizontal="center" readingOrder="0"/>
    </xf>
    <xf borderId="85" fillId="0" fontId="16" numFmtId="0" xfId="0" applyAlignment="1" applyBorder="1" applyFont="1">
      <alignment readingOrder="0"/>
    </xf>
    <xf borderId="85" fillId="0" fontId="44" numFmtId="0" xfId="0" applyAlignment="1" applyBorder="1" applyFont="1">
      <alignment horizontal="center" readingOrder="0"/>
    </xf>
    <xf borderId="84" fillId="0" fontId="44" numFmtId="0" xfId="0" applyAlignment="1" applyBorder="1" applyFont="1">
      <alignment horizontal="center"/>
    </xf>
    <xf borderId="13" fillId="0" fontId="44" numFmtId="0" xfId="0" applyAlignment="1" applyBorder="1" applyFont="1">
      <alignment horizontal="center" readingOrder="0"/>
    </xf>
    <xf borderId="18" fillId="0" fontId="44" numFmtId="0" xfId="0" applyAlignment="1" applyBorder="1" applyFont="1">
      <alignment horizontal="center" readingOrder="0"/>
    </xf>
    <xf borderId="14" fillId="0" fontId="44" numFmtId="0" xfId="0" applyAlignment="1" applyBorder="1" applyFont="1">
      <alignment horizontal="center" readingOrder="0"/>
    </xf>
    <xf borderId="13" fillId="0" fontId="44" numFmtId="0" xfId="0" applyAlignment="1" applyBorder="1" applyFont="1">
      <alignment horizontal="center" readingOrder="0"/>
    </xf>
    <xf borderId="13" fillId="0" fontId="44" numFmtId="184" xfId="0" applyAlignment="1" applyBorder="1" applyFont="1" applyNumberFormat="1">
      <alignment horizontal="center" readingOrder="0"/>
    </xf>
    <xf borderId="14" fillId="0" fontId="44" numFmtId="0" xfId="0" applyAlignment="1" applyBorder="1" applyFont="1">
      <alignment horizontal="center" readingOrder="0"/>
    </xf>
    <xf borderId="13" fillId="0" fontId="44" numFmtId="0" xfId="0" applyAlignment="1" applyBorder="1" applyFont="1">
      <alignment horizontal="center"/>
    </xf>
    <xf borderId="18" fillId="0" fontId="44" numFmtId="0" xfId="0" applyAlignment="1" applyBorder="1" applyFont="1">
      <alignment horizontal="center"/>
    </xf>
    <xf borderId="14" fillId="0" fontId="44" numFmtId="0" xfId="0" applyAlignment="1" applyBorder="1" applyFont="1">
      <alignment horizontal="center"/>
    </xf>
    <xf borderId="13" fillId="0" fontId="44" numFmtId="0" xfId="0" applyAlignment="1" applyBorder="1" applyFont="1">
      <alignment horizontal="center"/>
    </xf>
    <xf borderId="14" fillId="0" fontId="44" numFmtId="0" xfId="0" applyAlignment="1" applyBorder="1" applyFont="1">
      <alignment horizontal="center"/>
    </xf>
    <xf borderId="46" fillId="0" fontId="92" numFmtId="0" xfId="0" applyAlignment="1" applyBorder="1" applyFont="1">
      <alignment horizontal="right" readingOrder="0" vertical="center"/>
    </xf>
    <xf borderId="45" fillId="0" fontId="92" numFmtId="0" xfId="0" applyAlignment="1" applyBorder="1" applyFont="1">
      <alignment horizontal="left" readingOrder="0" vertical="center"/>
    </xf>
    <xf borderId="0" fillId="0" fontId="92" numFmtId="0" xfId="0" applyAlignment="1" applyFont="1">
      <alignment readingOrder="0" vertical="top"/>
    </xf>
    <xf borderId="18" fillId="0" fontId="10" numFmtId="0" xfId="0" applyAlignment="1" applyBorder="1" applyFont="1">
      <alignment horizontal="center" readingOrder="0"/>
    </xf>
    <xf borderId="47" fillId="0" fontId="10" numFmtId="0" xfId="0" applyAlignment="1" applyBorder="1" applyFont="1">
      <alignment horizontal="center" readingOrder="0"/>
    </xf>
    <xf borderId="47" fillId="0" fontId="64" numFmtId="0" xfId="0" applyAlignment="1" applyBorder="1" applyFont="1">
      <alignment horizontal="center" readingOrder="0"/>
    </xf>
    <xf borderId="0" fillId="0" fontId="10" numFmtId="0" xfId="0" applyAlignment="1" applyFont="1">
      <alignment horizontal="center" readingOrder="0"/>
    </xf>
    <xf borderId="0" fillId="0" fontId="10" numFmtId="0" xfId="0" applyAlignment="1" applyFont="1">
      <alignment horizontal="center"/>
    </xf>
    <xf borderId="0" fillId="3" fontId="93" numFmtId="0" xfId="0" applyAlignment="1" applyFont="1">
      <alignment horizontal="center"/>
    </xf>
    <xf borderId="46" fillId="0" fontId="4" numFmtId="0" xfId="0" applyAlignment="1" applyBorder="1" applyFont="1">
      <alignment readingOrder="0" shrinkToFit="0" wrapText="1"/>
    </xf>
    <xf borderId="46" fillId="0" fontId="4" numFmtId="0" xfId="0" applyAlignment="1" applyBorder="1" applyFont="1">
      <alignment shrinkToFit="0" wrapText="1"/>
    </xf>
    <xf borderId="0" fillId="0" fontId="94" numFmtId="0" xfId="0" applyAlignment="1" applyFont="1">
      <alignment horizontal="center" readingOrder="0" shrinkToFit="0" vertical="top" wrapText="0"/>
    </xf>
    <xf borderId="13" fillId="8" fontId="66" numFmtId="0" xfId="0" applyAlignment="1" applyBorder="1" applyFont="1">
      <alignment horizontal="left" readingOrder="0" shrinkToFit="0" vertical="top" wrapText="0"/>
    </xf>
    <xf borderId="13" fillId="8" fontId="10" numFmtId="0" xfId="0" applyAlignment="1" applyBorder="1" applyFont="1">
      <alignment readingOrder="0" vertical="bottom"/>
    </xf>
    <xf borderId="13" fillId="0" fontId="20" numFmtId="0" xfId="0" applyAlignment="1" applyBorder="1" applyFont="1">
      <alignment horizontal="left" shrinkToFit="0" vertical="top" wrapText="0"/>
    </xf>
    <xf borderId="13" fillId="0" fontId="20" numFmtId="0" xfId="0" applyAlignment="1" applyBorder="1" applyFont="1">
      <alignment vertical="bottom"/>
    </xf>
    <xf borderId="13" fillId="0" fontId="20" numFmtId="0" xfId="0" applyAlignment="1" applyBorder="1" applyFont="1">
      <alignment horizontal="left" vertical="bottom"/>
    </xf>
    <xf borderId="13" fillId="0" fontId="20" numFmtId="0" xfId="0" applyAlignment="1" applyBorder="1" applyFont="1">
      <alignment horizontal="left" vertical="bottom"/>
    </xf>
    <xf borderId="13" fillId="0" fontId="20" numFmtId="0" xfId="0" applyAlignment="1" applyBorder="1" applyFont="1">
      <alignment horizontal="left" readingOrder="0" shrinkToFit="0" vertical="top" wrapText="0"/>
    </xf>
    <xf borderId="13" fillId="0" fontId="20" numFmtId="0" xfId="0" applyAlignment="1" applyBorder="1" applyFont="1">
      <alignment horizontal="left" readingOrder="0" vertical="bottom"/>
    </xf>
    <xf borderId="13" fillId="0" fontId="20" numFmtId="0" xfId="0" applyAlignment="1" applyBorder="1" applyFont="1">
      <alignment horizontal="left" shrinkToFit="0" vertical="top" wrapText="0"/>
    </xf>
    <xf borderId="13" fillId="0" fontId="19" numFmtId="0" xfId="0" applyAlignment="1" applyBorder="1" applyFont="1">
      <alignment horizontal="left" shrinkToFit="0" vertical="top" wrapText="0"/>
    </xf>
    <xf borderId="0" fillId="0" fontId="78" numFmtId="0" xfId="0" applyAlignment="1" applyFont="1">
      <alignment horizontal="center" shrinkToFit="0" wrapText="0"/>
    </xf>
    <xf borderId="0" fillId="0" fontId="78" numFmtId="0" xfId="0" applyAlignment="1" applyFont="1">
      <alignment horizontal="center" readingOrder="0" shrinkToFit="0" wrapText="0"/>
    </xf>
    <xf borderId="21" fillId="0" fontId="94" numFmtId="0" xfId="0" applyAlignment="1" applyBorder="1" applyFont="1">
      <alignment shrinkToFit="0" vertical="top" wrapText="1"/>
    </xf>
    <xf borderId="28" fillId="0" fontId="94" numFmtId="0" xfId="0" applyAlignment="1" applyBorder="1" applyFont="1">
      <alignment shrinkToFit="0" vertical="top" wrapText="1"/>
    </xf>
    <xf borderId="86" fillId="0" fontId="32" numFmtId="0" xfId="0" applyAlignment="1" applyBorder="1" applyFont="1">
      <alignment horizontal="center" shrinkToFit="0" vertical="center" wrapText="1"/>
    </xf>
    <xf borderId="31" fillId="0" fontId="44" numFmtId="0" xfId="0" applyAlignment="1" applyBorder="1" applyFont="1">
      <alignment shrinkToFit="0" wrapText="1"/>
    </xf>
    <xf borderId="0" fillId="0" fontId="94" numFmtId="174" xfId="0" applyAlignment="1" applyFont="1" applyNumberFormat="1">
      <alignment horizontal="center" shrinkToFit="0" vertical="center" wrapText="1"/>
    </xf>
    <xf borderId="0" fillId="0" fontId="44" numFmtId="0" xfId="0" applyAlignment="1" applyFont="1">
      <alignment shrinkToFit="0" wrapText="1"/>
    </xf>
    <xf borderId="31" fillId="0" fontId="94" numFmtId="168" xfId="0" applyAlignment="1" applyBorder="1" applyFont="1" applyNumberFormat="1">
      <alignment horizontal="center" shrinkToFit="0" vertical="center" wrapText="1"/>
    </xf>
    <xf borderId="87" fillId="0" fontId="4" numFmtId="0" xfId="0" applyBorder="1" applyFont="1"/>
    <xf borderId="24" fillId="0" fontId="44" numFmtId="0" xfId="0" applyAlignment="1" applyBorder="1" applyFont="1">
      <alignment shrinkToFit="0" wrapText="1"/>
    </xf>
    <xf borderId="36" fillId="0" fontId="94" numFmtId="20" xfId="0" applyAlignment="1" applyBorder="1" applyFont="1" applyNumberFormat="1">
      <alignment horizontal="center" shrinkToFit="0" vertical="center" wrapText="1"/>
    </xf>
    <xf borderId="36" fillId="0" fontId="44" numFmtId="0" xfId="0" applyAlignment="1" applyBorder="1" applyFont="1">
      <alignment shrinkToFit="0" wrapText="1"/>
    </xf>
    <xf borderId="88" fillId="0" fontId="4" numFmtId="0" xfId="0" applyBorder="1" applyFont="1"/>
    <xf borderId="86" fillId="0" fontId="94" numFmtId="0" xfId="0" applyAlignment="1" applyBorder="1" applyFont="1">
      <alignment shrinkToFit="0" vertical="top" wrapText="1"/>
    </xf>
    <xf borderId="89" fillId="0" fontId="4" numFmtId="0" xfId="0" applyBorder="1" applyFont="1"/>
    <xf borderId="31" fillId="0" fontId="95" numFmtId="0" xfId="0" applyAlignment="1" applyBorder="1" applyFont="1">
      <alignment shrinkToFit="0" vertical="top" wrapText="1"/>
    </xf>
    <xf borderId="0" fillId="0" fontId="95" numFmtId="0" xfId="0" applyAlignment="1" applyFont="1">
      <alignment shrinkToFit="0" vertical="top" wrapText="1"/>
    </xf>
    <xf borderId="86" fillId="0" fontId="44" numFmtId="0" xfId="0" applyAlignment="1" applyBorder="1" applyFont="1">
      <alignment shrinkToFit="0" vertical="top" wrapText="1"/>
    </xf>
    <xf borderId="24" fillId="0" fontId="44" numFmtId="0" xfId="0" applyAlignment="1" applyBorder="1" applyFont="1">
      <alignment shrinkToFit="0" vertical="top" wrapText="1"/>
    </xf>
    <xf borderId="36" fillId="0" fontId="95" numFmtId="0" xfId="0" applyAlignment="1" applyBorder="1" applyFont="1">
      <alignment shrinkToFit="0" vertical="top" wrapText="1"/>
    </xf>
    <xf borderId="90" fillId="0" fontId="4" numFmtId="0" xfId="0" applyBorder="1" applyFont="1"/>
    <xf borderId="87" fillId="0" fontId="44" numFmtId="0" xfId="0" applyAlignment="1" applyBorder="1" applyFont="1">
      <alignment shrinkToFit="0" vertical="top" wrapText="1"/>
    </xf>
    <xf borderId="39" fillId="0" fontId="94" numFmtId="0" xfId="0" applyAlignment="1" applyBorder="1" applyFont="1">
      <alignment shrinkToFit="0" vertical="top" wrapText="1"/>
    </xf>
    <xf borderId="85" fillId="0" fontId="44" numFmtId="0" xfId="0" applyAlignment="1" applyBorder="1" applyFont="1">
      <alignment horizontal="center" shrinkToFit="0" vertical="top" wrapText="1"/>
    </xf>
    <xf borderId="91" fillId="0" fontId="4" numFmtId="0" xfId="0" applyBorder="1" applyFont="1"/>
    <xf borderId="51" fillId="0" fontId="44" numFmtId="0" xfId="0" applyAlignment="1" applyBorder="1" applyFont="1">
      <alignment shrinkToFit="0" vertical="top" wrapText="1"/>
    </xf>
    <xf borderId="46" fillId="0" fontId="95" numFmtId="0" xfId="0" applyAlignment="1" applyBorder="1" applyFont="1">
      <alignment horizontal="center" shrinkToFit="0" vertical="top" wrapText="1"/>
    </xf>
    <xf borderId="43" fillId="0" fontId="4" numFmtId="0" xfId="0" applyBorder="1" applyFont="1"/>
    <xf borderId="43" fillId="0" fontId="94" numFmtId="0" xfId="0" applyAlignment="1" applyBorder="1" applyFont="1">
      <alignment shrinkToFit="0" wrapText="1"/>
    </xf>
    <xf borderId="22" fillId="0" fontId="44" numFmtId="0" xfId="0" applyAlignment="1" applyBorder="1" applyFont="1">
      <alignment shrinkToFit="0" wrapText="1"/>
    </xf>
    <xf borderId="42" fillId="0" fontId="44" numFmtId="0" xfId="0" applyAlignment="1" applyBorder="1" applyFont="1">
      <alignment shrinkToFit="0" vertical="top" wrapText="1"/>
    </xf>
    <xf borderId="14" fillId="0" fontId="95" numFmtId="0" xfId="0" applyAlignment="1" applyBorder="1" applyFont="1">
      <alignment horizontal="center" shrinkToFit="0" vertical="top" wrapText="1"/>
    </xf>
    <xf borderId="42" fillId="0" fontId="95" numFmtId="0" xfId="0" applyAlignment="1" applyBorder="1" applyFont="1">
      <alignment shrinkToFit="0" vertical="top" wrapText="1"/>
    </xf>
    <xf borderId="14" fillId="0" fontId="95" numFmtId="0" xfId="0" applyAlignment="1" applyBorder="1" applyFont="1">
      <alignment shrinkToFit="0" wrapText="1"/>
    </xf>
    <xf borderId="92" fillId="0" fontId="44" numFmtId="0" xfId="0" applyAlignment="1" applyBorder="1" applyFont="1">
      <alignment shrinkToFit="0" vertical="top" wrapText="1"/>
    </xf>
    <xf borderId="93" fillId="0" fontId="4" numFmtId="0" xfId="0" applyBorder="1" applyFont="1"/>
    <xf borderId="25" fillId="0" fontId="95" numFmtId="0" xfId="0" applyAlignment="1" applyBorder="1" applyFont="1">
      <alignment shrinkToFit="0" wrapText="1"/>
    </xf>
    <xf borderId="25" fillId="0" fontId="95" numFmtId="0" xfId="0" applyAlignment="1" applyBorder="1" applyFont="1">
      <alignment horizontal="center" shrinkToFit="0" vertical="top" wrapText="1"/>
    </xf>
    <xf borderId="92" fillId="0" fontId="95" numFmtId="0" xfId="0" applyAlignment="1" applyBorder="1" applyFont="1">
      <alignment shrinkToFit="0" vertical="top" wrapText="1"/>
    </xf>
    <xf borderId="39" fillId="0" fontId="44" numFmtId="0" xfId="0" applyAlignment="1" applyBorder="1" applyFont="1">
      <alignment horizontal="center" shrinkToFit="0" wrapText="1"/>
    </xf>
    <xf borderId="85" fillId="0" fontId="44" numFmtId="0" xfId="0" applyAlignment="1" applyBorder="1" applyFont="1">
      <alignment horizontal="center" shrinkToFit="0" wrapText="1"/>
    </xf>
    <xf borderId="42" fillId="0" fontId="95" numFmtId="0" xfId="0" applyAlignment="1" applyBorder="1" applyFont="1">
      <alignment horizontal="center" shrinkToFit="0" wrapText="1"/>
    </xf>
    <xf borderId="14" fillId="0" fontId="95" numFmtId="0" xfId="0" applyAlignment="1" applyBorder="1" applyFont="1">
      <alignment horizontal="center" shrinkToFit="0" wrapText="1"/>
    </xf>
    <xf borderId="92" fillId="0" fontId="95" numFmtId="0" xfId="0" applyAlignment="1" applyBorder="1" applyFont="1">
      <alignment horizontal="center" shrinkToFit="0" wrapText="1"/>
    </xf>
    <xf borderId="25" fillId="0" fontId="95" numFmtId="0" xfId="0" applyAlignment="1" applyBorder="1" applyFont="1">
      <alignment horizontal="center" shrinkToFit="0" wrapText="1"/>
    </xf>
    <xf borderId="94" fillId="0" fontId="94" numFmtId="0" xfId="0" applyAlignment="1" applyBorder="1" applyFont="1">
      <alignment shrinkToFit="0" wrapText="1"/>
    </xf>
    <xf borderId="28" fillId="0" fontId="44" numFmtId="0" xfId="0" applyAlignment="1" applyBorder="1" applyFont="1">
      <alignment horizontal="right" shrinkToFit="0" wrapText="1"/>
    </xf>
    <xf borderId="40" fillId="0" fontId="95" numFmtId="0" xfId="0" applyAlignment="1" applyBorder="1" applyFont="1">
      <alignment shrinkToFit="0" wrapText="1"/>
    </xf>
    <xf borderId="28" fillId="0" fontId="95" numFmtId="0" xfId="0" applyAlignment="1" applyBorder="1" applyFont="1">
      <alignment shrinkToFit="0" wrapText="1"/>
    </xf>
    <xf borderId="28" fillId="0" fontId="94" numFmtId="0" xfId="0" applyAlignment="1" applyBorder="1" applyFont="1">
      <alignment shrinkToFit="0" wrapText="1"/>
    </xf>
    <xf borderId="75" fillId="0" fontId="94" numFmtId="0" xfId="0" applyAlignment="1" applyBorder="1" applyFont="1">
      <alignment shrinkToFit="0" wrapText="1"/>
    </xf>
    <xf borderId="75" fillId="0" fontId="44" numFmtId="0" xfId="0" applyAlignment="1" applyBorder="1" applyFont="1">
      <alignment horizontal="right" shrinkToFit="0" wrapText="1"/>
    </xf>
    <xf borderId="76" fillId="0" fontId="95" numFmtId="0" xfId="0" applyAlignment="1" applyBorder="1" applyFont="1">
      <alignment shrinkToFit="0" wrapText="1"/>
    </xf>
    <xf borderId="21" fillId="0" fontId="44" numFmtId="0" xfId="0" applyAlignment="1" applyBorder="1" applyFont="1">
      <alignment horizontal="center" shrinkToFit="0" wrapText="1"/>
    </xf>
    <xf borderId="29" fillId="0" fontId="44" numFmtId="0" xfId="0" applyAlignment="1" applyBorder="1" applyFont="1">
      <alignment horizontal="center" shrinkToFit="0" wrapText="1"/>
    </xf>
    <xf borderId="28" fillId="0" fontId="44" numFmtId="0" xfId="0" applyAlignment="1" applyBorder="1" applyFont="1">
      <alignment horizontal="center" shrinkToFit="0" wrapText="1"/>
    </xf>
    <xf borderId="43" fillId="0" fontId="44" numFmtId="0" xfId="0" applyAlignment="1" applyBorder="1" applyFont="1">
      <alignment horizontal="center" shrinkToFit="0" wrapText="1"/>
    </xf>
    <xf borderId="22" fillId="0" fontId="44" numFmtId="0" xfId="0" applyAlignment="1" applyBorder="1" applyFont="1">
      <alignment horizontal="center" shrinkToFit="0" wrapText="1"/>
    </xf>
    <xf borderId="43" fillId="0" fontId="95" numFmtId="0" xfId="0" applyAlignment="1" applyBorder="1" applyFont="1">
      <alignment shrinkToFit="0" vertical="top" wrapText="1"/>
    </xf>
    <xf borderId="22" fillId="0" fontId="95" numFmtId="0" xfId="0" applyAlignment="1" applyBorder="1" applyFont="1">
      <alignment shrinkToFit="0" vertical="top" wrapText="1"/>
    </xf>
    <xf borderId="22" fillId="0" fontId="95" numFmtId="0" xfId="0" applyAlignment="1" applyBorder="1" applyFont="1">
      <alignment shrinkToFit="0" wrapText="0"/>
    </xf>
    <xf borderId="14" fillId="0" fontId="95" numFmtId="0" xfId="0" applyAlignment="1" applyBorder="1" applyFont="1">
      <alignment shrinkToFit="0" wrapText="0"/>
    </xf>
    <xf borderId="14" fillId="0" fontId="95" numFmtId="0" xfId="0" applyAlignment="1" applyBorder="1" applyFont="1">
      <alignment shrinkToFit="0" vertical="top" wrapText="1"/>
    </xf>
    <xf borderId="25" fillId="0" fontId="95" numFmtId="0" xfId="0" applyAlignment="1" applyBorder="1" applyFont="1">
      <alignment shrinkToFit="0" vertical="top" wrapText="1"/>
    </xf>
    <xf borderId="25" fillId="0" fontId="95" numFmtId="0" xfId="0" applyAlignment="1" applyBorder="1" applyFont="1">
      <alignment shrinkToFit="0" wrapText="0"/>
    </xf>
    <xf borderId="21" fillId="0" fontId="94" numFmtId="0" xfId="0" applyAlignment="1" applyBorder="1" applyFont="1">
      <alignment shrinkToFit="0" wrapText="1"/>
    </xf>
    <xf borderId="28" fillId="0" fontId="95" numFmtId="0" xfId="0" applyAlignment="1" applyBorder="1" applyFont="1">
      <alignment horizontal="center" shrinkToFit="0" vertical="center" wrapText="1"/>
    </xf>
    <xf borderId="40" fillId="0" fontId="95" numFmtId="0" xfId="0" applyAlignment="1" applyBorder="1" applyFont="1">
      <alignment horizontal="center" shrinkToFit="0" vertical="center" wrapText="1"/>
    </xf>
    <xf borderId="40" fillId="0" fontId="94" numFmtId="0" xfId="0" applyAlignment="1" applyBorder="1" applyFont="1">
      <alignment shrinkToFit="0" wrapText="1"/>
    </xf>
    <xf borderId="36" fillId="0" fontId="95" numFmtId="0" xfId="0" applyAlignment="1" applyBorder="1" applyFont="1">
      <alignment shrinkToFit="0" wrapText="1"/>
    </xf>
    <xf borderId="21" fillId="0" fontId="96" numFmtId="0" xfId="0" applyAlignment="1" applyBorder="1" applyFont="1">
      <alignment horizontal="center" shrinkToFit="0" vertical="center" wrapText="0"/>
    </xf>
    <xf borderId="94" fillId="0" fontId="97" numFmtId="0" xfId="0" applyAlignment="1" applyBorder="1" applyFont="1">
      <alignment horizontal="center" shrinkToFit="0" vertical="center" wrapText="0"/>
    </xf>
    <xf borderId="21" fillId="0" fontId="97" numFmtId="0" xfId="0" applyAlignment="1" applyBorder="1" applyFont="1">
      <alignment horizontal="center" shrinkToFit="0" vertical="center" wrapText="0"/>
    </xf>
    <xf borderId="87" fillId="0" fontId="98" numFmtId="0" xfId="0" applyAlignment="1" applyBorder="1" applyFont="1">
      <alignment horizontal="center" readingOrder="0" shrinkToFit="0" vertical="center" wrapText="0"/>
    </xf>
    <xf borderId="24" fillId="0" fontId="98" numFmtId="185" xfId="0" applyAlignment="1" applyBorder="1" applyFont="1" applyNumberFormat="1">
      <alignment horizontal="center" readingOrder="0" shrinkToFit="0" vertical="center" wrapText="0"/>
    </xf>
    <xf borderId="24" fillId="0" fontId="98" numFmtId="0" xfId="0" applyAlignment="1" applyBorder="1" applyFont="1">
      <alignment horizontal="center" readingOrder="0" shrinkToFit="0" vertical="center" wrapText="0"/>
    </xf>
    <xf borderId="95" fillId="0" fontId="97" numFmtId="0" xfId="0" applyAlignment="1" applyBorder="1" applyFont="1">
      <alignment horizontal="center" shrinkToFit="0" vertical="center" wrapText="0"/>
    </xf>
    <xf borderId="29" fillId="0" fontId="97" numFmtId="0" xfId="0" applyAlignment="1" applyBorder="1" applyFont="1">
      <alignment horizontal="center" shrinkToFit="0" vertical="center" wrapText="0"/>
    </xf>
    <xf borderId="96" fillId="0" fontId="97" numFmtId="0" xfId="0" applyAlignment="1" applyBorder="1" applyFont="1">
      <alignment horizontal="center" shrinkToFit="0" vertical="center" wrapText="0"/>
    </xf>
    <xf borderId="0" fillId="3" fontId="33" numFmtId="0" xfId="0" applyAlignment="1" applyFont="1">
      <alignment horizontal="center"/>
    </xf>
    <xf borderId="97" fillId="0" fontId="98" numFmtId="169" xfId="0" applyAlignment="1" applyBorder="1" applyFont="1" applyNumberFormat="1">
      <alignment horizontal="center" readingOrder="0" shrinkToFit="0" vertical="center" wrapText="0"/>
    </xf>
    <xf borderId="98" fillId="0" fontId="99" numFmtId="169" xfId="0" applyAlignment="1" applyBorder="1" applyFont="1" applyNumberFormat="1">
      <alignment horizontal="center" readingOrder="0" shrinkToFit="0" vertical="center" wrapText="0"/>
    </xf>
    <xf borderId="99" fillId="0" fontId="99" numFmtId="169" xfId="0" applyAlignment="1" applyBorder="1" applyFont="1" applyNumberFormat="1">
      <alignment horizontal="center" readingOrder="0" shrinkToFit="0" vertical="center" wrapText="0"/>
    </xf>
    <xf borderId="98" fillId="0" fontId="98" numFmtId="169" xfId="0" applyAlignment="1" applyBorder="1" applyFont="1" applyNumberFormat="1">
      <alignment horizontal="center" readingOrder="0" shrinkToFit="0" vertical="center" wrapText="0"/>
    </xf>
    <xf borderId="31" fillId="0" fontId="98" numFmtId="186" xfId="0" applyAlignment="1" applyBorder="1" applyFont="1" applyNumberFormat="1">
      <alignment horizontal="center" readingOrder="0" shrinkToFit="0" vertical="center" wrapText="0"/>
    </xf>
    <xf borderId="31" fillId="0" fontId="98" numFmtId="0" xfId="0" applyAlignment="1" applyBorder="1" applyFont="1">
      <alignment horizontal="center" readingOrder="0" shrinkToFit="0" vertical="center" wrapText="0"/>
    </xf>
    <xf borderId="21" fillId="0" fontId="97" numFmtId="0" xfId="0" applyAlignment="1" applyBorder="1" applyFont="1">
      <alignment horizontal="center" readingOrder="0" shrinkToFit="0" vertical="center" wrapText="1"/>
    </xf>
    <xf borderId="94" fillId="0" fontId="97" numFmtId="0" xfId="0" applyAlignment="1" applyBorder="1" applyFont="1">
      <alignment horizontal="center" shrinkToFit="0" vertical="center" wrapText="1"/>
    </xf>
    <xf borderId="21" fillId="0" fontId="97" numFmtId="0" xfId="0" applyAlignment="1" applyBorder="1" applyFont="1">
      <alignment horizontal="center" shrinkToFit="0" vertical="center" wrapText="1"/>
    </xf>
    <xf borderId="31" fillId="0" fontId="98" numFmtId="1" xfId="0" applyAlignment="1" applyBorder="1" applyFont="1" applyNumberFormat="1">
      <alignment horizontal="center" shrinkToFit="0" vertical="center" wrapText="1"/>
    </xf>
    <xf borderId="86" fillId="0" fontId="98" numFmtId="1" xfId="0" applyAlignment="1" applyBorder="1" applyFont="1" applyNumberFormat="1">
      <alignment horizontal="right" shrinkToFit="0" vertical="center" wrapText="0"/>
    </xf>
    <xf borderId="34" fillId="0" fontId="98" numFmtId="1" xfId="0" applyAlignment="1" applyBorder="1" applyFont="1" applyNumberFormat="1">
      <alignment horizontal="left" readingOrder="0" shrinkToFit="0" vertical="center" wrapText="0"/>
    </xf>
    <xf borderId="31" fillId="0" fontId="98" numFmtId="1" xfId="0" applyAlignment="1" applyBorder="1" applyFont="1" applyNumberFormat="1">
      <alignment horizontal="right" shrinkToFit="0" vertical="center" wrapText="0"/>
    </xf>
    <xf borderId="0" fillId="0" fontId="98" numFmtId="0" xfId="0" applyAlignment="1" applyFont="1">
      <alignment horizontal="right" readingOrder="0" shrinkToFit="0" vertical="center" wrapText="0"/>
    </xf>
    <xf borderId="34" fillId="0" fontId="55" numFmtId="1" xfId="0" applyAlignment="1" applyBorder="1" applyFont="1" applyNumberFormat="1">
      <alignment horizontal="left" shrinkToFit="0" vertical="top" wrapText="0"/>
    </xf>
    <xf borderId="31" fillId="0" fontId="100" numFmtId="0" xfId="0" applyAlignment="1" applyBorder="1" applyFont="1">
      <alignment shrinkToFit="0" vertical="top" wrapText="1"/>
    </xf>
    <xf borderId="0" fillId="0" fontId="101" numFmtId="0" xfId="0" applyAlignment="1" applyFont="1">
      <alignment horizontal="center" shrinkToFit="0" vertical="center" wrapText="1"/>
    </xf>
    <xf borderId="100" fillId="0" fontId="102" numFmtId="0" xfId="0" applyAlignment="1" applyBorder="1" applyFont="1">
      <alignment horizontal="center" shrinkToFit="0" vertical="center" wrapText="1"/>
    </xf>
    <xf borderId="34" fillId="0" fontId="0" numFmtId="187" xfId="0" applyAlignment="1" applyBorder="1" applyFont="1" applyNumberFormat="1">
      <alignment horizontal="left" readingOrder="0" shrinkToFit="0" vertical="center" wrapText="0"/>
    </xf>
    <xf borderId="31" fillId="0" fontId="98" numFmtId="1" xfId="0" applyAlignment="1" applyBorder="1" applyFont="1" applyNumberFormat="1">
      <alignment horizontal="right" readingOrder="0" shrinkToFit="0" vertical="center" wrapText="0"/>
    </xf>
    <xf borderId="0" fillId="0" fontId="98" numFmtId="1" xfId="0" applyAlignment="1" applyFont="1" applyNumberFormat="1">
      <alignment horizontal="right" readingOrder="0" shrinkToFit="0" vertical="center" wrapText="0"/>
    </xf>
    <xf borderId="0" fillId="0" fontId="98" numFmtId="0" xfId="0" applyAlignment="1" applyFont="1">
      <alignment horizontal="center" readingOrder="0" shrinkToFit="0" vertical="center" wrapText="0"/>
    </xf>
    <xf borderId="100" fillId="0" fontId="98" numFmtId="0" xfId="0" applyAlignment="1" applyBorder="1" applyFont="1">
      <alignment horizontal="center" readingOrder="0" shrinkToFit="0" vertical="center" wrapText="0"/>
    </xf>
    <xf borderId="31" fillId="0" fontId="98" numFmtId="1" xfId="0" applyAlignment="1" applyBorder="1" applyFont="1" applyNumberFormat="1">
      <alignment horizontal="center" shrinkToFit="0" vertical="center" wrapText="0"/>
    </xf>
    <xf borderId="0" fillId="0" fontId="98" numFmtId="3" xfId="0" applyAlignment="1" applyFont="1" applyNumberFormat="1">
      <alignment horizontal="right" readingOrder="0" shrinkToFit="0" vertical="center" wrapText="0"/>
    </xf>
    <xf borderId="0" fillId="0" fontId="59" numFmtId="188" xfId="0" applyAlignment="1" applyFont="1" applyNumberFormat="1">
      <alignment horizontal="center" readingOrder="0" shrinkToFit="0" vertical="center" wrapText="0"/>
    </xf>
    <xf borderId="100" fillId="0" fontId="59" numFmtId="188" xfId="0" applyAlignment="1" applyBorder="1" applyFont="1" applyNumberFormat="1">
      <alignment horizontal="center" shrinkToFit="0" vertical="center" wrapText="0"/>
    </xf>
    <xf borderId="31" fillId="0" fontId="103" numFmtId="1" xfId="0" applyAlignment="1" applyBorder="1" applyFont="1" applyNumberFormat="1">
      <alignment horizontal="center" shrinkToFit="0" vertical="center" wrapText="1"/>
    </xf>
    <xf borderId="86" fillId="0" fontId="0" numFmtId="1" xfId="0" applyAlignment="1" applyBorder="1" applyFont="1" applyNumberFormat="1">
      <alignment horizontal="right" shrinkToFit="0" vertical="center" wrapText="0"/>
    </xf>
    <xf borderId="34" fillId="0" fontId="0" numFmtId="1" xfId="0" applyAlignment="1" applyBorder="1" applyFont="1" applyNumberFormat="1">
      <alignment horizontal="center" shrinkToFit="0" vertical="center" wrapText="0"/>
    </xf>
    <xf borderId="0" fillId="0" fontId="0" numFmtId="189" xfId="0" applyAlignment="1" applyFont="1" applyNumberFormat="1">
      <alignment horizontal="right" readingOrder="0" shrinkToFit="0" vertical="center" wrapText="0"/>
    </xf>
    <xf borderId="34" fillId="0" fontId="55" numFmtId="1" xfId="0" applyAlignment="1" applyBorder="1" applyFont="1" applyNumberFormat="1">
      <alignment horizontal="left" shrinkToFit="0" vertical="center" wrapText="0"/>
    </xf>
    <xf borderId="31" fillId="0" fontId="11" numFmtId="1" xfId="0" applyAlignment="1" applyBorder="1" applyFont="1" applyNumberFormat="1">
      <alignment horizontal="right" shrinkToFit="0" vertical="center" wrapText="0"/>
    </xf>
    <xf borderId="0" fillId="0" fontId="0" numFmtId="1" xfId="0" applyAlignment="1" applyFont="1" applyNumberFormat="1">
      <alignment horizontal="center" readingOrder="0" shrinkToFit="0" vertical="center" wrapText="0"/>
    </xf>
    <xf borderId="100" fillId="0" fontId="0" numFmtId="1" xfId="0" applyAlignment="1" applyBorder="1" applyFont="1" applyNumberFormat="1">
      <alignment horizontal="center" shrinkToFit="0" vertical="center" wrapText="0"/>
    </xf>
    <xf borderId="34" fillId="0" fontId="0" numFmtId="1" xfId="0" applyAlignment="1" applyBorder="1" applyFont="1" applyNumberFormat="1">
      <alignment horizontal="left" readingOrder="0" shrinkToFit="0" vertical="center" wrapText="0"/>
    </xf>
    <xf borderId="86" fillId="0" fontId="98" numFmtId="0" xfId="0" applyAlignment="1" applyBorder="1" applyFont="1">
      <alignment horizontal="right" shrinkToFit="0" vertical="center" wrapText="0"/>
    </xf>
    <xf borderId="34" fillId="0" fontId="0" numFmtId="189" xfId="0" applyAlignment="1" applyBorder="1" applyFont="1" applyNumberFormat="1">
      <alignment horizontal="left" readingOrder="0" shrinkToFit="0" vertical="center" wrapText="0"/>
    </xf>
    <xf borderId="0" fillId="0" fontId="98" numFmtId="49" xfId="0" applyAlignment="1" applyFont="1" applyNumberFormat="1">
      <alignment horizontal="center" readingOrder="0" shrinkToFit="0" vertical="center" wrapText="0"/>
    </xf>
    <xf borderId="31" fillId="0" fontId="104" numFmtId="1" xfId="0" applyAlignment="1" applyBorder="1" applyFont="1" applyNumberFormat="1">
      <alignment horizontal="center" shrinkToFit="0" vertical="center" wrapText="0"/>
    </xf>
    <xf borderId="31" fillId="0" fontId="0" numFmtId="1" xfId="0" applyAlignment="1" applyBorder="1" applyFont="1" applyNumberFormat="1">
      <alignment horizontal="center" shrinkToFit="0" vertical="center" wrapText="1"/>
    </xf>
    <xf borderId="31" fillId="0" fontId="0" numFmtId="1" xfId="0" applyAlignment="1" applyBorder="1" applyFont="1" applyNumberFormat="1">
      <alignment horizontal="right" shrinkToFit="0" vertical="center" wrapText="0"/>
    </xf>
    <xf borderId="0" fillId="0" fontId="98" numFmtId="167" xfId="0" applyAlignment="1" applyFont="1" applyNumberFormat="1">
      <alignment horizontal="center" readingOrder="0" shrinkToFit="0" vertical="center" wrapText="0"/>
    </xf>
    <xf borderId="31" fillId="0" fontId="0" numFmtId="0" xfId="0" applyAlignment="1" applyBorder="1" applyFont="1">
      <alignment horizontal="center" readingOrder="0" shrinkToFit="0" vertical="center" wrapText="0"/>
    </xf>
    <xf borderId="24" fillId="0" fontId="65" numFmtId="1" xfId="0" applyAlignment="1" applyBorder="1" applyFont="1" applyNumberFormat="1">
      <alignment horizontal="center" shrinkToFit="0" vertical="center" wrapText="1"/>
    </xf>
    <xf borderId="36" fillId="0" fontId="65" numFmtId="1" xfId="0" applyAlignment="1" applyBorder="1" applyFont="1" applyNumberFormat="1">
      <alignment horizontal="center" shrinkToFit="0" vertical="center" wrapText="1"/>
    </xf>
    <xf borderId="87" fillId="0" fontId="0" numFmtId="0" xfId="0" applyAlignment="1" applyBorder="1" applyFont="1">
      <alignment horizontal="center" shrinkToFit="0" vertical="center" wrapText="0"/>
    </xf>
    <xf borderId="24" fillId="0" fontId="105" numFmtId="0" xfId="0" applyAlignment="1" applyBorder="1" applyFont="1">
      <alignment horizontal="center" shrinkToFit="0" vertical="center" wrapText="1"/>
    </xf>
    <xf borderId="24" fillId="0" fontId="0" numFmtId="1" xfId="0" applyAlignment="1" applyBorder="1" applyFont="1" applyNumberFormat="1">
      <alignment horizontal="center" shrinkToFit="0" vertical="center" wrapText="0"/>
    </xf>
    <xf borderId="75" fillId="0" fontId="32" numFmtId="0" xfId="0" applyAlignment="1" applyBorder="1" applyFont="1">
      <alignment horizontal="center" readingOrder="0" shrinkToFit="0" vertical="center" wrapText="0"/>
    </xf>
    <xf borderId="83" fillId="0" fontId="32" numFmtId="0" xfId="0" applyAlignment="1" applyBorder="1" applyFont="1">
      <alignment horizontal="center" readingOrder="0" shrinkToFit="0" vertical="center" wrapText="0"/>
    </xf>
    <xf borderId="101" fillId="0" fontId="32" numFmtId="0" xfId="0" applyAlignment="1" applyBorder="1" applyFont="1">
      <alignment horizontal="center" readingOrder="0" shrinkToFit="0" vertical="center" wrapText="0"/>
    </xf>
    <xf borderId="83" fillId="0" fontId="32" numFmtId="1" xfId="0" applyAlignment="1" applyBorder="1" applyFont="1" applyNumberFormat="1">
      <alignment horizontal="center" readingOrder="0" shrinkToFit="0" vertical="center" wrapText="1"/>
    </xf>
    <xf borderId="102" fillId="0" fontId="32" numFmtId="1" xfId="0" applyAlignment="1" applyBorder="1" applyFont="1" applyNumberFormat="1">
      <alignment horizontal="center" readingOrder="0" shrinkToFit="0" vertical="center" wrapText="1"/>
    </xf>
    <xf borderId="76" fillId="0" fontId="32" numFmtId="0" xfId="0" applyAlignment="1" applyBorder="1" applyFont="1">
      <alignment horizontal="center" readingOrder="0" shrinkToFit="0" vertical="center" wrapText="0"/>
    </xf>
    <xf borderId="75" fillId="0" fontId="32" numFmtId="188" xfId="0" applyAlignment="1" applyBorder="1" applyFont="1" applyNumberFormat="1">
      <alignment horizontal="center" readingOrder="0" shrinkToFit="0" vertical="center" wrapText="0"/>
    </xf>
    <xf borderId="75" fillId="0" fontId="32" numFmtId="1" xfId="0" applyAlignment="1" applyBorder="1" applyFont="1" applyNumberFormat="1">
      <alignment horizontal="center" readingOrder="0" shrinkToFit="0" vertical="center" wrapText="1"/>
    </xf>
    <xf borderId="77" fillId="0" fontId="32" numFmtId="1" xfId="0" applyAlignment="1" applyBorder="1" applyFont="1" applyNumberFormat="1">
      <alignment horizontal="center" readingOrder="0" shrinkToFit="0" vertical="center" wrapText="1"/>
    </xf>
    <xf borderId="43" fillId="0" fontId="55" numFmtId="0" xfId="0" applyAlignment="1" applyBorder="1" applyFont="1">
      <alignment horizontal="center" readingOrder="0" shrinkToFit="0" vertical="center" wrapText="0"/>
    </xf>
    <xf borderId="15" fillId="0" fontId="44" numFmtId="167" xfId="0" applyAlignment="1" applyBorder="1" applyFont="1" applyNumberFormat="1">
      <alignment horizontal="center" readingOrder="0" shrinkToFit="0" vertical="center" wrapText="0"/>
    </xf>
    <xf borderId="38" fillId="0" fontId="44" numFmtId="167" xfId="0" applyAlignment="1" applyBorder="1" applyFont="1" applyNumberFormat="1">
      <alignment horizontal="center" readingOrder="0" shrinkToFit="0" vertical="center" wrapText="0"/>
    </xf>
    <xf borderId="16" fillId="0" fontId="44" numFmtId="167" xfId="0" applyAlignment="1" applyBorder="1" applyFont="1" applyNumberFormat="1">
      <alignment horizontal="center" readingOrder="0" shrinkToFit="0" vertical="center" wrapText="0"/>
    </xf>
    <xf borderId="103" fillId="0" fontId="44" numFmtId="0" xfId="0" applyAlignment="1" applyBorder="1" applyFont="1">
      <alignment horizontal="center" readingOrder="0" shrinkToFit="0" vertical="center" wrapText="0"/>
    </xf>
    <xf borderId="19" fillId="0" fontId="55" numFmtId="0" xfId="0" applyAlignment="1" applyBorder="1" applyFont="1">
      <alignment horizontal="center" readingOrder="0" shrinkToFit="0" vertical="center" wrapText="0"/>
    </xf>
    <xf borderId="22" fillId="0" fontId="44" numFmtId="0" xfId="0" applyAlignment="1" applyBorder="1" applyFont="1">
      <alignment horizontal="center" readingOrder="0" shrinkToFit="0" vertical="center" wrapText="0"/>
    </xf>
    <xf borderId="22" fillId="0" fontId="44" numFmtId="188" xfId="0" applyAlignment="1" applyBorder="1" applyFont="1" applyNumberFormat="1">
      <alignment horizontal="center" readingOrder="0" shrinkToFit="0" vertical="center" wrapText="0"/>
    </xf>
    <xf borderId="0" fillId="0" fontId="0" numFmtId="0" xfId="0" applyAlignment="1" applyFont="1">
      <alignment horizontal="center" readingOrder="0" shrinkToFit="0" vertical="top" wrapText="0"/>
    </xf>
    <xf borderId="32" fillId="0" fontId="106" numFmtId="0" xfId="0" applyAlignment="1" applyBorder="1" applyFont="1">
      <alignment horizontal="left" readingOrder="0" shrinkToFit="0" vertical="center" wrapText="0"/>
    </xf>
    <xf borderId="42" fillId="0" fontId="55" numFmtId="0" xfId="0" applyAlignment="1" applyBorder="1" applyFont="1">
      <alignment horizontal="center" readingOrder="0" shrinkToFit="0" vertical="center" wrapText="0"/>
    </xf>
    <xf borderId="15" fillId="0" fontId="94" numFmtId="0" xfId="0" applyAlignment="1" applyBorder="1" applyFont="1">
      <alignment horizontal="center" readingOrder="0" shrinkToFit="0" vertical="center" wrapText="0"/>
    </xf>
    <xf borderId="14" fillId="0" fontId="44" numFmtId="188" xfId="0" applyAlignment="1" applyBorder="1" applyFont="1" applyNumberFormat="1">
      <alignment horizontal="center" readingOrder="0" shrinkToFit="0" vertical="center" wrapText="0"/>
    </xf>
    <xf borderId="16" fillId="0" fontId="107" numFmtId="0" xfId="0" applyAlignment="1" applyBorder="1" applyFont="1">
      <alignment horizontal="center" readingOrder="0" shrinkToFit="0" vertical="center" wrapText="0"/>
    </xf>
    <xf borderId="32" fillId="0" fontId="44" numFmtId="188" xfId="0" applyAlignment="1" applyBorder="1" applyFont="1" applyNumberFormat="1">
      <alignment horizontal="left" readingOrder="0" shrinkToFit="0" vertical="center" wrapText="0"/>
    </xf>
    <xf borderId="32" fillId="0" fontId="44" numFmtId="49" xfId="0" applyAlignment="1" applyBorder="1" applyFont="1" applyNumberFormat="1">
      <alignment horizontal="center" shrinkToFit="0" vertical="center" wrapText="0"/>
    </xf>
    <xf borderId="42" fillId="0" fontId="44" numFmtId="167" xfId="0" applyAlignment="1" applyBorder="1" applyFont="1" applyNumberFormat="1">
      <alignment horizontal="center" readingOrder="0" shrinkToFit="0" vertical="center" wrapText="0"/>
    </xf>
    <xf borderId="13" fillId="0" fontId="44" numFmtId="49" xfId="0" applyAlignment="1" applyBorder="1" applyFont="1" applyNumberFormat="1">
      <alignment horizontal="center" shrinkToFit="0" vertical="center" wrapText="0"/>
    </xf>
    <xf borderId="15" fillId="0" fontId="55" numFmtId="0" xfId="0" applyAlignment="1" applyBorder="1" applyFont="1">
      <alignment horizontal="center" readingOrder="0" shrinkToFit="0" vertical="center" wrapText="0"/>
    </xf>
    <xf borderId="16" fillId="0" fontId="44" numFmtId="1" xfId="0" applyAlignment="1" applyBorder="1" applyFont="1" applyNumberFormat="1">
      <alignment horizontal="center" readingOrder="0" shrinkToFit="0" vertical="center" wrapText="0"/>
    </xf>
    <xf borderId="104" fillId="0" fontId="44" numFmtId="188" xfId="0" applyAlignment="1" applyBorder="1" applyFont="1" applyNumberFormat="1">
      <alignment horizontal="left" readingOrder="0" shrinkToFit="0" vertical="center" wrapText="0"/>
    </xf>
    <xf borderId="42" fillId="0" fontId="108" numFmtId="167" xfId="0" applyAlignment="1" applyBorder="1" applyFont="1" applyNumberFormat="1">
      <alignment horizontal="center" readingOrder="0" shrinkToFit="0" vertical="center" wrapText="0"/>
    </xf>
    <xf borderId="14" fillId="0" fontId="44" numFmtId="0" xfId="0" applyAlignment="1" applyBorder="1" applyFont="1">
      <alignment horizontal="center" readingOrder="0" shrinkToFit="0" vertical="center" wrapText="0"/>
    </xf>
    <xf borderId="43" fillId="0" fontId="44" numFmtId="167" xfId="0" applyAlignment="1" applyBorder="1" applyFont="1" applyNumberFormat="1">
      <alignment horizontal="center" readingOrder="0" shrinkToFit="0" vertical="center" wrapText="0"/>
    </xf>
    <xf borderId="15" fillId="0" fontId="94" numFmtId="0" xfId="0" applyAlignment="1" applyBorder="1" applyFont="1">
      <alignment horizontal="center" shrinkToFit="0" vertical="center" wrapText="0"/>
    </xf>
    <xf borderId="14" fillId="0" fontId="44" numFmtId="0" xfId="0" applyAlignment="1" applyBorder="1" applyFont="1">
      <alignment horizontal="center" shrinkToFit="0" vertical="center" wrapText="0"/>
    </xf>
    <xf borderId="42" fillId="0" fontId="44" numFmtId="0" xfId="0" applyAlignment="1" applyBorder="1" applyFont="1">
      <alignment horizontal="center" shrinkToFit="0" vertical="center" wrapText="0"/>
    </xf>
    <xf borderId="32" fillId="0" fontId="44" numFmtId="188" xfId="0" applyAlignment="1" applyBorder="1" applyFont="1" applyNumberFormat="1">
      <alignment horizontal="left" shrinkToFit="0" vertical="center" wrapText="0"/>
    </xf>
    <xf borderId="104" fillId="0" fontId="44" numFmtId="49" xfId="0" applyAlignment="1" applyBorder="1" applyFont="1" applyNumberFormat="1">
      <alignment horizontal="center" shrinkToFit="0" vertical="center" wrapText="0"/>
    </xf>
    <xf borderId="48" fillId="0" fontId="44" numFmtId="49" xfId="0" applyAlignment="1" applyBorder="1" applyFont="1" applyNumberFormat="1">
      <alignment horizontal="center" shrinkToFit="0" vertical="top" wrapText="0"/>
    </xf>
    <xf borderId="45" fillId="0" fontId="109" numFmtId="1" xfId="0" applyAlignment="1" applyBorder="1" applyFont="1" applyNumberFormat="1">
      <alignment horizontal="center" readingOrder="0" shrinkToFit="0" vertical="center" wrapText="0"/>
    </xf>
    <xf borderId="14" fillId="0" fontId="44" numFmtId="1" xfId="0" applyAlignment="1" applyBorder="1" applyFont="1" applyNumberFormat="1">
      <alignment horizontal="center" readingOrder="0" shrinkToFit="0" vertical="center" wrapText="0"/>
    </xf>
    <xf borderId="45" fillId="0" fontId="94" numFmtId="1" xfId="0" applyAlignment="1" applyBorder="1" applyFont="1" applyNumberFormat="1">
      <alignment horizontal="center" readingOrder="0" shrinkToFit="0" vertical="center" wrapText="0"/>
    </xf>
    <xf borderId="14" fillId="0" fontId="110" numFmtId="188" xfId="0" applyAlignment="1" applyBorder="1" applyFont="1" applyNumberFormat="1">
      <alignment horizontal="center" readingOrder="0" shrinkToFit="0" vertical="center" wrapText="0"/>
    </xf>
    <xf borderId="42" fillId="0" fontId="44" numFmtId="1" xfId="0" applyAlignment="1" applyBorder="1" applyFont="1" applyNumberFormat="1">
      <alignment horizontal="center" shrinkToFit="0" vertical="center" wrapText="0"/>
    </xf>
    <xf borderId="104" fillId="0" fontId="44" numFmtId="188" xfId="0" applyAlignment="1" applyBorder="1" applyFont="1" applyNumberFormat="1">
      <alignment horizontal="left" shrinkToFit="0" vertical="center" wrapText="0"/>
    </xf>
    <xf borderId="42" fillId="0" fontId="44" numFmtId="1" xfId="0" applyAlignment="1" applyBorder="1" applyFont="1" applyNumberFormat="1">
      <alignment horizontal="center" readingOrder="0" shrinkToFit="0" vertical="center" wrapText="0"/>
    </xf>
    <xf borderId="42" fillId="0" fontId="109" numFmtId="1" xfId="0" applyAlignment="1" applyBorder="1" applyFont="1" applyNumberFormat="1">
      <alignment horizontal="center" readingOrder="0" shrinkToFit="0" vertical="center" wrapText="0"/>
    </xf>
    <xf borderId="45" fillId="0" fontId="94" numFmtId="167" xfId="0" applyAlignment="1" applyBorder="1" applyFont="1" applyNumberFormat="1">
      <alignment horizontal="center" readingOrder="0" shrinkToFit="0" vertical="center" wrapText="0"/>
    </xf>
    <xf borderId="104" fillId="0" fontId="94" numFmtId="49" xfId="0" applyAlignment="1" applyBorder="1" applyFont="1" applyNumberFormat="1">
      <alignment horizontal="center" readingOrder="0" shrinkToFit="0" vertical="center" wrapText="0"/>
    </xf>
    <xf borderId="42" fillId="0" fontId="94" numFmtId="167" xfId="0" applyAlignment="1" applyBorder="1" applyFont="1" applyNumberFormat="1">
      <alignment horizontal="center" readingOrder="0" shrinkToFit="0" vertical="top" wrapText="0"/>
    </xf>
    <xf borderId="48" fillId="0" fontId="94" numFmtId="49" xfId="0" applyAlignment="1" applyBorder="1" applyFont="1" applyNumberFormat="1">
      <alignment horizontal="center" readingOrder="0" shrinkToFit="0" vertical="top" wrapText="0"/>
    </xf>
    <xf borderId="103" fillId="0" fontId="94" numFmtId="0" xfId="0" applyAlignment="1" applyBorder="1" applyFont="1">
      <alignment horizontal="center" readingOrder="0" shrinkToFit="0" vertical="center" wrapText="0"/>
    </xf>
    <xf borderId="14" fillId="0" fontId="108" numFmtId="1" xfId="0" applyAlignment="1" applyBorder="1" applyFont="1" applyNumberFormat="1">
      <alignment horizontal="center" readingOrder="0" shrinkToFit="0" vertical="center" wrapText="0"/>
    </xf>
    <xf borderId="51" fillId="0" fontId="111" numFmtId="1" xfId="0" applyAlignment="1" applyBorder="1" applyFont="1" applyNumberFormat="1">
      <alignment horizontal="center" readingOrder="0" shrinkToFit="0" vertical="center" wrapText="0"/>
    </xf>
    <xf borderId="51" fillId="0" fontId="94" numFmtId="167" xfId="0" applyAlignment="1" applyBorder="1" applyFont="1" applyNumberFormat="1">
      <alignment horizontal="center" readingOrder="0" shrinkToFit="0" vertical="top" wrapText="0"/>
    </xf>
    <xf borderId="48" fillId="0" fontId="44" numFmtId="49" xfId="0" applyAlignment="1" applyBorder="1" applyFont="1" applyNumberFormat="1">
      <alignment horizontal="center" shrinkToFit="0" vertical="center" wrapText="0"/>
    </xf>
    <xf borderId="105" fillId="0" fontId="94" numFmtId="0" xfId="0" applyAlignment="1" applyBorder="1" applyFont="1">
      <alignment horizontal="center" readingOrder="0" shrinkToFit="0" vertical="center" wrapText="0"/>
    </xf>
    <xf borderId="46" fillId="0" fontId="108" numFmtId="1" xfId="0" applyAlignment="1" applyBorder="1" applyFont="1" applyNumberFormat="1">
      <alignment horizontal="center" readingOrder="0" shrinkToFit="0" vertical="center" wrapText="0"/>
    </xf>
    <xf borderId="46" fillId="0" fontId="44" numFmtId="188" xfId="0" applyAlignment="1" applyBorder="1" applyFont="1" applyNumberFormat="1">
      <alignment horizontal="center" readingOrder="0" shrinkToFit="0" vertical="center" wrapText="0"/>
    </xf>
    <xf borderId="47" fillId="0" fontId="44" numFmtId="1" xfId="0" applyAlignment="1" applyBorder="1" applyFont="1" applyNumberFormat="1">
      <alignment horizontal="center" shrinkToFit="0" vertical="center" wrapText="0"/>
    </xf>
    <xf borderId="75" fillId="0" fontId="97" numFmtId="0" xfId="0" applyAlignment="1" applyBorder="1" applyFont="1">
      <alignment horizontal="center" readingOrder="0" shrinkToFit="0" vertical="center" wrapText="0"/>
    </xf>
    <xf borderId="106" fillId="0" fontId="97" numFmtId="0" xfId="0" applyAlignment="1" applyBorder="1" applyFont="1">
      <alignment horizontal="center" readingOrder="0" shrinkToFit="0" vertical="center" wrapText="0"/>
    </xf>
    <xf borderId="97" fillId="0" fontId="97" numFmtId="0" xfId="0" applyAlignment="1" applyBorder="1" applyFont="1">
      <alignment horizontal="center" readingOrder="0" shrinkToFit="0" vertical="center" wrapText="0"/>
    </xf>
    <xf borderId="98" fillId="0" fontId="97" numFmtId="0" xfId="0" applyAlignment="1" applyBorder="1" applyFont="1">
      <alignment horizontal="center" readingOrder="0" shrinkToFit="0" vertical="center" wrapText="0"/>
    </xf>
    <xf borderId="107" fillId="0" fontId="97" numFmtId="0" xfId="0" applyAlignment="1" applyBorder="1" applyFont="1">
      <alignment horizontal="center" readingOrder="0" shrinkToFit="0" vertical="center" wrapText="0"/>
    </xf>
    <xf borderId="97" fillId="0" fontId="71" numFmtId="0" xfId="0" applyAlignment="1" applyBorder="1" applyFont="1">
      <alignment horizontal="center" readingOrder="0" shrinkToFit="0" vertical="center" wrapText="0"/>
    </xf>
    <xf borderId="24" fillId="0" fontId="97" numFmtId="0" xfId="0" applyAlignment="1" applyBorder="1" applyFont="1">
      <alignment horizontal="center" readingOrder="0" shrinkToFit="0" vertical="center" wrapText="0"/>
    </xf>
    <xf borderId="80" fillId="0" fontId="107" numFmtId="0" xfId="0" applyAlignment="1" applyBorder="1" applyFont="1">
      <alignment horizontal="center" readingOrder="0" shrinkToFit="0" vertical="center" wrapText="0"/>
    </xf>
    <xf borderId="13" fillId="0" fontId="44" numFmtId="0" xfId="0" applyAlignment="1" applyBorder="1" applyFont="1">
      <alignment horizontal="center" readingOrder="0" shrinkToFit="0" vertical="center" wrapText="0"/>
    </xf>
    <xf borderId="13" fillId="0" fontId="112" numFmtId="0" xfId="0" applyAlignment="1" applyBorder="1" applyFont="1">
      <alignment horizontal="center" readingOrder="0"/>
    </xf>
    <xf borderId="13" fillId="0" fontId="44" numFmtId="49" xfId="0" applyAlignment="1" applyBorder="1" applyFont="1" applyNumberFormat="1">
      <alignment horizontal="center" readingOrder="0" shrinkToFit="0" vertical="center" wrapText="0"/>
    </xf>
    <xf borderId="85" fillId="0" fontId="44" numFmtId="0" xfId="0" applyAlignment="1" applyBorder="1" applyFont="1">
      <alignment horizontal="center" readingOrder="0" shrinkToFit="0" vertical="center" wrapText="0"/>
    </xf>
    <xf borderId="108" fillId="0" fontId="44" numFmtId="0" xfId="0" applyAlignment="1" applyBorder="1" applyFont="1">
      <alignment horizontal="center" readingOrder="0" shrinkToFit="0" vertical="center" wrapText="0"/>
    </xf>
    <xf borderId="80" fillId="0" fontId="44" numFmtId="0" xfId="0" applyAlignment="1" applyBorder="1" applyFont="1">
      <alignment horizontal="center" readingOrder="0" shrinkToFit="0" vertical="center" wrapText="0"/>
    </xf>
    <xf borderId="108" fillId="0" fontId="44" numFmtId="0" xfId="0" applyAlignment="1" applyBorder="1" applyFont="1">
      <alignment horizontal="center" shrinkToFit="0" vertical="center" wrapText="0"/>
    </xf>
    <xf borderId="13" fillId="0" fontId="44" numFmtId="0" xfId="0" applyAlignment="1" applyBorder="1" applyFont="1">
      <alignment horizontal="center" shrinkToFit="0" vertical="center" wrapText="0"/>
    </xf>
    <xf borderId="13" fillId="0" fontId="44" numFmtId="49" xfId="0" applyAlignment="1" applyBorder="1" applyFont="1" applyNumberFormat="1">
      <alignment horizontal="center" readingOrder="0" shrinkToFit="0" vertical="center" wrapText="0"/>
    </xf>
    <xf borderId="109" fillId="0" fontId="44" numFmtId="0" xfId="0" applyAlignment="1" applyBorder="1" applyFont="1">
      <alignment horizontal="center" readingOrder="0" shrinkToFit="0" vertical="center" wrapText="0"/>
    </xf>
    <xf borderId="48" fillId="0" fontId="44" numFmtId="0" xfId="0" applyAlignment="1" applyBorder="1" applyFont="1">
      <alignment horizontal="center" readingOrder="0" shrinkToFit="0" vertical="center" wrapText="0"/>
    </xf>
    <xf borderId="48" fillId="0" fontId="44" numFmtId="49" xfId="0" applyAlignment="1" applyBorder="1" applyFont="1" applyNumberFormat="1">
      <alignment horizontal="center" readingOrder="0" shrinkToFit="0" vertical="center" wrapText="0"/>
    </xf>
    <xf borderId="110" fillId="0" fontId="44" numFmtId="0" xfId="0" applyAlignment="1" applyBorder="1" applyFont="1">
      <alignment horizontal="center" readingOrder="0" shrinkToFit="0" vertical="center" wrapText="0"/>
    </xf>
    <xf borderId="48" fillId="0" fontId="44" numFmtId="49" xfId="0" applyAlignment="1" applyBorder="1" applyFont="1" applyNumberFormat="1">
      <alignment horizontal="center" readingOrder="0" shrinkToFit="0" vertical="center" wrapText="0"/>
    </xf>
    <xf borderId="109" fillId="0" fontId="44" numFmtId="0" xfId="0" applyAlignment="1" applyBorder="1" applyFont="1">
      <alignment horizontal="center" shrinkToFit="0" vertical="center" wrapText="0"/>
    </xf>
    <xf borderId="48" fillId="0" fontId="44" numFmtId="0" xfId="0" applyAlignment="1" applyBorder="1" applyFont="1">
      <alignment horizontal="center" shrinkToFit="0" vertical="center" wrapText="0"/>
    </xf>
    <xf borderId="25" fillId="0" fontId="44" numFmtId="0" xfId="0" applyAlignment="1" applyBorder="1" applyFont="1">
      <alignment horizontal="center" readingOrder="0" shrinkToFit="0" vertical="center" wrapText="0"/>
    </xf>
    <xf borderId="111" fillId="0" fontId="44" numFmtId="0" xfId="0" applyAlignment="1" applyBorder="1" applyFont="1">
      <alignment horizontal="center" shrinkToFit="0" vertical="center" wrapText="0"/>
    </xf>
    <xf borderId="26" fillId="0" fontId="44" numFmtId="0" xfId="0" applyAlignment="1" applyBorder="1" applyFont="1">
      <alignment horizontal="center" shrinkToFit="0" vertical="center" wrapText="0"/>
    </xf>
    <xf borderId="93" fillId="0" fontId="44" numFmtId="0" xfId="0" applyAlignment="1" applyBorder="1" applyFont="1">
      <alignment horizontal="center" shrinkToFit="0" vertical="center" wrapText="0"/>
    </xf>
    <xf borderId="25" fillId="0" fontId="44" numFmtId="0" xfId="0" applyAlignment="1" applyBorder="1" applyFont="1">
      <alignment horizontal="center" shrinkToFit="0" vertical="center" wrapText="0"/>
    </xf>
    <xf borderId="75" fillId="0" fontId="97" numFmtId="1" xfId="0" applyAlignment="1" applyBorder="1" applyFont="1" applyNumberFormat="1">
      <alignment horizontal="center" readingOrder="0" shrinkToFit="0" vertical="center" wrapText="0"/>
    </xf>
    <xf borderId="112" fillId="0" fontId="97" numFmtId="0" xfId="0" applyAlignment="1" applyBorder="1" applyFont="1">
      <alignment horizontal="center" readingOrder="0" shrinkToFit="0" vertical="center" wrapText="0"/>
    </xf>
    <xf borderId="113" fillId="0" fontId="97" numFmtId="0" xfId="0" applyAlignment="1" applyBorder="1" applyFont="1">
      <alignment horizontal="center" readingOrder="0" shrinkToFit="0" vertical="center" wrapText="0"/>
    </xf>
    <xf borderId="82" fillId="0" fontId="97" numFmtId="0" xfId="0" applyAlignment="1" applyBorder="1" applyFont="1">
      <alignment horizontal="center" readingOrder="0" shrinkToFit="0" vertical="center" wrapText="0"/>
    </xf>
    <xf borderId="114" fillId="0" fontId="97" numFmtId="0" xfId="0" applyAlignment="1" applyBorder="1" applyFont="1">
      <alignment horizontal="center" shrinkToFit="0" vertical="center" wrapText="0"/>
    </xf>
    <xf borderId="115" fillId="0" fontId="97" numFmtId="0" xfId="0" applyAlignment="1" applyBorder="1" applyFont="1">
      <alignment horizontal="center" readingOrder="0" shrinkToFit="0" vertical="center" wrapText="0"/>
    </xf>
    <xf borderId="113" fillId="0" fontId="71" numFmtId="0" xfId="0" applyAlignment="1" applyBorder="1" applyFont="1">
      <alignment horizontal="center" readingOrder="0" shrinkToFit="0" vertical="center" wrapText="0"/>
    </xf>
    <xf borderId="77" fillId="0" fontId="97" numFmtId="0" xfId="0" applyAlignment="1" applyBorder="1" applyFont="1">
      <alignment horizontal="center" shrinkToFit="0" vertical="center" wrapText="0"/>
    </xf>
    <xf borderId="35" fillId="0" fontId="44" numFmtId="0" xfId="0" applyAlignment="1" applyBorder="1" applyFont="1">
      <alignment horizontal="center" readingOrder="0" shrinkToFit="0" vertical="center" wrapText="0"/>
    </xf>
    <xf borderId="49" fillId="0" fontId="44" numFmtId="0" xfId="0" applyAlignment="1" applyBorder="1" applyFont="1">
      <alignment horizontal="center" readingOrder="0" shrinkToFit="0" vertical="center" wrapText="0"/>
    </xf>
    <xf borderId="116" fillId="0" fontId="44" numFmtId="0" xfId="0" applyAlignment="1" applyBorder="1" applyFont="1">
      <alignment horizontal="center" shrinkToFit="0" vertical="center" wrapText="0"/>
    </xf>
    <xf borderId="117" fillId="0" fontId="44" numFmtId="0" xfId="0" applyAlignment="1" applyBorder="1" applyFont="1">
      <alignment horizontal="center" shrinkToFit="0" vertical="center" wrapText="0"/>
    </xf>
    <xf borderId="49" fillId="0" fontId="44" numFmtId="0" xfId="0" applyAlignment="1" applyBorder="1" applyFont="1">
      <alignment horizontal="center" shrinkToFit="0" vertical="center" wrapText="0"/>
    </xf>
    <xf borderId="22" fillId="0" fontId="44" numFmtId="0" xfId="0" applyAlignment="1" applyBorder="1" applyFont="1">
      <alignment horizontal="center" shrinkToFit="0" vertical="center" wrapText="0"/>
    </xf>
    <xf borderId="23" fillId="0" fontId="44" numFmtId="0" xfId="0" applyAlignment="1" applyBorder="1" applyFont="1">
      <alignment horizontal="center" shrinkToFit="0" vertical="center" wrapText="0"/>
    </xf>
    <xf borderId="118" fillId="0" fontId="44" numFmtId="0" xfId="0" applyAlignment="1" applyBorder="1" applyFont="1">
      <alignment horizontal="center" shrinkToFit="0" vertical="center" wrapText="0"/>
    </xf>
    <xf borderId="110" fillId="0" fontId="44" numFmtId="0" xfId="0" applyAlignment="1" applyBorder="1" applyFont="1">
      <alignment horizontal="center" shrinkToFit="0" vertical="center" wrapText="0"/>
    </xf>
    <xf borderId="38" fillId="0" fontId="44" numFmtId="0" xfId="0" applyAlignment="1" applyBorder="1" applyFont="1">
      <alignment horizontal="center" shrinkToFit="0" vertical="center" wrapText="0"/>
    </xf>
    <xf borderId="119" fillId="0" fontId="44" numFmtId="0" xfId="0" applyAlignment="1" applyBorder="1" applyFont="1">
      <alignment horizontal="center" shrinkToFit="0" vertical="center" wrapText="0"/>
    </xf>
    <xf borderId="120" fillId="0" fontId="44" numFmtId="0" xfId="0" applyAlignment="1" applyBorder="1" applyFont="1">
      <alignment horizontal="center" shrinkToFit="0" vertical="center" wrapText="0"/>
    </xf>
    <xf borderId="121" fillId="0" fontId="44" numFmtId="0" xfId="0" applyAlignment="1" applyBorder="1" applyFont="1">
      <alignment horizontal="center" shrinkToFit="0" vertical="center" wrapText="0"/>
    </xf>
    <xf borderId="122" fillId="0" fontId="44" numFmtId="0" xfId="0" applyAlignment="1" applyBorder="1" applyFont="1">
      <alignment horizontal="center" shrinkToFit="0" vertical="center" wrapText="0"/>
    </xf>
    <xf borderId="27" fillId="0" fontId="44" numFmtId="0" xfId="0" applyAlignment="1" applyBorder="1" applyFont="1">
      <alignment horizontal="center" shrinkToFit="0" vertical="center" wrapText="0"/>
    </xf>
    <xf borderId="0" fillId="0" fontId="113" numFmtId="0" xfId="0" applyAlignment="1" applyFont="1">
      <alignment shrinkToFit="0" vertical="top" wrapText="0"/>
    </xf>
    <xf borderId="0" fillId="0" fontId="113" numFmtId="0" xfId="0" applyAlignment="1" applyFont="1">
      <alignment horizontal="center" shrinkToFit="0" vertical="top" wrapText="0"/>
    </xf>
    <xf borderId="21" fillId="0" fontId="94" numFmtId="0" xfId="0" applyAlignment="1" applyBorder="1" applyFont="1">
      <alignment readingOrder="0" vertical="top"/>
    </xf>
    <xf borderId="21" fillId="3" fontId="55" numFmtId="0" xfId="0" applyAlignment="1" applyBorder="1" applyFont="1">
      <alignment readingOrder="0" vertical="top"/>
    </xf>
    <xf borderId="21" fillId="0" fontId="94" numFmtId="0" xfId="0" applyAlignment="1" applyBorder="1" applyFont="1">
      <alignment horizontal="right" readingOrder="0" vertical="top"/>
    </xf>
    <xf borderId="24" fillId="0" fontId="44" numFmtId="0" xfId="0" applyAlignment="1" applyBorder="1" applyFont="1">
      <alignment horizontal="center" readingOrder="0" vertical="top"/>
    </xf>
    <xf borderId="24" fillId="0" fontId="44" numFmtId="190" xfId="0" applyAlignment="1" applyBorder="1" applyFont="1" applyNumberFormat="1">
      <alignment horizontal="center" readingOrder="0" vertical="top"/>
    </xf>
    <xf borderId="37" fillId="0" fontId="44" numFmtId="0" xfId="0" applyAlignment="1" applyBorder="1" applyFont="1">
      <alignment horizontal="center" vertical="top"/>
    </xf>
    <xf borderId="24" fillId="0" fontId="94" numFmtId="0" xfId="0" applyAlignment="1" applyBorder="1" applyFont="1">
      <alignment horizontal="right" readingOrder="0" vertical="top"/>
    </xf>
    <xf borderId="75" fillId="3" fontId="55" numFmtId="0" xfId="0" applyAlignment="1" applyBorder="1" applyFont="1">
      <alignment readingOrder="0" vertical="top"/>
    </xf>
    <xf borderId="123" fillId="0" fontId="94" numFmtId="0" xfId="0" applyAlignment="1" applyBorder="1" applyFont="1">
      <alignment readingOrder="0" vertical="top"/>
    </xf>
    <xf borderId="84" fillId="0" fontId="94" numFmtId="0" xfId="0" applyAlignment="1" applyBorder="1" applyFont="1">
      <alignment readingOrder="0" vertical="top"/>
    </xf>
    <xf borderId="84" fillId="3" fontId="55" numFmtId="0" xfId="0" applyAlignment="1" applyBorder="1" applyFont="1">
      <alignment readingOrder="0" vertical="top"/>
    </xf>
    <xf borderId="124" fillId="0" fontId="94" numFmtId="0" xfId="0" applyAlignment="1" applyBorder="1" applyFont="1">
      <alignment vertical="top"/>
    </xf>
    <xf borderId="80" fillId="0" fontId="44" numFmtId="0" xfId="0" applyAlignment="1" applyBorder="1" applyFont="1">
      <alignment readingOrder="0" vertical="top"/>
    </xf>
    <xf borderId="13" fillId="0" fontId="44" numFmtId="0" xfId="0" applyAlignment="1" applyBorder="1" applyFont="1">
      <alignment vertical="top"/>
    </xf>
    <xf borderId="32" fillId="0" fontId="44" numFmtId="0" xfId="0" applyAlignment="1" applyBorder="1" applyFont="1">
      <alignment vertical="top"/>
    </xf>
    <xf borderId="13" fillId="0" fontId="44" numFmtId="0" xfId="0" applyAlignment="1" applyBorder="1" applyFont="1">
      <alignment readingOrder="0" vertical="top"/>
    </xf>
    <xf borderId="13" fillId="3" fontId="0" numFmtId="0" xfId="0" applyAlignment="1" applyBorder="1" applyFont="1">
      <alignment readingOrder="0" vertical="top"/>
    </xf>
    <xf borderId="109" fillId="0" fontId="44" numFmtId="0" xfId="0" applyAlignment="1" applyBorder="1" applyFont="1">
      <alignment readingOrder="0" vertical="top"/>
    </xf>
    <xf borderId="48" fillId="0" fontId="44" numFmtId="0" xfId="0" applyAlignment="1" applyBorder="1" applyFont="1">
      <alignment vertical="top"/>
    </xf>
    <xf borderId="104" fillId="0" fontId="44" numFmtId="0" xfId="0" applyAlignment="1" applyBorder="1" applyFont="1">
      <alignment vertical="top"/>
    </xf>
    <xf borderId="119" fillId="0" fontId="44" numFmtId="0" xfId="0" applyAlignment="1" applyBorder="1" applyFont="1">
      <alignment readingOrder="0" vertical="top"/>
    </xf>
    <xf borderId="120" fillId="0" fontId="44" numFmtId="0" xfId="0" applyAlignment="1" applyBorder="1" applyFont="1">
      <alignment vertical="top"/>
    </xf>
    <xf borderId="125" fillId="0" fontId="44" numFmtId="0" xfId="0" applyAlignment="1" applyBorder="1" applyFont="1">
      <alignment vertical="top"/>
    </xf>
    <xf borderId="21" fillId="0" fontId="44" numFmtId="0" xfId="0" applyAlignment="1" applyBorder="1" applyFont="1">
      <alignment readingOrder="0" vertical="top"/>
    </xf>
    <xf borderId="28" fillId="0" fontId="44" numFmtId="0" xfId="0" applyAlignment="1" applyBorder="1" applyFont="1">
      <alignment readingOrder="0" vertical="top"/>
    </xf>
    <xf borderId="30" fillId="0" fontId="44" numFmtId="0" xfId="0" applyAlignment="1" applyBorder="1" applyFont="1">
      <alignment vertical="top"/>
    </xf>
    <xf borderId="24" fillId="0" fontId="44" numFmtId="0" xfId="0" applyAlignment="1" applyBorder="1" applyFont="1">
      <alignment readingOrder="0" vertical="top"/>
    </xf>
    <xf borderId="36" fillId="0" fontId="44" numFmtId="0" xfId="0" applyAlignment="1" applyBorder="1" applyFont="1">
      <alignment vertical="top"/>
    </xf>
    <xf borderId="37" fillId="0" fontId="44" numFmtId="0" xfId="0" applyAlignment="1" applyBorder="1" applyFont="1">
      <alignment vertical="top"/>
    </xf>
    <xf borderId="75" fillId="0" fontId="44" numFmtId="0" xfId="0" applyAlignment="1" applyBorder="1" applyFont="1">
      <alignment readingOrder="0" vertical="top"/>
    </xf>
    <xf borderId="76" fillId="0" fontId="44" numFmtId="0" xfId="0" applyAlignment="1" applyBorder="1" applyFont="1">
      <alignment vertical="top"/>
    </xf>
    <xf borderId="76" fillId="3" fontId="114" numFmtId="0" xfId="0" applyAlignment="1" applyBorder="1" applyFont="1">
      <alignment horizontal="right" readingOrder="0"/>
    </xf>
    <xf borderId="39" fillId="0" fontId="2" numFmtId="0" xfId="0" applyAlignment="1" applyBorder="1" applyFont="1">
      <alignment readingOrder="0" vertical="top"/>
    </xf>
    <xf borderId="85" fillId="0" fontId="2" numFmtId="0" xfId="0" applyAlignment="1" applyBorder="1" applyFont="1">
      <alignment readingOrder="0" vertical="top"/>
    </xf>
    <xf borderId="84" fillId="0" fontId="4" numFmtId="0" xfId="0" applyBorder="1" applyFont="1"/>
    <xf borderId="85" fillId="0" fontId="2" numFmtId="0" xfId="0" applyAlignment="1" applyBorder="1" applyFont="1">
      <alignment horizontal="right" readingOrder="0"/>
    </xf>
    <xf borderId="119" fillId="5" fontId="8" numFmtId="0" xfId="0" applyAlignment="1" applyBorder="1" applyFont="1">
      <alignment readingOrder="0"/>
    </xf>
    <xf borderId="120" fillId="5" fontId="8" numFmtId="0" xfId="0" applyAlignment="1" applyBorder="1" applyFont="1">
      <alignment readingOrder="0"/>
    </xf>
    <xf borderId="120" fillId="5" fontId="115" numFmtId="0" xfId="0" applyAlignment="1" applyBorder="1" applyFont="1">
      <alignment horizontal="center" readingOrder="0" shrinkToFit="0" wrapText="1"/>
    </xf>
    <xf borderId="120" fillId="5" fontId="8" numFmtId="0" xfId="0" applyAlignment="1" applyBorder="1" applyFont="1">
      <alignment horizontal="center" readingOrder="0"/>
    </xf>
    <xf borderId="125" fillId="5" fontId="8" numFmtId="0" xfId="0" applyAlignment="1" applyBorder="1" applyFont="1">
      <alignment readingOrder="0"/>
    </xf>
    <xf borderId="123" fillId="0" fontId="4" numFmtId="0" xfId="0" applyAlignment="1" applyBorder="1" applyFont="1">
      <alignment readingOrder="0"/>
    </xf>
    <xf borderId="84" fillId="0" fontId="4" numFmtId="0" xfId="0" applyAlignment="1" applyBorder="1" applyFont="1">
      <alignment readingOrder="0" shrinkToFit="0" wrapText="1"/>
    </xf>
    <xf borderId="84" fillId="0" fontId="4" numFmtId="0" xfId="0" applyAlignment="1" applyBorder="1" applyFont="1">
      <alignment horizontal="center" readingOrder="0" shrinkToFit="0" wrapText="1"/>
    </xf>
    <xf borderId="84" fillId="0" fontId="4" numFmtId="180" xfId="0" applyAlignment="1" applyBorder="1" applyFont="1" applyNumberFormat="1">
      <alignment horizontal="center" readingOrder="0" shrinkToFit="0" wrapText="1"/>
    </xf>
    <xf borderId="84" fillId="0" fontId="4" numFmtId="166" xfId="0" applyAlignment="1" applyBorder="1" applyFont="1" applyNumberFormat="1">
      <alignment horizontal="center" readingOrder="0" shrinkToFit="0" wrapText="1"/>
    </xf>
    <xf borderId="124" fillId="0" fontId="4" numFmtId="166" xfId="0" applyAlignment="1" applyBorder="1" applyFont="1" applyNumberFormat="1">
      <alignment horizontal="center" readingOrder="0" shrinkToFit="0" wrapText="1"/>
    </xf>
    <xf borderId="80" fillId="0" fontId="4" numFmtId="0" xfId="0" applyBorder="1" applyFont="1"/>
    <xf borderId="13" fillId="0" fontId="4" numFmtId="0" xfId="0" applyAlignment="1" applyBorder="1" applyFont="1">
      <alignment readingOrder="0" shrinkToFit="0" wrapText="1"/>
    </xf>
    <xf borderId="13" fillId="0" fontId="4" numFmtId="0" xfId="0" applyAlignment="1" applyBorder="1" applyFont="1">
      <alignment horizontal="center" readingOrder="0" shrinkToFit="0" wrapText="1"/>
    </xf>
    <xf borderId="13" fillId="0" fontId="4" numFmtId="180" xfId="0" applyAlignment="1" applyBorder="1" applyFont="1" applyNumberFormat="1">
      <alignment horizontal="center" readingOrder="0" shrinkToFit="0" wrapText="1"/>
    </xf>
    <xf borderId="13" fillId="0" fontId="4" numFmtId="166" xfId="0" applyAlignment="1" applyBorder="1" applyFont="1" applyNumberFormat="1">
      <alignment horizontal="center" readingOrder="0" shrinkToFit="0" wrapText="1"/>
    </xf>
    <xf borderId="32" fillId="0" fontId="4" numFmtId="191" xfId="0" applyAlignment="1" applyBorder="1" applyFont="1" applyNumberFormat="1">
      <alignment horizontal="center" readingOrder="0" shrinkToFit="0" wrapText="1"/>
    </xf>
    <xf borderId="13" fillId="3" fontId="4" numFmtId="0" xfId="0" applyAlignment="1" applyBorder="1" applyFont="1">
      <alignment readingOrder="0" shrinkToFit="0" wrapText="1"/>
    </xf>
    <xf borderId="13" fillId="3" fontId="4" numFmtId="166" xfId="0" applyAlignment="1" applyBorder="1" applyFont="1" applyNumberFormat="1">
      <alignment horizontal="center" readingOrder="0" shrinkToFit="0" wrapText="1"/>
    </xf>
    <xf borderId="32" fillId="0" fontId="4" numFmtId="166" xfId="0" applyAlignment="1" applyBorder="1" applyFont="1" applyNumberFormat="1">
      <alignment horizontal="center" readingOrder="0" shrinkToFit="0" wrapText="1"/>
    </xf>
    <xf borderId="13" fillId="0" fontId="4" numFmtId="9" xfId="0" applyAlignment="1" applyBorder="1" applyFont="1" applyNumberFormat="1">
      <alignment readingOrder="0" shrinkToFit="0" wrapText="1"/>
    </xf>
    <xf borderId="32" fillId="0" fontId="4" numFmtId="0" xfId="0" applyAlignment="1" applyBorder="1" applyFont="1">
      <alignment horizontal="center" shrinkToFit="0" wrapText="1"/>
    </xf>
    <xf borderId="13" fillId="0" fontId="4" numFmtId="191" xfId="0" applyAlignment="1" applyBorder="1" applyFont="1" applyNumberFormat="1">
      <alignment horizontal="center" readingOrder="0" shrinkToFit="0" wrapText="1"/>
    </xf>
    <xf borderId="13" fillId="0" fontId="4" numFmtId="0" xfId="0" applyAlignment="1" applyBorder="1" applyFont="1">
      <alignment horizontal="center" shrinkToFit="0" wrapText="1"/>
    </xf>
    <xf borderId="13" fillId="0" fontId="4" numFmtId="0" xfId="0" applyAlignment="1" applyBorder="1" applyFont="1">
      <alignment shrinkToFit="0" wrapText="1"/>
    </xf>
    <xf borderId="119" fillId="0" fontId="4" numFmtId="0" xfId="0" applyBorder="1" applyFont="1"/>
    <xf borderId="120" fillId="0" fontId="4" numFmtId="0" xfId="0" applyAlignment="1" applyBorder="1" applyFont="1">
      <alignment shrinkToFit="0" wrapText="1"/>
    </xf>
    <xf borderId="120" fillId="0" fontId="4" numFmtId="0" xfId="0" applyAlignment="1" applyBorder="1" applyFont="1">
      <alignment horizontal="center" shrinkToFit="0" wrapText="1"/>
    </xf>
    <xf borderId="125" fillId="0" fontId="4" numFmtId="0" xfId="0" applyAlignment="1" applyBorder="1" applyFont="1">
      <alignment horizontal="center" shrinkToFit="0" wrapText="1"/>
    </xf>
    <xf borderId="75" fillId="0" fontId="57" numFmtId="0" xfId="0" applyAlignment="1" applyBorder="1" applyFont="1">
      <alignment readingOrder="0"/>
    </xf>
    <xf borderId="76" fillId="0" fontId="19" numFmtId="0" xfId="0" applyAlignment="1" applyBorder="1" applyFont="1">
      <alignment horizontal="right" readingOrder="0" shrinkToFit="0" wrapText="1"/>
    </xf>
    <xf borderId="14" fillId="0" fontId="94" numFmtId="0" xfId="0" applyAlignment="1" applyBorder="1" applyFont="1">
      <alignment horizontal="center" readingOrder="0"/>
    </xf>
    <xf borderId="13" fillId="0" fontId="94" numFmtId="0" xfId="0" applyAlignment="1" applyBorder="1" applyFont="1">
      <alignment horizontal="right" readingOrder="0"/>
    </xf>
    <xf borderId="13" fillId="0" fontId="94" numFmtId="167" xfId="0" applyAlignment="1" applyBorder="1" applyFont="1" applyNumberFormat="1">
      <alignment horizontal="left" readingOrder="0"/>
    </xf>
    <xf borderId="14" fillId="0" fontId="94" numFmtId="0" xfId="0" applyAlignment="1" applyBorder="1" applyFont="1">
      <alignment horizontal="center"/>
    </xf>
    <xf borderId="13" fillId="0" fontId="116" numFmtId="0" xfId="0" applyAlignment="1" applyBorder="1" applyFont="1">
      <alignment horizontal="center" readingOrder="0"/>
    </xf>
    <xf borderId="46" fillId="0" fontId="55" numFmtId="0" xfId="0" applyAlignment="1" applyBorder="1" applyFont="1">
      <alignment horizontal="left" shrinkToFit="0" wrapText="1"/>
    </xf>
    <xf borderId="47" fillId="0" fontId="55" numFmtId="0" xfId="0" applyAlignment="1" applyBorder="1" applyFont="1">
      <alignment horizontal="left" shrinkToFit="0" wrapText="1"/>
    </xf>
    <xf borderId="47" fillId="0" fontId="0" numFmtId="0" xfId="0" applyAlignment="1" applyBorder="1" applyFont="1">
      <alignment horizontal="left" shrinkToFit="0" wrapText="1"/>
    </xf>
    <xf borderId="78" fillId="0" fontId="0" numFmtId="182" xfId="0" applyAlignment="1" applyBorder="1" applyFont="1" applyNumberFormat="1">
      <alignment horizontal="center" shrinkToFit="0" wrapText="1"/>
    </xf>
    <xf borderId="47" fillId="0" fontId="0" numFmtId="0" xfId="0" applyAlignment="1" applyBorder="1" applyFont="1">
      <alignment shrinkToFit="0" wrapText="1"/>
    </xf>
    <xf borderId="79" fillId="0" fontId="0" numFmtId="182" xfId="0" applyAlignment="1" applyBorder="1" applyFont="1" applyNumberFormat="1">
      <alignment horizontal="center" shrinkToFit="0" wrapText="1"/>
    </xf>
    <xf borderId="48" fillId="0" fontId="0" numFmtId="0" xfId="0" applyAlignment="1" applyBorder="1" applyFont="1">
      <alignment horizontal="center" readingOrder="0" shrinkToFit="0" wrapText="1"/>
    </xf>
    <xf borderId="22" fillId="0" fontId="55" numFmtId="0" xfId="0" applyAlignment="1" applyBorder="1" applyFont="1">
      <alignment horizontal="center" shrinkToFit="0" wrapText="1"/>
    </xf>
    <xf borderId="18" fillId="0" fontId="16" numFmtId="0" xfId="0" applyBorder="1" applyFont="1"/>
    <xf borderId="18" fillId="0" fontId="0" numFmtId="0" xfId="0" applyAlignment="1" applyBorder="1" applyFont="1">
      <alignment horizontal="left" shrinkToFit="0" wrapText="1"/>
    </xf>
    <xf borderId="18" fillId="0" fontId="0" numFmtId="192" xfId="0" applyAlignment="1" applyBorder="1" applyFont="1" applyNumberFormat="1">
      <alignment horizontal="center" shrinkToFit="0" wrapText="1"/>
    </xf>
    <xf borderId="18" fillId="0" fontId="0" numFmtId="0" xfId="0" applyAlignment="1" applyBorder="1" applyFont="1">
      <alignment shrinkToFit="0" wrapText="1"/>
    </xf>
    <xf borderId="19" fillId="0" fontId="0" numFmtId="182" xfId="0" applyAlignment="1" applyBorder="1" applyFont="1" applyNumberFormat="1">
      <alignment horizontal="center" shrinkToFit="0" wrapText="1"/>
    </xf>
    <xf borderId="17" fillId="3" fontId="0" numFmtId="193" xfId="0" applyAlignment="1" applyBorder="1" applyFont="1" applyNumberFormat="1">
      <alignment horizontal="center" readingOrder="0"/>
    </xf>
    <xf borderId="20" fillId="0" fontId="117" numFmtId="0" xfId="0" applyAlignment="1" applyBorder="1" applyFont="1">
      <alignment readingOrder="0" shrinkToFit="0" vertical="top" wrapText="1"/>
    </xf>
    <xf borderId="14" fillId="0" fontId="48" numFmtId="0" xfId="0" applyAlignment="1" applyBorder="1" applyFont="1">
      <alignment readingOrder="0"/>
    </xf>
    <xf borderId="16" fillId="0" fontId="118" numFmtId="0" xfId="0" applyAlignment="1" applyBorder="1" applyFont="1">
      <alignment horizontal="center" shrinkToFit="0" wrapText="1"/>
    </xf>
    <xf borderId="14" fillId="0" fontId="118" numFmtId="0" xfId="0" applyAlignment="1" applyBorder="1" applyFont="1">
      <alignment horizontal="center" shrinkToFit="0" wrapText="1"/>
    </xf>
    <xf borderId="16" fillId="0" fontId="118" numFmtId="182" xfId="0" applyAlignment="1" applyBorder="1" applyFont="1" applyNumberFormat="1">
      <alignment horizontal="center" readingOrder="0" shrinkToFit="0" wrapText="1"/>
    </xf>
    <xf borderId="15" fillId="0" fontId="90" numFmtId="182" xfId="0" applyAlignment="1" applyBorder="1" applyFont="1" applyNumberFormat="1">
      <alignment vertical="bottom"/>
    </xf>
    <xf borderId="14" fillId="0" fontId="90" numFmtId="0" xfId="0" applyAlignment="1" applyBorder="1" applyFont="1">
      <alignment vertical="bottom"/>
    </xf>
    <xf borderId="16" fillId="0" fontId="90" numFmtId="0" xfId="0" applyAlignment="1" applyBorder="1" applyFont="1">
      <alignment vertical="bottom"/>
    </xf>
    <xf borderId="0" fillId="0" fontId="2" numFmtId="0" xfId="0" applyAlignment="1" applyFont="1">
      <alignment horizontal="center" readingOrder="0"/>
    </xf>
    <xf borderId="14" fillId="0" fontId="8" numFmtId="0" xfId="0" applyBorder="1" applyFont="1"/>
    <xf borderId="13" fillId="0" fontId="119" numFmtId="0" xfId="0" applyAlignment="1" applyBorder="1" applyFont="1">
      <alignment readingOrder="0"/>
    </xf>
    <xf borderId="15" fillId="0" fontId="120" numFmtId="0" xfId="0" applyAlignment="1" applyBorder="1" applyFont="1">
      <alignment horizontal="right" readingOrder="0"/>
    </xf>
    <xf borderId="14" fillId="0" fontId="1" numFmtId="0" xfId="0" applyAlignment="1" applyBorder="1" applyFont="1">
      <alignment horizontal="center" readingOrder="0" vertical="center"/>
    </xf>
    <xf borderId="46" fillId="0" fontId="55" numFmtId="0" xfId="0" applyAlignment="1" applyBorder="1" applyFont="1">
      <alignment horizontal="left" readingOrder="0" shrinkToFit="0" wrapText="1"/>
    </xf>
    <xf borderId="22" fillId="0" fontId="0" numFmtId="0" xfId="0" applyAlignment="1" applyBorder="1" applyFont="1">
      <alignment horizontal="center" shrinkToFit="0" wrapText="1"/>
    </xf>
    <xf borderId="22" fillId="0" fontId="0" numFmtId="0" xfId="0" applyAlignment="1" applyBorder="1" applyFont="1">
      <alignment horizontal="left" shrinkToFit="0" wrapText="1"/>
    </xf>
    <xf borderId="14" fillId="0" fontId="55" numFmtId="0" xfId="0" applyAlignment="1" applyBorder="1" applyFont="1">
      <alignment horizontal="left" readingOrder="0" shrinkToFit="0" wrapText="1"/>
    </xf>
    <xf borderId="16" fillId="0" fontId="0" numFmtId="0" xfId="0" applyAlignment="1" applyBorder="1" applyFont="1">
      <alignment horizontal="center" readingOrder="0" shrinkToFit="0" wrapText="1"/>
    </xf>
    <xf borderId="14" fillId="0" fontId="0" numFmtId="0" xfId="0" applyAlignment="1" applyBorder="1" applyFont="1">
      <alignment horizontal="left" readingOrder="0" shrinkToFit="0" wrapText="1"/>
    </xf>
    <xf borderId="14" fillId="0" fontId="0" numFmtId="0" xfId="0" applyAlignment="1" applyBorder="1" applyFont="1">
      <alignment horizontal="left" readingOrder="0" shrinkToFit="0" vertical="top" wrapText="1"/>
    </xf>
    <xf borderId="18" fillId="3" fontId="121" numFmtId="0" xfId="0" applyAlignment="1" applyBorder="1" applyFont="1">
      <alignment readingOrder="0"/>
    </xf>
    <xf borderId="15" fillId="0" fontId="122" numFmtId="0" xfId="0" applyAlignment="1" applyBorder="1" applyFont="1">
      <alignment horizontal="right" readingOrder="0" shrinkToFit="0" vertical="bottom" wrapText="1"/>
    </xf>
    <xf borderId="21" fillId="0" fontId="123" numFmtId="0" xfId="0" applyAlignment="1" applyBorder="1" applyFont="1">
      <alignment horizontal="center" readingOrder="0" shrinkToFit="0" vertical="center" wrapText="1"/>
    </xf>
    <xf borderId="29" fillId="0" fontId="124" numFmtId="0" xfId="0" applyAlignment="1" applyBorder="1" applyFont="1">
      <alignment shrinkToFit="0" vertical="center" wrapText="1"/>
    </xf>
    <xf borderId="20" fillId="0" fontId="123" numFmtId="0" xfId="0" applyAlignment="1" applyBorder="1" applyFont="1">
      <alignment horizontal="center" shrinkToFit="0" vertical="center" wrapText="1"/>
    </xf>
    <xf borderId="20" fillId="0" fontId="96" numFmtId="14" xfId="0" applyAlignment="1" applyBorder="1" applyFont="1" applyNumberFormat="1">
      <alignment horizontal="center" shrinkToFit="0" vertical="center" wrapText="1"/>
    </xf>
    <xf borderId="20" fillId="0" fontId="96" numFmtId="0" xfId="0" applyAlignment="1" applyBorder="1" applyFont="1">
      <alignment horizontal="right" readingOrder="0" shrinkToFit="0" vertical="center" wrapText="1"/>
    </xf>
    <xf borderId="0" fillId="0" fontId="96" numFmtId="14" xfId="0" applyAlignment="1" applyFont="1" applyNumberFormat="1">
      <alignment horizontal="center" shrinkToFit="0" vertical="center" wrapText="1"/>
    </xf>
    <xf borderId="0" fillId="0" fontId="96" numFmtId="0" xfId="0" applyAlignment="1" applyFont="1">
      <alignment horizontal="right" readingOrder="0" shrinkToFit="0" vertical="center" wrapText="1"/>
    </xf>
    <xf borderId="34" fillId="0" fontId="96" numFmtId="166" xfId="0" applyAlignment="1" applyBorder="1" applyFont="1" applyNumberFormat="1">
      <alignment horizontal="center" shrinkToFit="0" vertical="center" wrapText="1"/>
    </xf>
    <xf borderId="20" fillId="0" fontId="124" numFmtId="0" xfId="0" applyAlignment="1" applyBorder="1" applyFont="1">
      <alignment shrinkToFit="0" vertical="center" wrapText="1"/>
    </xf>
    <xf borderId="20" fillId="0" fontId="96" numFmtId="0" xfId="0" applyAlignment="1" applyBorder="1" applyFont="1">
      <alignment horizontal="center" shrinkToFit="0" vertical="center" wrapText="1"/>
    </xf>
    <xf borderId="22" fillId="0" fontId="96" numFmtId="0" xfId="0" applyAlignment="1" applyBorder="1" applyFont="1">
      <alignment horizontal="center" shrinkToFit="0" vertical="center" wrapText="1"/>
    </xf>
    <xf borderId="22" fillId="0" fontId="96" numFmtId="0" xfId="0" applyAlignment="1" applyBorder="1" applyFont="1">
      <alignment horizontal="right" readingOrder="0" shrinkToFit="0" vertical="center" wrapText="1"/>
    </xf>
    <xf borderId="18" fillId="0" fontId="96" numFmtId="49" xfId="0" applyAlignment="1" applyBorder="1" applyFont="1" applyNumberFormat="1">
      <alignment horizontal="center" shrinkToFit="0" vertical="center" wrapText="1"/>
    </xf>
    <xf borderId="18" fillId="0" fontId="96" numFmtId="0" xfId="0" applyAlignment="1" applyBorder="1" applyFont="1">
      <alignment horizontal="right" readingOrder="0" shrinkToFit="0" vertical="center" wrapText="1"/>
    </xf>
    <xf borderId="23" fillId="0" fontId="96" numFmtId="49" xfId="0" applyAlignment="1" applyBorder="1" applyFont="1" applyNumberFormat="1">
      <alignment horizontal="center" shrinkToFit="0" vertical="center" wrapText="1"/>
    </xf>
    <xf borderId="51" fillId="0" fontId="124" numFmtId="0" xfId="0" applyAlignment="1" applyBorder="1" applyFont="1">
      <alignment horizontal="left" shrinkToFit="0" vertical="top" wrapText="1"/>
    </xf>
    <xf borderId="47" fillId="0" fontId="124" numFmtId="0" xfId="0" applyAlignment="1" applyBorder="1" applyFont="1">
      <alignment horizontal="left" shrinkToFit="0" vertical="top" wrapText="1"/>
    </xf>
    <xf borderId="126" fillId="43" fontId="125" numFmtId="0" xfId="0" applyAlignment="1" applyBorder="1" applyFill="1" applyFont="1">
      <alignment horizontal="center" shrinkToFit="0" vertical="center" wrapText="1"/>
    </xf>
    <xf borderId="127" fillId="0" fontId="4" numFmtId="0" xfId="0" applyBorder="1" applyFont="1"/>
    <xf borderId="128" fillId="0" fontId="4" numFmtId="0" xfId="0" applyBorder="1" applyFont="1"/>
    <xf borderId="49" fillId="0" fontId="124" numFmtId="0" xfId="0" applyAlignment="1" applyBorder="1" applyFont="1">
      <alignment horizontal="left" shrinkToFit="0" vertical="top" wrapText="1"/>
    </xf>
    <xf borderId="20" fillId="0" fontId="124" numFmtId="0" xfId="0" applyAlignment="1" applyBorder="1" applyFont="1">
      <alignment horizontal="left" shrinkToFit="0" vertical="top" wrapText="1"/>
    </xf>
    <xf borderId="100" fillId="0" fontId="124" numFmtId="0" xfId="0" applyAlignment="1" applyBorder="1" applyFont="1">
      <alignment horizontal="left" shrinkToFit="0" vertical="top" wrapText="1"/>
    </xf>
    <xf borderId="31" fillId="0" fontId="0" numFmtId="0" xfId="0" applyAlignment="1" applyBorder="1" applyFont="1">
      <alignment horizontal="center" shrinkToFit="0" vertical="center" wrapText="1"/>
    </xf>
    <xf borderId="129" fillId="0" fontId="4" numFmtId="0" xfId="0" applyBorder="1" applyFont="1"/>
    <xf borderId="74" fillId="0" fontId="4" numFmtId="0" xfId="0" applyBorder="1" applyFont="1"/>
    <xf borderId="20" fillId="0" fontId="124" numFmtId="0" xfId="0" applyAlignment="1" applyBorder="1" applyFont="1">
      <alignment horizontal="center" shrinkToFit="0" vertical="center" wrapText="1"/>
    </xf>
    <xf borderId="100" fillId="0" fontId="124" numFmtId="0" xfId="0" applyAlignment="1" applyBorder="1" applyFont="1">
      <alignment horizontal="center" shrinkToFit="0" vertical="center" wrapText="1"/>
    </xf>
    <xf borderId="18" fillId="0" fontId="0" numFmtId="0" xfId="0" applyAlignment="1" applyBorder="1" applyFont="1">
      <alignment horizontal="center" shrinkToFit="0" vertical="center" wrapText="1"/>
    </xf>
    <xf borderId="39" fillId="0" fontId="55" numFmtId="0" xfId="0" applyAlignment="1" applyBorder="1" applyFont="1">
      <alignment horizontal="center" shrinkToFit="0" vertical="center" wrapText="1"/>
    </xf>
    <xf borderId="47" fillId="0" fontId="55" numFmtId="0" xfId="0" applyAlignment="1" applyBorder="1" applyFont="1">
      <alignment horizontal="center" shrinkToFit="0" vertical="center" wrapText="1"/>
    </xf>
    <xf borderId="100" fillId="0" fontId="4" numFmtId="0" xfId="0" applyBorder="1" applyFont="1"/>
    <xf borderId="31" fillId="0" fontId="75" numFmtId="0" xfId="0" applyAlignment="1" applyBorder="1" applyFont="1">
      <alignment horizontal="center" shrinkToFit="0" wrapText="0"/>
    </xf>
    <xf borderId="20" fillId="0" fontId="75" numFmtId="0" xfId="0" applyAlignment="1" applyBorder="1" applyFont="1">
      <alignment horizontal="center" shrinkToFit="0" wrapText="0"/>
    </xf>
    <xf borderId="51" fillId="0" fontId="55" numFmtId="0" xfId="0" applyAlignment="1" applyBorder="1" applyFont="1">
      <alignment horizontal="center" shrinkToFit="0" vertical="center" wrapText="1"/>
    </xf>
    <xf borderId="46" fillId="0" fontId="55" numFmtId="0" xfId="0" applyAlignment="1" applyBorder="1" applyFont="1">
      <alignment horizontal="center" shrinkToFit="0" vertical="center" wrapText="1"/>
    </xf>
    <xf borderId="130" fillId="0" fontId="126" numFmtId="0" xfId="0" applyAlignment="1" applyBorder="1" applyFont="1">
      <alignment shrinkToFit="0" vertical="center" wrapText="1"/>
    </xf>
    <xf borderId="131" fillId="0" fontId="123" numFmtId="0" xfId="0" applyAlignment="1" applyBorder="1" applyFont="1">
      <alignment horizontal="center" shrinkToFit="0" vertical="center" wrapText="1"/>
    </xf>
    <xf borderId="29" fillId="0" fontId="98" numFmtId="0" xfId="0" applyAlignment="1" applyBorder="1" applyFont="1">
      <alignment horizontal="left" readingOrder="0" shrinkToFit="0" vertical="center" wrapText="1"/>
    </xf>
    <xf borderId="29" fillId="0" fontId="118" numFmtId="0" xfId="0" applyAlignment="1" applyBorder="1" applyFont="1">
      <alignment shrinkToFit="0" vertical="center" wrapText="1"/>
    </xf>
    <xf borderId="21" fillId="0" fontId="10" numFmtId="0" xfId="0" applyBorder="1" applyFont="1"/>
    <xf borderId="28" fillId="0" fontId="127" numFmtId="0" xfId="0" applyAlignment="1" applyBorder="1" applyFont="1">
      <alignment horizontal="center" shrinkToFit="0" wrapText="1"/>
    </xf>
    <xf borderId="29" fillId="0" fontId="10" numFmtId="0" xfId="0" applyBorder="1" applyFont="1"/>
    <xf borderId="81" fillId="0" fontId="127" numFmtId="0" xfId="0" applyAlignment="1" applyBorder="1" applyFont="1">
      <alignment horizontal="center" shrinkToFit="0" wrapText="1"/>
    </xf>
    <xf borderId="28" fillId="0" fontId="10" numFmtId="0" xfId="0" applyBorder="1" applyFont="1"/>
    <xf borderId="30" fillId="0" fontId="127" numFmtId="0" xfId="0" applyAlignment="1" applyBorder="1" applyFont="1">
      <alignment horizontal="center" shrinkToFit="0" wrapText="1"/>
    </xf>
    <xf borderId="28" fillId="0" fontId="49" numFmtId="0" xfId="0" applyAlignment="1" applyBorder="1" applyFont="1">
      <alignment horizontal="center" shrinkToFit="0" vertical="center" wrapText="1"/>
    </xf>
    <xf borderId="29" fillId="0" fontId="49" numFmtId="0" xfId="0" applyAlignment="1" applyBorder="1" applyFont="1">
      <alignment horizontal="center" shrinkToFit="0" vertical="center" wrapText="1"/>
    </xf>
    <xf borderId="21" fillId="0" fontId="49" numFmtId="0" xfId="0" applyAlignment="1" applyBorder="1" applyFont="1">
      <alignment horizontal="center" shrinkToFit="0" vertical="center" wrapText="1"/>
    </xf>
    <xf borderId="131" fillId="0" fontId="49" numFmtId="0" xfId="0" applyAlignment="1" applyBorder="1" applyFont="1">
      <alignment horizontal="center" shrinkToFit="0" vertical="center" wrapText="1"/>
    </xf>
    <xf borderId="29" fillId="0" fontId="128" numFmtId="0" xfId="0" applyAlignment="1" applyBorder="1" applyFont="1">
      <alignment horizontal="center" shrinkToFit="0" vertical="center" wrapText="1"/>
    </xf>
    <xf borderId="132" fillId="0" fontId="128" numFmtId="175" xfId="0" applyAlignment="1" applyBorder="1" applyFont="1" applyNumberFormat="1">
      <alignment horizontal="center" shrinkToFit="0" vertical="center" wrapText="1"/>
    </xf>
    <xf borderId="133" fillId="0" fontId="126" numFmtId="0" xfId="0" applyAlignment="1" applyBorder="1" applyFont="1">
      <alignment shrinkToFit="0" vertical="center" wrapText="1"/>
    </xf>
    <xf borderId="35" fillId="0" fontId="4" numFmtId="0" xfId="0" applyBorder="1" applyFont="1"/>
    <xf borderId="31" fillId="0" fontId="127" numFmtId="0" xfId="0" applyAlignment="1" applyBorder="1" applyFont="1">
      <alignment horizontal="center" shrinkToFit="0" wrapText="1"/>
    </xf>
    <xf borderId="0" fillId="0" fontId="10" numFmtId="0" xfId="0" applyFont="1"/>
    <xf borderId="20" fillId="0" fontId="127" numFmtId="0" xfId="0" applyAlignment="1" applyBorder="1" applyFont="1">
      <alignment horizontal="center" shrinkToFit="0" wrapText="1"/>
    </xf>
    <xf borderId="33" fillId="0" fontId="10" numFmtId="0" xfId="0" applyBorder="1" applyFont="1"/>
    <xf borderId="0" fillId="0" fontId="127" numFmtId="0" xfId="0" applyAlignment="1" applyFont="1">
      <alignment horizontal="center" shrinkToFit="0" wrapText="1"/>
    </xf>
    <xf borderId="34" fillId="0" fontId="10" numFmtId="0" xfId="0" applyBorder="1" applyFont="1"/>
    <xf borderId="134" fillId="0" fontId="4" numFmtId="0" xfId="0" applyBorder="1" applyFont="1"/>
    <xf borderId="20" fillId="0" fontId="98" numFmtId="0" xfId="0" applyAlignment="1" applyBorder="1" applyFont="1">
      <alignment horizontal="left" readingOrder="0" shrinkToFit="0" vertical="center" wrapText="1"/>
    </xf>
    <xf borderId="46" fillId="0" fontId="118" numFmtId="0" xfId="0" applyAlignment="1" applyBorder="1" applyFont="1">
      <alignment shrinkToFit="0" vertical="center" wrapText="1"/>
    </xf>
    <xf borderId="51" fillId="0" fontId="10" numFmtId="0" xfId="0" applyBorder="1" applyFont="1"/>
    <xf borderId="47" fillId="0" fontId="127" numFmtId="0" xfId="0" applyAlignment="1" applyBorder="1" applyFont="1">
      <alignment horizontal="center" shrinkToFit="0" wrapText="1"/>
    </xf>
    <xf borderId="46" fillId="0" fontId="10" numFmtId="0" xfId="0" applyBorder="1" applyFont="1"/>
    <xf borderId="45" fillId="0" fontId="127" numFmtId="0" xfId="0" applyAlignment="1" applyBorder="1" applyFont="1">
      <alignment horizontal="center" shrinkToFit="0" wrapText="1"/>
    </xf>
    <xf borderId="47" fillId="0" fontId="10" numFmtId="0" xfId="0" applyBorder="1" applyFont="1"/>
    <xf borderId="52" fillId="0" fontId="127" numFmtId="0" xfId="0" applyAlignment="1" applyBorder="1" applyFont="1">
      <alignment horizontal="center" shrinkToFit="0" wrapText="1"/>
    </xf>
    <xf borderId="47" fillId="0" fontId="49" numFmtId="0" xfId="0" applyAlignment="1" applyBorder="1" applyFont="1">
      <alignment horizontal="center" shrinkToFit="0" vertical="center" wrapText="1"/>
    </xf>
    <xf borderId="46" fillId="0" fontId="49" numFmtId="0" xfId="0" applyAlignment="1" applyBorder="1" applyFont="1">
      <alignment horizontal="center" shrinkToFit="0" vertical="center" wrapText="1"/>
    </xf>
    <xf borderId="51" fillId="0" fontId="49" numFmtId="0" xfId="0" applyAlignment="1" applyBorder="1" applyFont="1">
      <alignment horizontal="center" shrinkToFit="0" vertical="center" wrapText="1"/>
    </xf>
    <xf borderId="109" fillId="0" fontId="49" numFmtId="0" xfId="0" applyAlignment="1" applyBorder="1" applyFont="1">
      <alignment horizontal="center" shrinkToFit="0" vertical="center" wrapText="1"/>
    </xf>
    <xf borderId="43" fillId="0" fontId="127" numFmtId="0" xfId="0" applyAlignment="1" applyBorder="1" applyFont="1">
      <alignment horizontal="center" shrinkToFit="0" wrapText="1"/>
    </xf>
    <xf borderId="18" fillId="0" fontId="10" numFmtId="0" xfId="0" applyBorder="1" applyFont="1"/>
    <xf borderId="22" fillId="0" fontId="127" numFmtId="0" xfId="0" applyAlignment="1" applyBorder="1" applyFont="1">
      <alignment horizontal="center" shrinkToFit="0" wrapText="1"/>
    </xf>
    <xf borderId="19" fillId="0" fontId="10" numFmtId="0" xfId="0" applyBorder="1" applyFont="1"/>
    <xf borderId="18" fillId="0" fontId="127" numFmtId="0" xfId="0" applyAlignment="1" applyBorder="1" applyFont="1">
      <alignment horizontal="center" shrinkToFit="0" wrapText="1"/>
    </xf>
    <xf borderId="23" fillId="0" fontId="10" numFmtId="0" xfId="0" applyBorder="1" applyFont="1"/>
    <xf borderId="31" fillId="0" fontId="10" numFmtId="0" xfId="0" applyBorder="1" applyFont="1"/>
    <xf borderId="20" fillId="0" fontId="10" numFmtId="0" xfId="0" applyBorder="1" applyFont="1"/>
    <xf borderId="33" fillId="0" fontId="127" numFmtId="0" xfId="0" applyAlignment="1" applyBorder="1" applyFont="1">
      <alignment horizontal="center" shrinkToFit="0" wrapText="1"/>
    </xf>
    <xf borderId="34" fillId="0" fontId="127" numFmtId="0" xfId="0" applyAlignment="1" applyBorder="1" applyFont="1">
      <alignment horizontal="center" shrinkToFit="0" wrapText="1"/>
    </xf>
    <xf borderId="106" fillId="0" fontId="4" numFmtId="0" xfId="0" applyBorder="1" applyFont="1"/>
    <xf borderId="98" fillId="0" fontId="4" numFmtId="0" xfId="0" applyBorder="1" applyFont="1"/>
    <xf borderId="24" fillId="0" fontId="127" numFmtId="0" xfId="0" applyAlignment="1" applyBorder="1" applyFont="1">
      <alignment horizontal="center" shrinkToFit="0" wrapText="1"/>
    </xf>
    <xf borderId="36" fillId="0" fontId="10" numFmtId="0" xfId="0" applyBorder="1" applyFont="1"/>
    <xf borderId="98" fillId="0" fontId="127" numFmtId="0" xfId="0" applyAlignment="1" applyBorder="1" applyFont="1">
      <alignment horizontal="center" shrinkToFit="0" wrapText="1"/>
    </xf>
    <xf borderId="44" fillId="0" fontId="10" numFmtId="0" xfId="0" applyBorder="1" applyFont="1"/>
    <xf borderId="36" fillId="0" fontId="127" numFmtId="0" xfId="0" applyAlignment="1" applyBorder="1" applyFont="1">
      <alignment horizontal="center" shrinkToFit="0" wrapText="1"/>
    </xf>
    <xf borderId="37" fillId="0" fontId="10" numFmtId="0" xfId="0" applyBorder="1" applyFont="1"/>
    <xf borderId="135" fillId="0" fontId="4" numFmtId="0" xfId="0" applyBorder="1" applyFont="1"/>
    <xf borderId="20" fillId="0" fontId="10" numFmtId="0" xfId="0" applyAlignment="1" applyBorder="1" applyFont="1">
      <alignment vertical="bottom"/>
    </xf>
    <xf borderId="133" fillId="0" fontId="126" numFmtId="0" xfId="0" applyAlignment="1" applyBorder="1" applyFont="1">
      <alignment shrinkToFit="0" vertical="center" wrapText="0"/>
    </xf>
    <xf borderId="136" fillId="0" fontId="126" numFmtId="0" xfId="0" applyAlignment="1" applyBorder="1" applyFont="1">
      <alignment shrinkToFit="0" vertical="center" wrapText="0"/>
    </xf>
    <xf borderId="131" fillId="0" fontId="123" numFmtId="0" xfId="0" applyAlignment="1" applyBorder="1" applyFont="1">
      <alignment horizontal="center" readingOrder="0" shrinkToFit="0" vertical="center" wrapText="1"/>
    </xf>
    <xf borderId="20" fillId="0" fontId="49" numFmtId="0" xfId="0" applyAlignment="1" applyBorder="1" applyFont="1">
      <alignment horizontal="center" shrinkToFit="0" wrapText="1"/>
    </xf>
    <xf borderId="0" fillId="0" fontId="49" numFmtId="0" xfId="0" applyAlignment="1" applyFont="1">
      <alignment horizontal="center" shrinkToFit="0" wrapText="1"/>
    </xf>
    <xf borderId="21" fillId="0" fontId="10" numFmtId="0" xfId="0" applyAlignment="1" applyBorder="1" applyFont="1">
      <alignment vertical="bottom"/>
    </xf>
    <xf borderId="29" fillId="0" fontId="10" numFmtId="0" xfId="0" applyAlignment="1" applyBorder="1" applyFont="1">
      <alignment vertical="bottom"/>
    </xf>
    <xf borderId="28" fillId="0" fontId="10" numFmtId="0" xfId="0" applyAlignment="1" applyBorder="1" applyFont="1">
      <alignment vertical="bottom"/>
    </xf>
    <xf borderId="51" fillId="0" fontId="129" numFmtId="0" xfId="0" applyAlignment="1" applyBorder="1" applyFont="1">
      <alignment horizontal="center" shrinkToFit="0" wrapText="1"/>
    </xf>
    <xf borderId="46" fillId="0" fontId="129" numFmtId="0" xfId="0" applyAlignment="1" applyBorder="1" applyFont="1">
      <alignment horizontal="center"/>
    </xf>
    <xf borderId="47" fillId="0" fontId="129" numFmtId="0" xfId="0" applyAlignment="1" applyBorder="1" applyFont="1">
      <alignment horizontal="center"/>
    </xf>
    <xf borderId="51" fillId="0" fontId="129" numFmtId="0" xfId="0" applyAlignment="1" applyBorder="1" applyFont="1">
      <alignment horizontal="center"/>
    </xf>
    <xf borderId="18" fillId="0" fontId="129" numFmtId="0" xfId="0" applyAlignment="1" applyBorder="1" applyFont="1">
      <alignment horizontal="center"/>
    </xf>
    <xf borderId="19" fillId="0" fontId="129" numFmtId="0" xfId="0" applyAlignment="1" applyBorder="1" applyFont="1">
      <alignment horizontal="center"/>
    </xf>
    <xf borderId="23" fillId="0" fontId="129" numFmtId="0" xfId="0" applyAlignment="1" applyBorder="1" applyFont="1">
      <alignment horizontal="center"/>
    </xf>
    <xf borderId="0" fillId="0" fontId="98" numFmtId="0" xfId="0" applyAlignment="1" applyFont="1">
      <alignment shrinkToFit="0" vertical="center" wrapText="0"/>
    </xf>
    <xf borderId="31" fillId="0" fontId="49" numFmtId="0" xfId="0" applyAlignment="1" applyBorder="1" applyFont="1">
      <alignment horizontal="center" shrinkToFit="0" vertical="center" wrapText="1"/>
    </xf>
    <xf borderId="20" fillId="0" fontId="129" numFmtId="0" xfId="0" applyAlignment="1" applyBorder="1" applyFont="1">
      <alignment horizontal="center"/>
    </xf>
    <xf borderId="0" fillId="0" fontId="129" numFmtId="0" xfId="0" applyAlignment="1" applyFont="1">
      <alignment horizontal="center"/>
    </xf>
    <xf borderId="31" fillId="0" fontId="129" numFmtId="0" xfId="0" applyAlignment="1" applyBorder="1" applyFont="1">
      <alignment horizontal="center"/>
    </xf>
    <xf borderId="36" fillId="0" fontId="49" numFmtId="0" xfId="0" applyAlignment="1" applyBorder="1" applyFont="1">
      <alignment horizontal="center" shrinkToFit="0" vertical="center" wrapText="1"/>
    </xf>
    <xf borderId="44" fillId="0" fontId="129" numFmtId="0" xfId="0" applyAlignment="1" applyBorder="1" applyFont="1">
      <alignment horizontal="center"/>
    </xf>
    <xf borderId="36" fillId="0" fontId="129" numFmtId="0" xfId="0" applyAlignment="1" applyBorder="1" applyFont="1">
      <alignment horizontal="center"/>
    </xf>
    <xf borderId="37" fillId="0" fontId="129" numFmtId="0" xfId="0" applyAlignment="1" applyBorder="1" applyFont="1">
      <alignment horizontal="center"/>
    </xf>
    <xf borderId="49" fillId="0" fontId="59" numFmtId="0" xfId="0" applyAlignment="1" applyBorder="1" applyFont="1">
      <alignment horizontal="center" shrinkToFit="0" vertical="center" wrapText="1"/>
    </xf>
    <xf borderId="20" fillId="0" fontId="59" numFmtId="0" xfId="0" applyAlignment="1" applyBorder="1" applyFont="1">
      <alignment shrinkToFit="0" vertical="center" wrapText="1"/>
    </xf>
    <xf borderId="33" fillId="0" fontId="49" numFmtId="0" xfId="0" applyAlignment="1" applyBorder="1" applyFont="1">
      <alignment horizontal="center" shrinkToFit="0" vertical="center" wrapText="1"/>
    </xf>
    <xf borderId="20" fillId="0" fontId="49" numFmtId="0" xfId="0" applyAlignment="1" applyBorder="1" applyFont="1">
      <alignment horizontal="center" shrinkToFit="0" vertical="center" wrapText="1"/>
    </xf>
    <xf borderId="34" fillId="0" fontId="49" numFmtId="0" xfId="0" applyAlignment="1" applyBorder="1" applyFont="1">
      <alignment horizontal="center" shrinkToFit="0" vertical="center" wrapText="1"/>
    </xf>
    <xf borderId="0" fillId="0" fontId="49" numFmtId="0" xfId="0" applyAlignment="1" applyFont="1">
      <alignment horizontal="center" shrinkToFit="0" vertical="center" wrapText="1"/>
    </xf>
    <xf borderId="21" fillId="0" fontId="124" numFmtId="0" xfId="0" applyAlignment="1" applyBorder="1" applyFont="1">
      <alignment horizontal="left" shrinkToFit="0" vertical="top" wrapText="1"/>
    </xf>
    <xf borderId="43" fillId="0" fontId="49" numFmtId="0" xfId="0" applyAlignment="1" applyBorder="1" applyFont="1">
      <alignment horizontal="center" shrinkToFit="0" wrapText="1"/>
    </xf>
    <xf borderId="18" fillId="0" fontId="49" numFmtId="0" xfId="0" applyAlignment="1" applyBorder="1" applyFont="1">
      <alignment horizontal="center" shrinkToFit="0" vertical="center" wrapText="1"/>
    </xf>
    <xf borderId="22" fillId="0" fontId="49" numFmtId="0" xfId="0" applyAlignment="1" applyBorder="1" applyFont="1">
      <alignment horizontal="center" shrinkToFit="0" vertical="center" wrapText="1"/>
    </xf>
    <xf borderId="23" fillId="0" fontId="49" numFmtId="0" xfId="0" applyAlignment="1" applyBorder="1" applyFont="1">
      <alignment horizontal="center" shrinkToFit="0" vertical="center" wrapText="1"/>
    </xf>
    <xf borderId="31" fillId="0" fontId="130" numFmtId="0" xfId="0" applyAlignment="1" applyBorder="1" applyFont="1">
      <alignment horizontal="left" shrinkToFit="0" wrapText="1"/>
    </xf>
    <xf borderId="20" fillId="0" fontId="59" numFmtId="0" xfId="0" applyAlignment="1" applyBorder="1" applyFont="1">
      <alignment horizontal="center" shrinkToFit="0" vertical="center" wrapText="1"/>
    </xf>
    <xf borderId="31" fillId="0" fontId="59" numFmtId="0" xfId="0" applyAlignment="1" applyBorder="1" applyFont="1">
      <alignment shrinkToFit="0" vertical="center" wrapText="1"/>
    </xf>
    <xf borderId="51" fillId="0" fontId="131" numFmtId="0" xfId="0" applyAlignment="1" applyBorder="1" applyFont="1">
      <alignment vertical="bottom"/>
    </xf>
    <xf borderId="45" fillId="0" fontId="49" numFmtId="0" xfId="0" applyAlignment="1" applyBorder="1" applyFont="1">
      <alignment horizontal="center" shrinkToFit="0" wrapText="1"/>
    </xf>
    <xf borderId="46" fillId="0" fontId="131" numFmtId="0" xfId="0" applyAlignment="1" applyBorder="1" applyFont="1">
      <alignment vertical="bottom"/>
    </xf>
    <xf borderId="52" fillId="0" fontId="49" numFmtId="0" xfId="0" applyAlignment="1" applyBorder="1" applyFont="1">
      <alignment horizontal="center" shrinkToFit="0" vertical="center" wrapText="1"/>
    </xf>
    <xf borderId="45" fillId="0" fontId="49" numFmtId="0" xfId="0" applyAlignment="1" applyBorder="1" applyFont="1">
      <alignment horizontal="center" shrinkToFit="0" vertical="center" wrapText="1"/>
    </xf>
    <xf borderId="19" fillId="0" fontId="131" numFmtId="0" xfId="0" applyAlignment="1" applyBorder="1" applyFont="1">
      <alignment vertical="bottom"/>
    </xf>
    <xf borderId="18" fillId="0" fontId="49" numFmtId="0" xfId="0" applyAlignment="1" applyBorder="1" applyFont="1">
      <alignment horizontal="center" shrinkToFit="0" wrapText="1"/>
    </xf>
    <xf borderId="19" fillId="0" fontId="49" numFmtId="0" xfId="0" applyAlignment="1" applyBorder="1" applyFont="1">
      <alignment horizontal="center" shrinkToFit="0" vertical="center" wrapText="1"/>
    </xf>
    <xf borderId="43" fillId="0" fontId="49" numFmtId="0" xfId="0" applyAlignment="1" applyBorder="1" applyFont="1">
      <alignment horizontal="center" shrinkToFit="0" vertical="center" wrapText="1"/>
    </xf>
    <xf borderId="51" fillId="0" fontId="59" numFmtId="0" xfId="0" applyAlignment="1" applyBorder="1" applyFont="1">
      <alignment shrinkToFit="0" vertical="center" wrapText="1"/>
    </xf>
    <xf borderId="24" fillId="0" fontId="49" numFmtId="0" xfId="0" applyAlignment="1" applyBorder="1" applyFont="1">
      <alignment horizontal="center" shrinkToFit="0" vertical="center" wrapText="1"/>
    </xf>
    <xf borderId="44" fillId="0" fontId="49" numFmtId="0" xfId="0" applyAlignment="1" applyBorder="1" applyFont="1">
      <alignment horizontal="center" shrinkToFit="0" vertical="center" wrapText="1"/>
    </xf>
    <xf borderId="98" fillId="0" fontId="49" numFmtId="0" xfId="0" applyAlignment="1" applyBorder="1" applyFont="1">
      <alignment horizontal="center" shrinkToFit="0" vertical="center" wrapText="1"/>
    </xf>
    <xf borderId="37" fillId="0" fontId="49" numFmtId="0" xfId="0" applyAlignment="1" applyBorder="1" applyFont="1">
      <alignment horizontal="center" shrinkToFit="0" vertical="center" wrapText="1"/>
    </xf>
    <xf borderId="29" fillId="0" fontId="124" numFmtId="0" xfId="0" applyAlignment="1" applyBorder="1" applyFont="1">
      <alignment readingOrder="0" shrinkToFit="0" vertical="center" wrapText="1"/>
    </xf>
    <xf borderId="0" fillId="0" fontId="96" numFmtId="49" xfId="0" applyAlignment="1" applyFont="1" applyNumberFormat="1">
      <alignment horizontal="center" shrinkToFit="0" vertical="center" wrapText="1"/>
    </xf>
    <xf borderId="34" fillId="0" fontId="96" numFmtId="49" xfId="0" applyAlignment="1" applyBorder="1" applyFont="1" applyNumberFormat="1">
      <alignment horizontal="center" shrinkToFit="0" vertical="center" wrapText="1"/>
    </xf>
    <xf borderId="137" fillId="0" fontId="32" numFmtId="0" xfId="0" applyAlignment="1" applyBorder="1" applyFont="1">
      <alignment horizontal="center" readingOrder="0" shrinkToFit="0" textRotation="90" vertical="bottom" wrapText="1"/>
    </xf>
    <xf borderId="77" fillId="3" fontId="97" numFmtId="0" xfId="0" applyAlignment="1" applyBorder="1" applyFont="1">
      <alignment horizontal="center" readingOrder="0" shrinkToFit="0" textRotation="90" vertical="bottom" wrapText="1"/>
    </xf>
    <xf borderId="75" fillId="0" fontId="97" numFmtId="0" xfId="0" applyAlignment="1" applyBorder="1" applyFont="1">
      <alignment horizontal="center" readingOrder="0" shrinkToFit="0" textRotation="90" vertical="bottom" wrapText="1"/>
    </xf>
    <xf borderId="137" fillId="0" fontId="97" numFmtId="0" xfId="0" applyAlignment="1" applyBorder="1" applyFont="1">
      <alignment horizontal="center" readingOrder="0" shrinkToFit="0" textRotation="90" vertical="bottom" wrapText="1"/>
    </xf>
    <xf borderId="21" fillId="0" fontId="97" numFmtId="0" xfId="0" applyAlignment="1" applyBorder="1" applyFont="1">
      <alignment horizontal="center" readingOrder="0" shrinkToFit="0" textRotation="90" vertical="bottom" wrapText="1"/>
    </xf>
    <xf borderId="29" fillId="0" fontId="97" numFmtId="0" xfId="0" applyAlignment="1" applyBorder="1" applyFont="1">
      <alignment horizontal="center" readingOrder="0" shrinkToFit="0" textRotation="90" vertical="bottom" wrapText="1"/>
    </xf>
    <xf borderId="28" fillId="0" fontId="97" numFmtId="0" xfId="0" applyAlignment="1" applyBorder="1" applyFont="1">
      <alignment horizontal="center" readingOrder="0" shrinkToFit="0" textRotation="90" vertical="bottom" wrapText="1"/>
    </xf>
    <xf borderId="21" fillId="0" fontId="97" numFmtId="0" xfId="0" applyAlignment="1" applyBorder="1" applyFont="1">
      <alignment horizontal="center" shrinkToFit="0" textRotation="90" vertical="bottom" wrapText="1"/>
    </xf>
    <xf borderId="29" fillId="0" fontId="97" numFmtId="0" xfId="0" applyAlignment="1" applyBorder="1" applyFont="1">
      <alignment horizontal="center" shrinkToFit="0" textRotation="90" vertical="bottom" wrapText="1"/>
    </xf>
    <xf borderId="40" fillId="0" fontId="97" numFmtId="0" xfId="0" applyAlignment="1" applyBorder="1" applyFont="1">
      <alignment horizontal="center" readingOrder="0" shrinkToFit="0" textRotation="90" vertical="bottom" wrapText="1"/>
    </xf>
    <xf borderId="132" fillId="0" fontId="132" numFmtId="0" xfId="0" applyAlignment="1" applyBorder="1" applyFont="1">
      <alignment horizontal="center" readingOrder="0" shrinkToFit="0" textRotation="90" vertical="bottom" wrapText="1"/>
    </xf>
    <xf borderId="132" fillId="0" fontId="118" numFmtId="0" xfId="0" applyAlignment="1" applyBorder="1" applyFont="1">
      <alignment shrinkToFit="0" vertical="center" wrapText="1"/>
    </xf>
    <xf borderId="81" fillId="0" fontId="130" numFmtId="0" xfId="0" applyAlignment="1" applyBorder="1" applyFont="1">
      <alignment horizontal="center" shrinkToFit="0" vertical="center" wrapText="1"/>
    </xf>
    <xf borderId="30" fillId="0" fontId="130" numFmtId="0" xfId="0" applyAlignment="1" applyBorder="1" applyFont="1">
      <alignment horizontal="center" shrinkToFit="0" vertical="center" wrapText="1"/>
    </xf>
    <xf borderId="133" fillId="0" fontId="4" numFmtId="0" xfId="0" applyBorder="1" applyFont="1"/>
    <xf borderId="138" fillId="0" fontId="4" numFmtId="0" xfId="0" applyBorder="1" applyFont="1"/>
    <xf borderId="22" fillId="0" fontId="130" numFmtId="0" xfId="0" applyAlignment="1" applyBorder="1" applyFont="1">
      <alignment horizontal="center" shrinkToFit="0" vertical="center" wrapText="1"/>
    </xf>
    <xf borderId="104" fillId="0" fontId="118" numFmtId="0" xfId="0" applyAlignment="1" applyBorder="1" applyFont="1">
      <alignment shrinkToFit="0" vertical="center" wrapText="1"/>
    </xf>
    <xf borderId="45" fillId="0" fontId="130" numFmtId="0" xfId="0" applyAlignment="1" applyBorder="1" applyFont="1">
      <alignment horizontal="center" shrinkToFit="0" vertical="center" wrapText="1"/>
    </xf>
    <xf borderId="52" fillId="0" fontId="130" numFmtId="0" xfId="0" applyAlignment="1" applyBorder="1" applyFont="1">
      <alignment horizontal="center" shrinkToFit="0" vertical="center" wrapText="1"/>
    </xf>
    <xf borderId="136" fillId="0" fontId="4" numFmtId="0" xfId="0" applyBorder="1" applyFont="1"/>
    <xf borderId="20" fillId="0" fontId="130" numFmtId="0" xfId="0" applyAlignment="1" applyBorder="1" applyFont="1">
      <alignment horizontal="center" shrinkToFit="0" vertical="center" wrapText="1"/>
    </xf>
    <xf borderId="21" fillId="0" fontId="75" numFmtId="0" xfId="0" applyAlignment="1" applyBorder="1" applyFont="1">
      <alignment horizontal="center" shrinkToFit="0" wrapText="0"/>
    </xf>
    <xf borderId="30" fillId="0" fontId="49" numFmtId="0" xfId="0" applyAlignment="1" applyBorder="1" applyFont="1">
      <alignment horizontal="center" shrinkToFit="0" vertical="center" wrapText="1"/>
    </xf>
    <xf borderId="28" fillId="0" fontId="130" numFmtId="0" xfId="0" applyAlignment="1" applyBorder="1" applyFont="1">
      <alignment horizontal="center" shrinkToFit="0" vertical="center" wrapText="1"/>
    </xf>
    <xf borderId="22" fillId="0" fontId="130" numFmtId="0" xfId="0" applyAlignment="1" applyBorder="1" applyFont="1">
      <alignment horizontal="center" shrinkToFit="0" wrapText="1"/>
    </xf>
    <xf borderId="43" fillId="0" fontId="130" numFmtId="0" xfId="0" applyAlignment="1" applyBorder="1" applyFont="1">
      <alignment horizontal="center" shrinkToFit="0" wrapText="1"/>
    </xf>
    <xf borderId="18" fillId="0" fontId="130" numFmtId="0" xfId="0" applyAlignment="1" applyBorder="1" applyFont="1">
      <alignment horizontal="center" shrinkToFit="0" wrapText="1"/>
    </xf>
    <xf borderId="34" fillId="0" fontId="59" numFmtId="0" xfId="0" applyAlignment="1" applyBorder="1" applyFont="1">
      <alignment horizontal="center" shrinkToFit="0" vertical="center" wrapText="1"/>
    </xf>
    <xf borderId="43" fillId="0" fontId="130" numFmtId="0" xfId="0" applyAlignment="1" applyBorder="1" applyFont="1">
      <alignment horizontal="center" shrinkToFit="0" vertical="center" wrapText="1"/>
    </xf>
    <xf borderId="24" fillId="0" fontId="130" numFmtId="0" xfId="0" applyAlignment="1" applyBorder="1" applyFont="1">
      <alignment horizontal="center" shrinkToFit="0" vertical="center" wrapText="1"/>
    </xf>
    <xf borderId="98" fillId="0" fontId="130" numFmtId="0" xfId="0" applyAlignment="1" applyBorder="1" applyFont="1">
      <alignment horizontal="center" shrinkToFit="0" vertical="center" wrapText="1"/>
    </xf>
    <xf borderId="0" fillId="0" fontId="75" numFmtId="0" xfId="0" applyAlignment="1" applyFont="1">
      <alignment readingOrder="0" shrinkToFit="0" vertical="bottom" wrapText="0"/>
    </xf>
    <xf borderId="46" fillId="10" fontId="15" numFmtId="0" xfId="0" applyAlignment="1" applyBorder="1" applyFont="1">
      <alignment horizontal="left" readingOrder="0" vertical="center"/>
    </xf>
    <xf borderId="14" fillId="9" fontId="133" numFmtId="0" xfId="0" applyAlignment="1" applyBorder="1" applyFont="1">
      <alignment horizontal="left" readingOrder="0" vertical="bottom"/>
    </xf>
    <xf borderId="0" fillId="0" fontId="12" numFmtId="0" xfId="0" applyAlignment="1" applyFont="1">
      <alignment horizontal="left" vertical="bottom"/>
    </xf>
    <xf borderId="0" fillId="0" fontId="10" numFmtId="0" xfId="0" applyAlignment="1" applyFont="1">
      <alignment horizontal="left" vertical="bottom"/>
    </xf>
    <xf borderId="0" fillId="9" fontId="133" numFmtId="0" xfId="0" applyAlignment="1" applyFont="1">
      <alignment horizontal="left" readingOrder="0" vertical="bottom"/>
    </xf>
    <xf borderId="0" fillId="0" fontId="134" numFmtId="0" xfId="0" applyAlignment="1" applyFont="1">
      <alignment horizontal="left" vertical="bottom"/>
    </xf>
    <xf borderId="0" fillId="0" fontId="134" numFmtId="0" xfId="0" applyAlignment="1" applyFont="1">
      <alignment horizontal="left" shrinkToFit="0" vertical="bottom" wrapText="1"/>
    </xf>
    <xf borderId="0" fillId="0" fontId="134" numFmtId="0" xfId="0" applyAlignment="1" applyFont="1">
      <alignment horizontal="left" vertical="bottom"/>
    </xf>
    <xf borderId="0" fillId="8" fontId="133" numFmtId="0" xfId="0" applyAlignment="1" applyFont="1">
      <alignment horizontal="left" readingOrder="0" vertical="bottom"/>
    </xf>
    <xf borderId="0" fillId="44" fontId="133" numFmtId="0" xfId="0" applyAlignment="1" applyFill="1" applyFont="1">
      <alignment horizontal="left" readingOrder="0" vertical="bottom"/>
    </xf>
    <xf borderId="0" fillId="0" fontId="134" numFmtId="0" xfId="0" applyAlignment="1" applyFont="1">
      <alignment vertical="bottom"/>
    </xf>
    <xf borderId="0" fillId="8" fontId="135" numFmtId="0" xfId="0" applyAlignment="1" applyFont="1">
      <alignment horizontal="left" readingOrder="0" vertical="bottom"/>
    </xf>
    <xf borderId="0" fillId="0" fontId="136" numFmtId="0" xfId="0" applyAlignment="1" applyFont="1">
      <alignment readingOrder="0"/>
    </xf>
    <xf borderId="0" fillId="0" fontId="44" numFmtId="0" xfId="0" applyAlignment="1" applyFont="1">
      <alignment readingOrder="0"/>
    </xf>
    <xf borderId="0" fillId="0" fontId="44" numFmtId="0" xfId="0" applyAlignment="1" applyFont="1">
      <alignment readingOrder="0" vertical="bottom"/>
    </xf>
    <xf borderId="0" fillId="0" fontId="137" numFmtId="0" xfId="0" applyAlignment="1" applyFont="1">
      <alignment vertical="bottom"/>
    </xf>
    <xf borderId="15" fillId="0" fontId="16" numFmtId="0" xfId="0" applyAlignment="1" applyBorder="1" applyFont="1">
      <alignment horizontal="left" readingOrder="0"/>
    </xf>
    <xf borderId="0" fillId="0" fontId="16" numFmtId="176" xfId="0" applyAlignment="1" applyFont="1" applyNumberFormat="1">
      <alignment horizontal="center" readingOrder="0" vertical="center"/>
    </xf>
    <xf borderId="0" fillId="0" fontId="16" numFmtId="0" xfId="0" applyAlignment="1" applyFont="1">
      <alignment horizontal="center" readingOrder="0" vertical="center"/>
    </xf>
    <xf borderId="0" fillId="0" fontId="16" numFmtId="179" xfId="0" applyAlignment="1" applyFont="1" applyNumberFormat="1">
      <alignment horizontal="center" readingOrder="0" vertical="center"/>
    </xf>
    <xf borderId="0" fillId="0" fontId="16" numFmtId="0" xfId="0" applyAlignment="1" applyFont="1">
      <alignment horizontal="left" readingOrder="0" vertical="center"/>
    </xf>
    <xf borderId="0" fillId="0" fontId="16" numFmtId="179" xfId="0" applyAlignment="1" applyFont="1" applyNumberFormat="1">
      <alignment horizontal="left" readingOrder="0" vertical="center"/>
    </xf>
    <xf borderId="0" fillId="0" fontId="12" numFmtId="0" xfId="0" applyAlignment="1" applyFont="1">
      <alignment readingOrder="0" shrinkToFit="0" vertical="bottom" wrapText="0"/>
    </xf>
    <xf borderId="0" fillId="0" fontId="16" numFmtId="49" xfId="0" applyAlignment="1" applyFont="1" applyNumberFormat="1">
      <alignment horizontal="center" readingOrder="0" vertical="center"/>
    </xf>
    <xf borderId="0" fillId="0" fontId="16" numFmtId="0" xfId="0" applyAlignment="1" applyFont="1">
      <alignment horizontal="left" readingOrder="0"/>
    </xf>
    <xf borderId="0" fillId="0" fontId="4" numFmtId="0" xfId="0" applyAlignment="1" applyFont="1">
      <alignment horizontal="left" readingOrder="0" vertical="center"/>
    </xf>
    <xf borderId="0" fillId="0" fontId="16" numFmtId="14" xfId="0" applyAlignment="1" applyFont="1" applyNumberFormat="1">
      <alignment horizontal="center" readingOrder="0" vertical="center"/>
    </xf>
    <xf borderId="0" fillId="0" fontId="4" numFmtId="0" xfId="0" applyAlignment="1" applyFont="1">
      <alignment readingOrder="0" vertical="center"/>
    </xf>
    <xf borderId="0" fillId="0" fontId="138" numFmtId="0" xfId="0" applyAlignment="1" applyFont="1">
      <alignment readingOrder="0" shrinkToFit="0" vertical="bottom" wrapText="0"/>
    </xf>
    <xf borderId="0" fillId="3" fontId="16" numFmtId="0" xfId="0" applyAlignment="1" applyFont="1">
      <alignment horizontal="left" readingOrder="0"/>
    </xf>
    <xf borderId="0" fillId="0" fontId="4" numFmtId="14" xfId="0" applyAlignment="1" applyFont="1" applyNumberFormat="1">
      <alignment readingOrder="0"/>
    </xf>
    <xf borderId="0" fillId="0" fontId="4" numFmtId="0" xfId="0" applyAlignment="1" applyFont="1">
      <alignment horizontal="left" readingOrder="0"/>
    </xf>
    <xf borderId="0" fillId="0" fontId="16" numFmtId="14" xfId="0" applyAlignment="1" applyFont="1" applyNumberFormat="1">
      <alignment horizontal="center" readingOrder="0"/>
    </xf>
    <xf borderId="0" fillId="0" fontId="16" numFmtId="0" xfId="0" applyAlignment="1" applyFont="1">
      <alignment horizontal="center" readingOrder="0" vertical="bottom"/>
    </xf>
    <xf borderId="0" fillId="0" fontId="70" numFmtId="0" xfId="0" applyAlignment="1" applyFont="1">
      <alignment horizontal="center" readingOrder="0" vertical="center"/>
    </xf>
    <xf borderId="0" fillId="0" fontId="16" numFmtId="49" xfId="0" applyAlignment="1" applyFont="1" applyNumberFormat="1">
      <alignment horizontal="center" readingOrder="0"/>
    </xf>
    <xf borderId="0" fillId="45" fontId="139" numFmtId="0" xfId="0" applyAlignment="1" applyFill="1" applyFont="1">
      <alignment horizontal="center" readingOrder="0" vertical="center"/>
    </xf>
    <xf borderId="31" fillId="45" fontId="9" numFmtId="0" xfId="0" applyAlignment="1" applyBorder="1" applyFont="1">
      <alignment horizontal="right" vertical="bottom"/>
    </xf>
    <xf borderId="0" fillId="45" fontId="15" numFmtId="0" xfId="0" applyAlignment="1" applyFont="1">
      <alignment horizontal="left" readingOrder="0"/>
    </xf>
    <xf borderId="0" fillId="45" fontId="9" numFmtId="0" xfId="0" applyAlignment="1" applyFont="1">
      <alignment horizontal="right" vertical="bottom"/>
    </xf>
    <xf borderId="0" fillId="45" fontId="9" numFmtId="0" xfId="0" applyAlignment="1" applyFont="1">
      <alignment vertical="bottom"/>
    </xf>
    <xf borderId="0" fillId="45" fontId="140" numFmtId="0" xfId="0" applyAlignment="1" applyFont="1">
      <alignment horizontal="left" readingOrder="0"/>
    </xf>
    <xf borderId="35" fillId="46" fontId="9" numFmtId="0" xfId="0" applyAlignment="1" applyBorder="1" applyFill="1" applyFont="1">
      <alignment horizontal="right" vertical="bottom"/>
    </xf>
    <xf borderId="13" fillId="0" fontId="15" numFmtId="0" xfId="0" applyAlignment="1" applyBorder="1" applyFont="1">
      <alignment horizontal="left" readingOrder="0"/>
    </xf>
    <xf borderId="33" fillId="46" fontId="9" numFmtId="0" xfId="0" applyAlignment="1" applyBorder="1" applyFont="1">
      <alignment horizontal="right" vertical="bottom"/>
    </xf>
    <xf borderId="15" fillId="0" fontId="9" numFmtId="0" xfId="0" applyAlignment="1" applyBorder="1" applyFont="1">
      <alignment vertical="bottom"/>
    </xf>
    <xf borderId="21" fillId="5" fontId="140" numFmtId="0" xfId="0" applyAlignment="1" applyBorder="1" applyFont="1">
      <alignment horizontal="left" readingOrder="0"/>
    </xf>
    <xf borderId="31" fillId="46" fontId="9" numFmtId="0" xfId="0" applyAlignment="1" applyBorder="1" applyFont="1">
      <alignment horizontal="right" vertical="bottom"/>
    </xf>
    <xf borderId="0" fillId="6" fontId="15" numFmtId="0" xfId="0" applyAlignment="1" applyFont="1">
      <alignment horizontal="left" readingOrder="0"/>
    </xf>
    <xf borderId="15" fillId="0" fontId="9" numFmtId="0" xfId="0" applyAlignment="1" applyBorder="1" applyFont="1">
      <alignment readingOrder="0" vertical="bottom"/>
    </xf>
    <xf borderId="33" fillId="6" fontId="9" numFmtId="0" xfId="0" applyAlignment="1" applyBorder="1" applyFont="1">
      <alignment horizontal="right" vertical="bottom"/>
    </xf>
    <xf borderId="15" fillId="0" fontId="9" numFmtId="0" xfId="0" applyAlignment="1" applyBorder="1" applyFont="1">
      <alignment horizontal="center" readingOrder="0" vertical="bottom"/>
    </xf>
    <xf borderId="34" fillId="5" fontId="10" numFmtId="0" xfId="0" applyAlignment="1" applyBorder="1" applyFont="1">
      <alignment vertical="bottom"/>
    </xf>
    <xf borderId="31" fillId="5" fontId="10" numFmtId="0" xfId="0" applyAlignment="1" applyBorder="1" applyFont="1">
      <alignment vertical="bottom"/>
    </xf>
    <xf borderId="18" fillId="5" fontId="141" numFmtId="0" xfId="0" applyAlignment="1" applyBorder="1" applyFont="1">
      <alignment readingOrder="0" vertical="bottom"/>
    </xf>
    <xf borderId="116" fillId="0" fontId="9" numFmtId="0" xfId="0" applyAlignment="1" applyBorder="1" applyFont="1">
      <alignment readingOrder="0" vertical="bottom"/>
    </xf>
    <xf borderId="19" fillId="0" fontId="9" numFmtId="0" xfId="0" applyAlignment="1" applyBorder="1" applyFont="1">
      <alignment vertical="bottom"/>
    </xf>
    <xf borderId="31" fillId="5" fontId="140" numFmtId="0" xfId="0" applyAlignment="1" applyBorder="1" applyFont="1">
      <alignment horizontal="left" readingOrder="0"/>
    </xf>
    <xf borderId="35" fillId="46" fontId="9" numFmtId="0" xfId="0" applyAlignment="1" applyBorder="1" applyFont="1">
      <alignment horizontal="right" readingOrder="0" vertical="bottom"/>
    </xf>
    <xf borderId="13" fillId="0" fontId="9" numFmtId="14" xfId="0" applyAlignment="1" applyBorder="1" applyFont="1" applyNumberFormat="1">
      <alignment horizontal="center" readingOrder="0" vertical="bottom"/>
    </xf>
    <xf borderId="33" fillId="46" fontId="9" numFmtId="0" xfId="0" applyAlignment="1" applyBorder="1" applyFont="1">
      <alignment horizontal="right" readingOrder="0" vertical="bottom"/>
    </xf>
    <xf borderId="13" fillId="0" fontId="10" numFmtId="164" xfId="0" applyAlignment="1" applyBorder="1" applyFont="1" applyNumberFormat="1">
      <alignment readingOrder="0" vertical="bottom"/>
    </xf>
    <xf borderId="0" fillId="5" fontId="10" numFmtId="0" xfId="0" applyAlignment="1" applyFont="1">
      <alignment vertical="bottom"/>
    </xf>
    <xf borderId="0" fillId="5" fontId="10" numFmtId="164" xfId="0" applyAlignment="1" applyFont="1" applyNumberFormat="1">
      <alignment vertical="bottom"/>
    </xf>
    <xf borderId="14" fillId="0" fontId="9" numFmtId="0" xfId="0" applyAlignment="1" applyBorder="1" applyFont="1">
      <alignment readingOrder="0" vertical="bottom"/>
    </xf>
    <xf borderId="24" fillId="5" fontId="16" numFmtId="0" xfId="0" applyBorder="1" applyFont="1"/>
    <xf borderId="0" fillId="45" fontId="4" numFmtId="0" xfId="0" applyAlignment="1" applyFont="1">
      <alignment readingOrder="0" vertical="top"/>
    </xf>
    <xf borderId="0" fillId="0" fontId="142" numFmtId="0" xfId="0" applyAlignment="1" applyFont="1">
      <alignment readingOrder="0" shrinkToFit="0" vertical="bottom" wrapText="0"/>
    </xf>
    <xf borderId="0" fillId="0" fontId="143" numFmtId="0" xfId="0" applyAlignment="1" applyFont="1">
      <alignment horizontal="center" readingOrder="0" shrinkToFit="0" wrapText="0"/>
    </xf>
    <xf borderId="0" fillId="0" fontId="75" numFmtId="0" xfId="0" applyAlignment="1" applyFont="1">
      <alignment shrinkToFit="0" vertical="bottom" wrapText="0"/>
    </xf>
    <xf borderId="0" fillId="0" fontId="75" numFmtId="0" xfId="0" applyAlignment="1" applyFont="1">
      <alignment readingOrder="0" vertical="top"/>
    </xf>
    <xf borderId="0" fillId="0" fontId="75" numFmtId="194" xfId="0" applyAlignment="1" applyFont="1" applyNumberFormat="1">
      <alignment horizontal="right" readingOrder="0" shrinkToFit="0" vertical="top" wrapText="0"/>
    </xf>
    <xf borderId="0" fillId="0" fontId="75" numFmtId="0" xfId="0" applyAlignment="1" applyFont="1">
      <alignment shrinkToFit="0" vertical="top" wrapText="0"/>
    </xf>
    <xf borderId="0" fillId="0" fontId="144" numFmtId="0" xfId="0" applyAlignment="1" applyFont="1">
      <alignment horizontal="left" shrinkToFit="0" vertical="top" wrapText="0"/>
    </xf>
    <xf borderId="0" fillId="0" fontId="144" numFmtId="0" xfId="0" applyAlignment="1" applyFont="1">
      <alignment horizontal="left" readingOrder="0" shrinkToFit="0" vertical="top" wrapText="0"/>
    </xf>
    <xf borderId="0" fillId="0" fontId="75" numFmtId="195" xfId="0" applyAlignment="1" applyFont="1" applyNumberFormat="1">
      <alignment horizontal="right" readingOrder="0" shrinkToFit="0" vertical="bottom" wrapText="0"/>
    </xf>
    <xf borderId="0" fillId="0" fontId="75" numFmtId="0" xfId="0" applyAlignment="1" applyFont="1">
      <alignment shrinkToFit="0" vertical="bottom" wrapText="0"/>
    </xf>
    <xf borderId="0" fillId="0" fontId="75" numFmtId="0" xfId="0" applyAlignment="1" applyFont="1">
      <alignment vertical="top"/>
    </xf>
    <xf borderId="0" fillId="0" fontId="75" numFmtId="195" xfId="0" applyAlignment="1" applyFont="1" applyNumberFormat="1">
      <alignment vertical="top"/>
    </xf>
    <xf borderId="0" fillId="0" fontId="75" numFmtId="166" xfId="0" applyAlignment="1" applyFont="1" applyNumberFormat="1">
      <alignment vertical="top"/>
    </xf>
    <xf borderId="0" fillId="0" fontId="144" numFmtId="0" xfId="0" applyAlignment="1" applyFont="1">
      <alignment horizontal="left" readingOrder="0" vertical="top"/>
    </xf>
    <xf borderId="0" fillId="0" fontId="144" numFmtId="166" xfId="0" applyAlignment="1" applyFont="1" applyNumberFormat="1">
      <alignment horizontal="left" readingOrder="0" shrinkToFit="0" vertical="top" wrapText="0"/>
    </xf>
    <xf borderId="0" fillId="0" fontId="144" numFmtId="195" xfId="0" applyAlignment="1" applyFont="1" applyNumberFormat="1">
      <alignment horizontal="left" shrinkToFit="0" vertical="top" wrapText="0"/>
    </xf>
    <xf borderId="0" fillId="0" fontId="75" numFmtId="0" xfId="0" applyAlignment="1" applyFont="1">
      <alignment vertical="bottom"/>
    </xf>
    <xf borderId="0" fillId="0" fontId="75" numFmtId="195" xfId="0" applyAlignment="1" applyFont="1" applyNumberFormat="1">
      <alignment shrinkToFit="0" vertical="bottom" wrapText="0"/>
    </xf>
    <xf borderId="0" fillId="0" fontId="143" numFmtId="0" xfId="0" applyAlignment="1" applyFont="1">
      <alignment horizontal="center" readingOrder="0"/>
    </xf>
    <xf borderId="0" fillId="0" fontId="144" numFmtId="0" xfId="0" applyAlignment="1" applyFont="1">
      <alignment horizontal="left" shrinkToFit="0" vertical="top" wrapText="0"/>
    </xf>
    <xf borderId="0" fillId="0" fontId="75" numFmtId="14" xfId="0" applyAlignment="1" applyFont="1" applyNumberFormat="1">
      <alignment shrinkToFit="0" vertical="bottom" wrapText="0"/>
    </xf>
    <xf borderId="0" fillId="0" fontId="144" numFmtId="195" xfId="0" applyAlignment="1" applyFont="1" applyNumberFormat="1">
      <alignment horizontal="left" readingOrder="0" shrinkToFit="0" vertical="top" wrapText="0"/>
    </xf>
    <xf borderId="0" fillId="0" fontId="8" numFmtId="0" xfId="0" applyAlignment="1" applyFont="1">
      <alignment horizontal="center" readingOrder="0"/>
    </xf>
    <xf borderId="0" fillId="0" fontId="145" numFmtId="0" xfId="0" applyAlignment="1" applyFont="1">
      <alignment horizontal="center" readingOrder="0"/>
    </xf>
    <xf borderId="0" fillId="0" fontId="8" numFmtId="0" xfId="0" applyAlignment="1" applyFont="1">
      <alignment horizontal="center"/>
    </xf>
    <xf borderId="0" fillId="0" fontId="115" numFmtId="0" xfId="0" applyAlignment="1" applyFont="1">
      <alignment horizontal="center" readingOrder="0"/>
    </xf>
    <xf borderId="0" fillId="0" fontId="115" numFmtId="0" xfId="0" applyAlignment="1" applyFont="1">
      <alignment horizontal="center"/>
    </xf>
    <xf borderId="0" fillId="0" fontId="19" numFmtId="0" xfId="0" applyFont="1"/>
    <xf borderId="139" fillId="38" fontId="115" numFmtId="0" xfId="0" applyAlignment="1" applyBorder="1" applyFont="1">
      <alignment horizontal="center" readingOrder="0"/>
    </xf>
    <xf borderId="2" fillId="38" fontId="115" numFmtId="0" xfId="0" applyAlignment="1" applyBorder="1" applyFont="1">
      <alignment horizontal="center" readingOrder="0"/>
    </xf>
    <xf borderId="46" fillId="11" fontId="8" numFmtId="0" xfId="0" applyAlignment="1" applyBorder="1" applyFont="1">
      <alignment horizontal="center" readingOrder="0"/>
    </xf>
    <xf borderId="22" fillId="11" fontId="4" numFmtId="0" xfId="0" applyAlignment="1" applyBorder="1" applyFont="1">
      <alignment horizontal="center" readingOrder="0"/>
    </xf>
    <xf borderId="13" fillId="0" fontId="58" numFmtId="0" xfId="0" applyBorder="1" applyFont="1"/>
    <xf borderId="0" fillId="0" fontId="58" numFmtId="0" xfId="0" applyFont="1"/>
    <xf borderId="140" fillId="0" fontId="4" numFmtId="0" xfId="0" applyAlignment="1" applyBorder="1" applyFont="1">
      <alignment readingOrder="0"/>
    </xf>
    <xf borderId="141" fillId="0" fontId="4" numFmtId="0" xfId="0" applyBorder="1" applyFont="1"/>
    <xf borderId="0" fillId="0" fontId="4" numFmtId="0" xfId="0" applyAlignment="1" applyFont="1">
      <alignment shrinkToFit="0" wrapText="0"/>
    </xf>
    <xf borderId="13" fillId="0" fontId="58" numFmtId="0" xfId="0" applyAlignment="1" applyBorder="1" applyFont="1">
      <alignment readingOrder="0"/>
    </xf>
    <xf borderId="0" fillId="0" fontId="115" numFmtId="0" xfId="0" applyFont="1"/>
    <xf borderId="142" fillId="38" fontId="115" numFmtId="0" xfId="0" applyAlignment="1" applyBorder="1" applyFont="1">
      <alignment horizontal="center" readingOrder="0"/>
    </xf>
    <xf borderId="13" fillId="0" fontId="115" numFmtId="0" xfId="0" applyBorder="1" applyFont="1"/>
    <xf borderId="18" fillId="38" fontId="115" numFmtId="0" xfId="0" applyAlignment="1" applyBorder="1" applyFont="1">
      <alignment horizontal="center" readingOrder="0"/>
    </xf>
    <xf borderId="0" fillId="38" fontId="115" numFmtId="0" xfId="0" applyAlignment="1" applyFont="1">
      <alignment horizontal="center" readingOrder="0"/>
    </xf>
    <xf borderId="0" fillId="0" fontId="8" numFmtId="0" xfId="0" applyFont="1"/>
    <xf borderId="47" fillId="0" fontId="2" numFmtId="0" xfId="0" applyAlignment="1" applyBorder="1" applyFont="1">
      <alignment horizontal="center" readingOrder="0"/>
    </xf>
    <xf borderId="14" fillId="10" fontId="4" numFmtId="0" xfId="0" applyAlignment="1" applyBorder="1" applyFont="1">
      <alignment horizontal="center" readingOrder="0"/>
    </xf>
    <xf borderId="16" fillId="47" fontId="4" numFmtId="0" xfId="0" applyAlignment="1" applyBorder="1" applyFill="1" applyFont="1">
      <alignment horizontal="center"/>
    </xf>
    <xf borderId="14" fillId="3" fontId="0" numFmtId="0" xfId="0" applyAlignment="1" applyBorder="1" applyFont="1">
      <alignment readingOrder="0"/>
    </xf>
    <xf borderId="15" fillId="47" fontId="4" numFmtId="0" xfId="0" applyAlignment="1" applyBorder="1" applyFont="1">
      <alignment horizontal="center"/>
    </xf>
    <xf borderId="48" fillId="0" fontId="4" numFmtId="0" xfId="0" applyAlignment="1" applyBorder="1" applyFont="1">
      <alignment readingOrder="0" shrinkToFit="0" vertical="top" wrapText="1"/>
    </xf>
    <xf borderId="20" fillId="0" fontId="4" numFmtId="0" xfId="0" applyAlignment="1" applyBorder="1" applyFont="1">
      <alignment readingOrder="0" vertical="top"/>
    </xf>
    <xf borderId="33" fillId="0" fontId="4" numFmtId="0" xfId="0" applyAlignment="1" applyBorder="1" applyFont="1">
      <alignment readingOrder="0"/>
    </xf>
    <xf borderId="0" fillId="47" fontId="4" numFmtId="0" xfId="0" applyFont="1"/>
    <xf borderId="33" fillId="47" fontId="4" numFmtId="164" xfId="0" applyAlignment="1" applyBorder="1" applyFont="1" applyNumberFormat="1">
      <alignment horizontal="center"/>
    </xf>
    <xf borderId="33" fillId="47" fontId="4" numFmtId="0" xfId="0" applyBorder="1" applyFont="1"/>
    <xf borderId="49" fillId="47" fontId="4" numFmtId="0" xfId="0" applyBorder="1" applyFont="1"/>
    <xf borderId="33" fillId="47" fontId="4" numFmtId="165" xfId="0" applyAlignment="1" applyBorder="1" applyFont="1" applyNumberFormat="1">
      <alignment horizontal="center"/>
    </xf>
    <xf borderId="19" fillId="47" fontId="4" numFmtId="0" xfId="0" applyAlignment="1" applyBorder="1" applyFont="1">
      <alignment horizontal="center" readingOrder="0"/>
    </xf>
    <xf borderId="47" fillId="0" fontId="4" numFmtId="0" xfId="0" applyAlignment="1" applyBorder="1" applyFont="1">
      <alignment readingOrder="0" shrinkToFit="0" vertical="top" wrapText="1"/>
    </xf>
    <xf borderId="20" fillId="47" fontId="4" numFmtId="0" xfId="0" applyAlignment="1" applyBorder="1" applyFont="1">
      <alignment readingOrder="0" shrinkToFit="0" vertical="top" wrapText="1"/>
    </xf>
    <xf borderId="17" fillId="47" fontId="4" numFmtId="0" xfId="0" applyBorder="1" applyFont="1"/>
    <xf borderId="19" fillId="47" fontId="4" numFmtId="0" xfId="0" applyBorder="1" applyFont="1"/>
    <xf borderId="46" fillId="0" fontId="4" numFmtId="0" xfId="0" applyAlignment="1" applyBorder="1" applyFont="1">
      <alignment readingOrder="0"/>
    </xf>
    <xf borderId="0" fillId="0" fontId="4" numFmtId="0" xfId="0" applyAlignment="1" applyFont="1">
      <alignment horizontal="right" readingOrder="0"/>
    </xf>
    <xf borderId="18" fillId="47" fontId="4" numFmtId="0" xfId="0" applyBorder="1" applyFont="1"/>
    <xf borderId="22" fillId="47" fontId="4" numFmtId="0" xfId="0" applyBorder="1" applyFont="1"/>
    <xf borderId="48" fillId="0" fontId="4" numFmtId="0" xfId="0" applyAlignment="1" applyBorder="1" applyFont="1">
      <alignment readingOrder="0" vertical="top"/>
    </xf>
    <xf borderId="48" fillId="0" fontId="4" numFmtId="0" xfId="0" applyAlignment="1" applyBorder="1" applyFont="1">
      <alignment vertical="top"/>
    </xf>
    <xf borderId="48" fillId="0" fontId="4" numFmtId="0" xfId="0" applyAlignment="1" applyBorder="1" applyFont="1">
      <alignment readingOrder="0"/>
    </xf>
    <xf borderId="48" fillId="0" fontId="4" numFmtId="0" xfId="0" applyBorder="1" applyFont="1"/>
    <xf borderId="20" fillId="47" fontId="4" numFmtId="167" xfId="0" applyAlignment="1" applyBorder="1" applyFont="1" applyNumberFormat="1">
      <alignment horizontal="center"/>
    </xf>
    <xf borderId="20" fillId="47" fontId="4" numFmtId="0" xfId="0" applyBorder="1" applyFont="1"/>
    <xf borderId="49" fillId="0" fontId="4" numFmtId="0" xfId="0" applyAlignment="1" applyBorder="1" applyFont="1">
      <alignment readingOrder="0"/>
    </xf>
    <xf borderId="13" fillId="47" fontId="4" numFmtId="0" xfId="0" applyAlignment="1" applyBorder="1" applyFont="1">
      <alignment shrinkToFit="0" wrapText="1"/>
    </xf>
    <xf borderId="14" fillId="3" fontId="55" numFmtId="0" xfId="0" applyAlignment="1" applyBorder="1" applyFont="1">
      <alignment readingOrder="0"/>
    </xf>
    <xf borderId="14" fillId="47" fontId="4" numFmtId="0" xfId="0" applyAlignment="1" applyBorder="1" applyFont="1">
      <alignment horizontal="center"/>
    </xf>
    <xf borderId="0" fillId="0" fontId="8" numFmtId="0" xfId="0" applyAlignment="1" applyFont="1">
      <alignment readingOrder="0" shrinkToFit="0" vertical="top" wrapText="1"/>
    </xf>
    <xf borderId="39" fillId="0" fontId="8" numFmtId="0" xfId="0" applyAlignment="1" applyBorder="1" applyFont="1">
      <alignment readingOrder="0"/>
    </xf>
    <xf borderId="84" fillId="0" fontId="4" numFmtId="0" xfId="0" applyAlignment="1" applyBorder="1" applyFont="1">
      <alignment horizontal="center" readingOrder="0"/>
    </xf>
    <xf borderId="85" fillId="0" fontId="4" numFmtId="0" xfId="0" applyAlignment="1" applyBorder="1" applyFont="1">
      <alignment horizontal="center" readingOrder="0"/>
    </xf>
    <xf borderId="123" fillId="0" fontId="4" numFmtId="0" xfId="0" applyAlignment="1" applyBorder="1" applyFont="1">
      <alignment horizontal="center" readingOrder="0" shrinkToFit="0" vertical="top" wrapText="1"/>
    </xf>
    <xf borderId="124" fillId="0" fontId="4" numFmtId="0" xfId="0" applyAlignment="1" applyBorder="1" applyFont="1">
      <alignment horizontal="center" readingOrder="0"/>
    </xf>
    <xf borderId="31" fillId="3" fontId="33" numFmtId="0" xfId="0" applyAlignment="1" applyBorder="1" applyFont="1">
      <alignment readingOrder="0"/>
    </xf>
    <xf borderId="143" fillId="0" fontId="4" numFmtId="0" xfId="0" applyAlignment="1" applyBorder="1" applyFont="1">
      <alignment readingOrder="0"/>
    </xf>
    <xf borderId="144" fillId="0" fontId="4" numFmtId="0" xfId="0" applyBorder="1" applyFont="1"/>
    <xf borderId="144" fillId="47" fontId="4" numFmtId="0" xfId="0" applyAlignment="1" applyBorder="1" applyFont="1">
      <alignment readingOrder="0"/>
    </xf>
    <xf borderId="143" fillId="3" fontId="12" numFmtId="0" xfId="0" applyAlignment="1" applyBorder="1" applyFont="1">
      <alignment horizontal="left" readingOrder="0"/>
    </xf>
    <xf borderId="145" fillId="47" fontId="4" numFmtId="0" xfId="0" applyBorder="1" applyFont="1"/>
    <xf borderId="143" fillId="0" fontId="4" numFmtId="0" xfId="0" applyAlignment="1" applyBorder="1" applyFont="1">
      <alignment readingOrder="0" shrinkToFit="0" vertical="top" wrapText="1"/>
    </xf>
    <xf borderId="144" fillId="47" fontId="4" numFmtId="0" xfId="0" applyAlignment="1" applyBorder="1" applyFont="1">
      <alignment readingOrder="0" shrinkToFit="0" vertical="top" wrapText="1"/>
    </xf>
    <xf borderId="145" fillId="47" fontId="4" numFmtId="0" xfId="0" applyAlignment="1" applyBorder="1" applyFont="1">
      <alignment readingOrder="0" shrinkToFit="0" vertical="top" wrapText="1"/>
    </xf>
    <xf borderId="144" fillId="47" fontId="4" numFmtId="0" xfId="0" applyBorder="1" applyFont="1"/>
    <xf borderId="145" fillId="47" fontId="4" numFmtId="0" xfId="0" applyAlignment="1" applyBorder="1" applyFont="1">
      <alignment readingOrder="0"/>
    </xf>
    <xf borderId="143" fillId="0" fontId="4" numFmtId="0" xfId="0" applyBorder="1" applyFont="1"/>
    <xf borderId="24" fillId="0" fontId="4" numFmtId="0" xfId="0" applyAlignment="1" applyBorder="1" applyFont="1">
      <alignment readingOrder="0"/>
    </xf>
    <xf borderId="36" fillId="47" fontId="4" numFmtId="0" xfId="0" applyBorder="1" applyFont="1"/>
    <xf borderId="24" fillId="3" fontId="33" numFmtId="0" xfId="0" applyAlignment="1" applyBorder="1" applyFont="1">
      <alignment readingOrder="0"/>
    </xf>
    <xf borderId="37" fillId="47" fontId="4" numFmtId="0" xfId="0" applyBorder="1" applyFont="1"/>
    <xf borderId="21" fillId="0" fontId="8" numFmtId="0" xfId="0" applyAlignment="1" applyBorder="1" applyFont="1">
      <alignment readingOrder="0" vertical="top"/>
    </xf>
    <xf borderId="21" fillId="0" fontId="8" numFmtId="0" xfId="0" applyAlignment="1" applyBorder="1" applyFont="1">
      <alignment readingOrder="0" shrinkToFit="0" wrapText="1"/>
    </xf>
    <xf borderId="28" fillId="0" fontId="4" numFmtId="0" xfId="0" applyAlignment="1" applyBorder="1" applyFont="1">
      <alignment readingOrder="0" shrinkToFit="0" wrapText="1"/>
    </xf>
    <xf borderId="30" fillId="0" fontId="4" numFmtId="0" xfId="0" applyAlignment="1" applyBorder="1" applyFont="1">
      <alignment readingOrder="0" shrinkToFit="0" wrapText="1"/>
    </xf>
    <xf borderId="31" fillId="47" fontId="4" numFmtId="0" xfId="0" applyAlignment="1" applyBorder="1" applyFont="1">
      <alignment shrinkToFit="0" wrapText="1"/>
    </xf>
    <xf borderId="143" fillId="0" fontId="4" numFmtId="0" xfId="0" applyAlignment="1" applyBorder="1" applyFont="1">
      <alignment readingOrder="0" shrinkToFit="0" wrapText="1"/>
    </xf>
    <xf borderId="144" fillId="0" fontId="4" numFmtId="0" xfId="0" applyAlignment="1" applyBorder="1" applyFont="1">
      <alignment readingOrder="0" shrinkToFit="0" wrapText="1"/>
    </xf>
    <xf borderId="144" fillId="0" fontId="4" numFmtId="0" xfId="0" applyAlignment="1" applyBorder="1" applyFont="1">
      <alignment readingOrder="0"/>
    </xf>
    <xf borderId="31" fillId="0" fontId="8" numFmtId="0" xfId="0" applyAlignment="1" applyBorder="1" applyFont="1">
      <alignment readingOrder="0"/>
    </xf>
    <xf borderId="31" fillId="47" fontId="4" numFmtId="0" xfId="0" applyAlignment="1" applyBorder="1" applyFont="1">
      <alignment readingOrder="0" shrinkToFit="0" wrapText="1"/>
    </xf>
    <xf borderId="24" fillId="0" fontId="4" numFmtId="0" xfId="0" applyAlignment="1" applyBorder="1" applyFont="1">
      <alignment shrinkToFit="0" wrapText="1"/>
    </xf>
    <xf borderId="36" fillId="0" fontId="4" numFmtId="0" xfId="0" applyAlignment="1" applyBorder="1" applyFont="1">
      <alignment shrinkToFit="0" wrapText="1"/>
    </xf>
    <xf borderId="146" fillId="47" fontId="4" numFmtId="0" xfId="0" applyBorder="1" applyFont="1"/>
    <xf borderId="21" fillId="0" fontId="8" numFmtId="0" xfId="0" applyAlignment="1" applyBorder="1" applyFont="1">
      <alignment readingOrder="0" shrinkToFit="0" vertical="top" wrapText="1"/>
    </xf>
    <xf borderId="31" fillId="0" fontId="8" numFmtId="0" xfId="0" applyAlignment="1" applyBorder="1" applyFont="1">
      <alignment readingOrder="0" shrinkToFit="0" vertical="top" wrapText="1"/>
    </xf>
    <xf borderId="0" fillId="47" fontId="4" numFmtId="0" xfId="0" applyAlignment="1" applyFont="1">
      <alignment readingOrder="0" shrinkToFit="0" vertical="top" wrapText="1"/>
    </xf>
    <xf borderId="14" fillId="0" fontId="1" numFmtId="0" xfId="0" applyAlignment="1" applyBorder="1" applyFont="1">
      <alignment horizontal="center" readingOrder="0"/>
    </xf>
    <xf borderId="14" fillId="0" fontId="1" numFmtId="0" xfId="0" applyAlignment="1" applyBorder="1" applyFont="1">
      <alignment horizontal="right" readingOrder="0"/>
    </xf>
    <xf borderId="16" fillId="0" fontId="1" numFmtId="0" xfId="0" applyBorder="1" applyFont="1"/>
    <xf borderId="46" fillId="0" fontId="16" numFmtId="0" xfId="0" applyAlignment="1" applyBorder="1" applyFont="1">
      <alignment readingOrder="0" vertical="top"/>
    </xf>
    <xf borderId="45" fillId="0" fontId="91" numFmtId="0" xfId="0" applyBorder="1" applyFont="1"/>
    <xf borderId="46" fillId="0" fontId="16" numFmtId="0" xfId="0" applyAlignment="1" applyBorder="1" applyFont="1">
      <alignment horizontal="right" readingOrder="0" vertical="top"/>
    </xf>
    <xf borderId="47" fillId="0" fontId="91" numFmtId="0" xfId="0" applyAlignment="1" applyBorder="1" applyFont="1">
      <alignment horizontal="right"/>
    </xf>
    <xf borderId="45" fillId="3" fontId="98" numFmtId="166" xfId="0" applyAlignment="1" applyBorder="1" applyFont="1" applyNumberFormat="1">
      <alignment horizontal="left"/>
    </xf>
    <xf borderId="22" fillId="0" fontId="1" numFmtId="0" xfId="0" applyAlignment="1" applyBorder="1" applyFont="1">
      <alignment horizontal="center"/>
    </xf>
    <xf borderId="22" fillId="0" fontId="91" numFmtId="0" xfId="0" applyBorder="1" applyFont="1"/>
    <xf borderId="18" fillId="0" fontId="91" numFmtId="0" xfId="0" applyAlignment="1" applyBorder="1" applyFont="1">
      <alignment horizontal="right"/>
    </xf>
    <xf borderId="19" fillId="3" fontId="98" numFmtId="49" xfId="0" applyBorder="1" applyFont="1" applyNumberFormat="1"/>
    <xf borderId="14" fillId="8" fontId="2" numFmtId="0" xfId="0" applyAlignment="1" applyBorder="1" applyFont="1">
      <alignment horizontal="center" readingOrder="0"/>
    </xf>
    <xf borderId="14" fillId="0" fontId="91" numFmtId="0" xfId="0" applyAlignment="1" applyBorder="1" applyFont="1">
      <alignment horizontal="left" readingOrder="0"/>
    </xf>
    <xf borderId="16" fillId="0" fontId="91" numFmtId="0" xfId="0" applyBorder="1" applyFont="1"/>
    <xf borderId="15" fillId="0" fontId="91" numFmtId="0" xfId="0" applyAlignment="1" applyBorder="1" applyFont="1">
      <alignment horizontal="left"/>
    </xf>
    <xf borderId="14" fillId="0" fontId="91" numFmtId="0" xfId="0" applyAlignment="1" applyBorder="1" applyFont="1">
      <alignment readingOrder="0"/>
    </xf>
    <xf borderId="15" fillId="0" fontId="91" numFmtId="0" xfId="0" applyBorder="1" applyFont="1"/>
    <xf borderId="14" fillId="8" fontId="8" numFmtId="0" xfId="0" applyAlignment="1" applyBorder="1" applyFont="1">
      <alignment horizontal="center" readingOrder="0"/>
    </xf>
    <xf borderId="13" fillId="0" fontId="8" numFmtId="0" xfId="0" applyAlignment="1" applyBorder="1" applyFont="1">
      <alignment horizontal="center"/>
    </xf>
    <xf borderId="13" fillId="8" fontId="16" numFmtId="0" xfId="0" applyBorder="1" applyFont="1"/>
    <xf borderId="13" fillId="8" fontId="16" numFmtId="0" xfId="0" applyAlignment="1" applyBorder="1" applyFont="1">
      <alignment horizontal="center" readingOrder="0"/>
    </xf>
    <xf borderId="13" fillId="8" fontId="16" numFmtId="0" xfId="0" applyAlignment="1" applyBorder="1" applyFont="1">
      <alignment horizontal="center"/>
    </xf>
    <xf borderId="13" fillId="3" fontId="10" numFmtId="0" xfId="0" applyAlignment="1" applyBorder="1" applyFont="1">
      <alignment vertical="bottom"/>
    </xf>
    <xf borderId="15" fillId="3" fontId="10" numFmtId="0" xfId="0" applyAlignment="1" applyBorder="1" applyFont="1">
      <alignment vertical="bottom"/>
    </xf>
    <xf borderId="15" fillId="3" fontId="49" numFmtId="0" xfId="0" applyAlignment="1" applyBorder="1" applyFont="1">
      <alignment vertical="bottom"/>
    </xf>
    <xf borderId="0" fillId="3" fontId="16" numFmtId="0" xfId="0" applyAlignment="1" applyFont="1">
      <alignment horizontal="center"/>
    </xf>
    <xf borderId="0" fillId="3" fontId="16" numFmtId="0" xfId="0" applyAlignment="1" applyFont="1">
      <alignment horizontal="center" readingOrder="0"/>
    </xf>
    <xf borderId="0" fillId="3" fontId="146" numFmtId="0" xfId="0" applyAlignment="1" applyFont="1">
      <alignment horizontal="center" shrinkToFit="0" wrapText="1"/>
    </xf>
    <xf borderId="17" fillId="3" fontId="10" numFmtId="0" xfId="0" applyAlignment="1" applyBorder="1" applyFont="1">
      <alignment vertical="bottom"/>
    </xf>
    <xf borderId="19" fillId="3" fontId="10" numFmtId="0" xfId="0" applyAlignment="1" applyBorder="1" applyFont="1">
      <alignment vertical="bottom"/>
    </xf>
    <xf borderId="19" fillId="3" fontId="49" numFmtId="0" xfId="0" applyAlignment="1" applyBorder="1" applyFont="1">
      <alignment vertical="bottom"/>
    </xf>
    <xf borderId="20" fillId="3" fontId="10" numFmtId="0" xfId="0" applyAlignment="1" applyBorder="1" applyFont="1">
      <alignment vertical="bottom"/>
    </xf>
    <xf borderId="0" fillId="3" fontId="10" numFmtId="0" xfId="0" applyAlignment="1" applyFont="1">
      <alignment vertical="bottom"/>
    </xf>
    <xf borderId="33" fillId="3" fontId="10" numFmtId="0" xfId="0" applyAlignment="1" applyBorder="1" applyFont="1">
      <alignment vertical="bottom"/>
    </xf>
    <xf borderId="22" fillId="0" fontId="10" numFmtId="0" xfId="0" applyAlignment="1" applyBorder="1" applyFont="1">
      <alignment vertical="bottom"/>
    </xf>
    <xf borderId="31" fillId="0" fontId="8" numFmtId="0" xfId="0" applyAlignment="1" applyBorder="1" applyFont="1">
      <alignment readingOrder="0" shrinkToFit="0" wrapText="1"/>
    </xf>
    <xf borderId="31" fillId="47" fontId="8" numFmtId="0" xfId="0" applyAlignment="1" applyBorder="1" applyFont="1">
      <alignment readingOrder="0" shrinkToFit="0" wrapText="1"/>
    </xf>
    <xf borderId="39" fillId="0" fontId="4" numFmtId="0" xfId="0" applyAlignment="1" applyBorder="1" applyFont="1">
      <alignment readingOrder="0"/>
    </xf>
    <xf borderId="85" fillId="47" fontId="4" numFmtId="0" xfId="0" applyBorder="1" applyFont="1"/>
    <xf borderId="42" fillId="0" fontId="4" numFmtId="0" xfId="0" applyAlignment="1" applyBorder="1" applyFont="1">
      <alignment readingOrder="0"/>
    </xf>
    <xf borderId="14" fillId="47" fontId="4" numFmtId="0" xfId="0" applyBorder="1" applyFont="1"/>
    <xf borderId="51" fillId="47" fontId="4" numFmtId="0" xfId="0" applyAlignment="1" applyBorder="1" applyFont="1">
      <alignment readingOrder="0" shrinkToFit="0" wrapText="1"/>
    </xf>
    <xf borderId="75" fillId="0" fontId="8" numFmtId="0" xfId="0" applyAlignment="1" applyBorder="1" applyFont="1">
      <alignment readingOrder="0"/>
    </xf>
    <xf borderId="76" fillId="47" fontId="4" numFmtId="0" xfId="0" applyAlignment="1" applyBorder="1" applyFont="1">
      <alignment horizontal="center"/>
    </xf>
    <xf borderId="76" fillId="0" fontId="55" numFmtId="0" xfId="0" applyAlignment="1" applyBorder="1" applyFont="1">
      <alignment readingOrder="0"/>
    </xf>
    <xf borderId="130" fillId="0" fontId="8" numFmtId="0" xfId="0" applyAlignment="1" applyBorder="1" applyFont="1">
      <alignment readingOrder="0" shrinkToFit="0" vertical="bottom" wrapText="1"/>
    </xf>
    <xf borderId="75" fillId="0" fontId="8" numFmtId="0" xfId="0" applyAlignment="1" applyBorder="1" applyFont="1">
      <alignment readingOrder="0" shrinkToFit="0" vertical="top" wrapText="1"/>
    </xf>
    <xf borderId="131" fillId="0" fontId="8" numFmtId="0" xfId="0" applyAlignment="1" applyBorder="1" applyFont="1">
      <alignment horizontal="center" readingOrder="0" shrinkToFit="0" textRotation="90" vertical="bottom" wrapText="1"/>
    </xf>
    <xf borderId="95" fillId="0" fontId="115" numFmtId="0" xfId="0" applyAlignment="1" applyBorder="1" applyFont="1">
      <alignment horizontal="left" readingOrder="0" shrinkToFit="0" textRotation="90" vertical="bottom" wrapText="1"/>
    </xf>
    <xf borderId="132" fillId="0" fontId="147" numFmtId="0" xfId="0" applyAlignment="1" applyBorder="1" applyFont="1">
      <alignment readingOrder="0" shrinkToFit="0" vertical="top" wrapText="1"/>
    </xf>
    <xf borderId="131" fillId="47" fontId="4" numFmtId="0" xfId="0" applyAlignment="1" applyBorder="1" applyFont="1">
      <alignment horizontal="center" readingOrder="0" shrinkToFit="0" textRotation="90" vertical="bottom" wrapText="1"/>
    </xf>
    <xf borderId="95" fillId="47" fontId="4" numFmtId="0" xfId="0" applyAlignment="1" applyBorder="1" applyFont="1">
      <alignment horizontal="center" readingOrder="0" shrinkToFit="0" textRotation="90" vertical="bottom" wrapText="1"/>
    </xf>
    <xf borderId="132" fillId="47" fontId="4" numFmtId="0" xfId="0" applyAlignment="1" applyBorder="1" applyFont="1">
      <alignment horizontal="center" readingOrder="0" shrinkToFit="0" textRotation="90" vertical="bottom" wrapText="1"/>
    </xf>
    <xf borderId="97" fillId="0" fontId="4" numFmtId="0" xfId="0" applyBorder="1" applyFont="1"/>
    <xf borderId="21" fillId="47" fontId="8" numFmtId="0" xfId="0" applyAlignment="1" applyBorder="1" applyFont="1">
      <alignment readingOrder="0" shrinkToFit="0" vertical="top" wrapText="1"/>
    </xf>
    <xf borderId="147" fillId="47" fontId="4" numFmtId="0" xfId="0" applyAlignment="1" applyBorder="1" applyFont="1">
      <alignment readingOrder="0" shrinkToFit="0" vertical="top" wrapText="1"/>
    </xf>
    <xf borderId="148" fillId="47" fontId="4" numFmtId="0" xfId="0" applyAlignment="1" applyBorder="1" applyFont="1">
      <alignment readingOrder="0" shrinkToFit="0" vertical="top" wrapText="1"/>
    </xf>
    <xf borderId="149" fillId="47" fontId="4" numFmtId="0" xfId="0" applyAlignment="1" applyBorder="1" applyFont="1">
      <alignment horizontal="center" readingOrder="0" shrinkToFit="0" vertical="top" wrapText="1"/>
    </xf>
    <xf borderId="130" fillId="47" fontId="4" numFmtId="0" xfId="0" applyAlignment="1" applyBorder="1" applyFont="1">
      <alignment readingOrder="0" shrinkToFit="0" vertical="top" wrapText="1"/>
    </xf>
    <xf borderId="30" fillId="47" fontId="4" numFmtId="0" xfId="0" applyAlignment="1" applyBorder="1" applyFont="1">
      <alignment readingOrder="0" shrinkToFit="0" vertical="top" wrapText="1"/>
    </xf>
    <xf borderId="150" fillId="47" fontId="4" numFmtId="0" xfId="0" applyAlignment="1" applyBorder="1" applyFont="1">
      <alignment readingOrder="0" shrinkToFit="0" vertical="top" wrapText="1"/>
    </xf>
    <xf borderId="151" fillId="47" fontId="4" numFmtId="0" xfId="0" applyAlignment="1" applyBorder="1" applyFont="1">
      <alignment readingOrder="0" shrinkToFit="0" vertical="top" wrapText="1"/>
    </xf>
    <xf borderId="152" fillId="47" fontId="4" numFmtId="0" xfId="0" applyAlignment="1" applyBorder="1" applyFont="1">
      <alignment horizontal="center" readingOrder="0" shrinkToFit="0" vertical="top" wrapText="1"/>
    </xf>
    <xf borderId="153" fillId="47" fontId="4" numFmtId="0" xfId="0" applyAlignment="1" applyBorder="1" applyFont="1">
      <alignment readingOrder="0" shrinkToFit="0" vertical="top" wrapText="1"/>
    </xf>
    <xf borderId="154" fillId="47" fontId="4" numFmtId="0" xfId="0" applyAlignment="1" applyBorder="1" applyFont="1">
      <alignment readingOrder="0" shrinkToFit="0" vertical="top" wrapText="1"/>
    </xf>
    <xf borderId="75" fillId="0" fontId="8" numFmtId="0" xfId="0" applyAlignment="1" applyBorder="1" applyFont="1">
      <alignment readingOrder="0" shrinkToFit="0" wrapText="1"/>
    </xf>
    <xf borderId="112" fillId="0" fontId="8" numFmtId="0" xfId="0" applyAlignment="1" applyBorder="1" applyFont="1">
      <alignment horizontal="center" readingOrder="0" shrinkToFit="0" vertical="center" wrapText="1"/>
    </xf>
    <xf borderId="137" fillId="0" fontId="8" numFmtId="0" xfId="0" applyAlignment="1" applyBorder="1" applyFont="1">
      <alignment horizontal="center" readingOrder="0" shrinkToFit="0" vertical="center" wrapText="1"/>
    </xf>
    <xf borderId="77" fillId="0" fontId="8" numFmtId="0" xfId="0" applyAlignment="1" applyBorder="1" applyFont="1">
      <alignment readingOrder="0" shrinkToFit="0" wrapText="1"/>
    </xf>
    <xf borderId="43" fillId="0" fontId="8" numFmtId="0" xfId="0" applyAlignment="1" applyBorder="1" applyFont="1">
      <alignment readingOrder="0"/>
    </xf>
    <xf borderId="0" fillId="9" fontId="8" numFmtId="0" xfId="0" applyAlignment="1" applyFont="1">
      <alignment readingOrder="0"/>
    </xf>
    <xf borderId="0" fillId="0" fontId="4" numFmtId="9" xfId="0" applyAlignment="1" applyFont="1" applyNumberFormat="1">
      <alignment readingOrder="0"/>
    </xf>
    <xf borderId="33" fillId="0" fontId="2" numFmtId="0" xfId="0" applyAlignment="1" applyBorder="1" applyFont="1">
      <alignment horizontal="center"/>
    </xf>
    <xf borderId="33" fillId="0" fontId="2" numFmtId="0" xfId="0" applyAlignment="1" applyBorder="1" applyFont="1">
      <alignment horizontal="center" readingOrder="0" shrinkToFit="0" vertical="center" wrapText="1"/>
    </xf>
    <xf borderId="33" fillId="0" fontId="15" numFmtId="0" xfId="0" applyAlignment="1" applyBorder="1" applyFont="1">
      <alignment horizontal="center"/>
    </xf>
    <xf borderId="19" fillId="0" fontId="16" numFmtId="0" xfId="0" applyBorder="1" applyFont="1"/>
    <xf borderId="22" fillId="0" fontId="15" numFmtId="0" xfId="0" applyBorder="1" applyFont="1"/>
    <xf borderId="33" fillId="0" fontId="29" numFmtId="0" xfId="0" applyAlignment="1" applyBorder="1" applyFont="1">
      <alignment horizontal="center" readingOrder="0"/>
    </xf>
    <xf borderId="0" fillId="0" fontId="29" numFmtId="0" xfId="0" applyAlignment="1" applyFont="1">
      <alignment horizontal="center" readingOrder="0"/>
    </xf>
    <xf borderId="15" fillId="0" fontId="16" numFmtId="0" xfId="0" applyAlignment="1" applyBorder="1" applyFont="1">
      <alignment readingOrder="0"/>
    </xf>
    <xf borderId="15" fillId="0" fontId="16" numFmtId="0" xfId="0" applyBorder="1" applyFont="1"/>
    <xf borderId="14" fillId="3" fontId="16" numFmtId="0" xfId="0" applyBorder="1" applyFont="1"/>
    <xf borderId="13" fillId="3" fontId="33" numFmtId="0" xfId="0" applyAlignment="1" applyBorder="1" applyFont="1">
      <alignment horizontal="center"/>
    </xf>
    <xf borderId="14" fillId="3" fontId="16" numFmtId="0" xfId="0" applyAlignment="1" applyBorder="1" applyFont="1">
      <alignment horizontal="center"/>
    </xf>
    <xf borderId="13" fillId="3" fontId="16" numFmtId="0" xfId="0" applyAlignment="1" applyBorder="1" applyFont="1">
      <alignment horizontal="center"/>
    </xf>
    <xf borderId="13" fillId="3" fontId="16" numFmtId="0" xfId="0" applyAlignment="1" applyBorder="1" applyFont="1">
      <alignment horizontal="center" readingOrder="0"/>
    </xf>
    <xf borderId="13" fillId="3" fontId="146" numFmtId="0" xfId="0" applyAlignment="1" applyBorder="1" applyFont="1">
      <alignment horizontal="center" shrinkToFit="0" wrapText="1"/>
    </xf>
    <xf borderId="14" fillId="3" fontId="16" numFmtId="0" xfId="0" applyAlignment="1" applyBorder="1" applyFont="1">
      <alignment horizontal="left"/>
    </xf>
    <xf borderId="13" fillId="3" fontId="16" numFmtId="167" xfId="0" applyAlignment="1" applyBorder="1" applyFont="1" applyNumberFormat="1">
      <alignment horizontal="center"/>
    </xf>
    <xf borderId="13" fillId="3" fontId="16" numFmtId="178" xfId="0" applyAlignment="1" applyBorder="1" applyFont="1" applyNumberFormat="1">
      <alignment horizontal="center"/>
    </xf>
    <xf borderId="13" fillId="3" fontId="146" numFmtId="178" xfId="0" applyAlignment="1" applyBorder="1" applyFont="1" applyNumberFormat="1">
      <alignment horizontal="center" shrinkToFit="0" wrapText="1"/>
    </xf>
    <xf borderId="46" fillId="3" fontId="16" numFmtId="0" xfId="0" applyBorder="1" applyFont="1"/>
    <xf borderId="47" fillId="0" fontId="16" numFmtId="0" xfId="0" applyAlignment="1" applyBorder="1" applyFont="1">
      <alignment horizontal="left"/>
    </xf>
    <xf borderId="0" fillId="0" fontId="85" numFmtId="0" xfId="0" applyAlignment="1" applyFont="1">
      <alignment readingOrder="0" shrinkToFit="0" vertical="top" wrapText="1"/>
    </xf>
    <xf borderId="0" fillId="10" fontId="4" numFmtId="0" xfId="0" applyAlignment="1" applyFont="1">
      <alignment horizontal="center" readingOrder="0" vertical="center"/>
    </xf>
    <xf borderId="0" fillId="0" fontId="8" numFmtId="0" xfId="0" applyAlignment="1" applyFont="1">
      <alignment horizontal="right" readingOrder="0" shrinkToFit="0" vertical="center" wrapText="1"/>
    </xf>
    <xf borderId="137" fillId="5" fontId="2" numFmtId="0" xfId="0" applyAlignment="1" applyBorder="1" applyFont="1">
      <alignment horizontal="left" readingOrder="0" vertical="center"/>
    </xf>
    <xf borderId="155" fillId="4" fontId="4" numFmtId="0" xfId="0" applyAlignment="1" applyBorder="1" applyFont="1">
      <alignment readingOrder="0" shrinkToFit="0" vertical="top" wrapText="1"/>
    </xf>
    <xf borderId="156" fillId="0" fontId="4" numFmtId="0" xfId="0" applyBorder="1" applyFont="1"/>
    <xf borderId="86" fillId="0" fontId="4" numFmtId="0" xfId="0" applyBorder="1" applyFont="1"/>
    <xf borderId="89" fillId="0" fontId="4" numFmtId="0" xfId="0" applyBorder="1" applyFont="1"/>
    <xf borderId="157" fillId="0" fontId="4" numFmtId="0" xfId="0" applyBorder="1" applyFont="1"/>
    <xf borderId="158" fillId="0" fontId="4" numFmtId="0" xfId="0" applyBorder="1" applyFont="1"/>
    <xf borderId="0" fillId="38" fontId="8" numFmtId="0" xfId="0" applyAlignment="1" applyFont="1">
      <alignment readingOrder="0"/>
    </xf>
    <xf borderId="0" fillId="0" fontId="4" numFmtId="0" xfId="0" applyAlignment="1" applyFont="1">
      <alignment shrinkToFit="0" wrapText="0"/>
    </xf>
    <xf borderId="39" fillId="0" fontId="10" numFmtId="0" xfId="0" applyAlignment="1" applyBorder="1" applyFont="1">
      <alignment vertical="bottom"/>
    </xf>
    <xf borderId="40" fillId="0" fontId="10" numFmtId="0" xfId="0" applyAlignment="1" applyBorder="1" applyFont="1">
      <alignment vertical="bottom"/>
    </xf>
    <xf borderId="40" fillId="0" fontId="69" numFmtId="0" xfId="0" applyAlignment="1" applyBorder="1" applyFont="1">
      <alignment horizontal="center" readingOrder="0" vertical="bottom"/>
    </xf>
    <xf borderId="40" fillId="0" fontId="52" numFmtId="0" xfId="0" applyAlignment="1" applyBorder="1" applyFont="1">
      <alignment horizontal="center" shrinkToFit="0" vertical="bottom" wrapText="1"/>
    </xf>
    <xf borderId="31" fillId="0" fontId="9" numFmtId="0" xfId="0" applyAlignment="1" applyBorder="1" applyFont="1">
      <alignment readingOrder="0" vertical="bottom"/>
    </xf>
    <xf borderId="0" fillId="0" fontId="9" numFmtId="0" xfId="0" applyAlignment="1" applyFont="1">
      <alignment readingOrder="0" vertical="bottom"/>
    </xf>
    <xf borderId="0" fillId="3" fontId="9" numFmtId="49" xfId="0" applyAlignment="1" applyFont="1" applyNumberFormat="1">
      <alignment readingOrder="0" vertical="top"/>
    </xf>
    <xf borderId="43" fillId="0" fontId="9" numFmtId="0" xfId="0" applyAlignment="1" applyBorder="1" applyFont="1">
      <alignment horizontal="center" vertical="bottom"/>
    </xf>
    <xf borderId="0" fillId="3" fontId="10" numFmtId="174" xfId="0" applyAlignment="1" applyFont="1" applyNumberFormat="1">
      <alignment horizontal="center" vertical="bottom"/>
    </xf>
    <xf borderId="33" fillId="0" fontId="10" numFmtId="174" xfId="0" applyAlignment="1" applyBorder="1" applyFont="1" applyNumberFormat="1">
      <alignment horizontal="center" vertical="bottom"/>
    </xf>
    <xf borderId="0" fillId="3" fontId="9" numFmtId="49" xfId="0" applyAlignment="1" applyFont="1" applyNumberFormat="1">
      <alignment horizontal="center" readingOrder="0" vertical="top"/>
    </xf>
    <xf borderId="24" fillId="0" fontId="8" numFmtId="0" xfId="0" applyAlignment="1" applyBorder="1" applyFont="1">
      <alignment readingOrder="0"/>
    </xf>
    <xf borderId="36" fillId="0" fontId="4" numFmtId="0" xfId="0" applyAlignment="1" applyBorder="1" applyFont="1">
      <alignment readingOrder="0"/>
    </xf>
    <xf borderId="44" fillId="0" fontId="10" numFmtId="175" xfId="0" applyAlignment="1" applyBorder="1" applyFont="1" applyNumberFormat="1">
      <alignment horizontal="center" vertical="bottom"/>
    </xf>
    <xf borderId="36" fillId="0" fontId="10" numFmtId="0" xfId="0" applyAlignment="1" applyBorder="1" applyFont="1">
      <alignment horizontal="center" readingOrder="0" vertical="bottom"/>
    </xf>
    <xf borderId="40" fillId="0" fontId="8" numFmtId="0" xfId="0" applyAlignment="1" applyBorder="1" applyFont="1">
      <alignment readingOrder="0"/>
    </xf>
    <xf borderId="32" fillId="0" fontId="4" numFmtId="0" xfId="0" applyAlignment="1" applyBorder="1" applyFont="1">
      <alignment readingOrder="0"/>
    </xf>
    <xf borderId="13" fillId="0" fontId="10" numFmtId="0" xfId="0" applyAlignment="1" applyBorder="1" applyFont="1">
      <alignment horizontal="center" vertical="bottom"/>
    </xf>
    <xf borderId="13" fillId="0" fontId="10" numFmtId="0" xfId="0" applyAlignment="1" applyBorder="1" applyFont="1">
      <alignment vertical="bottom"/>
    </xf>
    <xf borderId="13" fillId="0" fontId="10" numFmtId="0" xfId="0" applyAlignment="1" applyBorder="1" applyFont="1">
      <alignment vertical="bottom"/>
    </xf>
    <xf borderId="13" fillId="0" fontId="10" numFmtId="0" xfId="0" applyBorder="1" applyFont="1"/>
    <xf borderId="14" fillId="0" fontId="9" numFmtId="0" xfId="0" applyAlignment="1" applyBorder="1" applyFont="1">
      <alignment vertical="bottom"/>
    </xf>
    <xf borderId="31" fillId="0" fontId="4" numFmtId="0" xfId="0" applyAlignment="1" applyBorder="1" applyFont="1">
      <alignment shrinkToFit="0" vertical="top" wrapText="1"/>
    </xf>
    <xf borderId="36" fillId="0" fontId="8" numFmtId="0" xfId="0" applyAlignment="1" applyBorder="1" applyFont="1">
      <alignment readingOrder="0"/>
    </xf>
    <xf borderId="37" fillId="0" fontId="8" numFmtId="0" xfId="0" applyAlignment="1" applyBorder="1" applyFont="1">
      <alignment readingOrder="0"/>
    </xf>
    <xf borderId="31" fillId="3" fontId="148" numFmtId="0" xfId="0" applyAlignment="1" applyBorder="1" applyFont="1">
      <alignment readingOrder="0"/>
    </xf>
    <xf borderId="0" fillId="0" fontId="4" numFmtId="0" xfId="0" applyFont="1"/>
    <xf borderId="85" fillId="0" fontId="8" numFmtId="0" xfId="0" applyAlignment="1" applyBorder="1" applyFont="1">
      <alignment readingOrder="0"/>
    </xf>
    <xf borderId="42" fillId="0" fontId="4" numFmtId="0" xfId="0" applyBorder="1" applyFont="1"/>
    <xf borderId="42" fillId="0" fontId="8" numFmtId="0" xfId="0" applyAlignment="1" applyBorder="1" applyFont="1">
      <alignment readingOrder="0"/>
    </xf>
    <xf borderId="92" fillId="0" fontId="4" numFmtId="0" xfId="0" applyBorder="1" applyFont="1"/>
    <xf borderId="25" fillId="0" fontId="4" numFmtId="0" xfId="0" applyBorder="1" applyFont="1"/>
    <xf borderId="21" fillId="3" fontId="148" numFmtId="0" xfId="0" applyAlignment="1" applyBorder="1" applyFont="1">
      <alignment readingOrder="0"/>
    </xf>
    <xf borderId="21" fillId="0" fontId="6" numFmtId="0" xfId="0" applyAlignment="1" applyBorder="1" applyFont="1">
      <alignment horizontal="center" readingOrder="0" vertical="bottom"/>
    </xf>
    <xf borderId="28" fillId="0" fontId="4" numFmtId="0" xfId="0" applyAlignment="1" applyBorder="1" applyFont="1">
      <alignment readingOrder="0"/>
    </xf>
    <xf borderId="28" fillId="0" fontId="8" numFmtId="0" xfId="0" applyAlignment="1" applyBorder="1" applyFont="1">
      <alignment readingOrder="0"/>
    </xf>
    <xf borderId="31" fillId="0" fontId="8" numFmtId="0" xfId="0" applyAlignment="1" applyBorder="1" applyFont="1">
      <alignment horizontal="center" readingOrder="0"/>
    </xf>
    <xf borderId="0" fillId="3" fontId="148" numFmtId="0" xfId="0" applyAlignment="1" applyFont="1">
      <alignment readingOrder="0"/>
    </xf>
    <xf borderId="24" fillId="0" fontId="21" numFmtId="0" xfId="0" applyAlignment="1" applyBorder="1" applyFont="1">
      <alignment horizontal="right" readingOrder="0"/>
    </xf>
    <xf borderId="36" fillId="3" fontId="148" numFmtId="0" xfId="0" applyAlignment="1" applyBorder="1" applyFont="1">
      <alignment readingOrder="0"/>
    </xf>
  </cellXfs>
  <cellStyles count="1">
    <cellStyle xfId="0" name="Normal" builtinId="0"/>
  </cellStyles>
  <dxfs count="22">
    <dxf>
      <font>
        <b/>
        <color rgb="FFFF0000"/>
      </font>
      <fill>
        <patternFill patternType="none"/>
      </fill>
      <border/>
    </dxf>
    <dxf>
      <font>
        <b/>
      </font>
      <fill>
        <patternFill patternType="solid">
          <fgColor rgb="FFD9D9D9"/>
          <bgColor rgb="FFD9D9D9"/>
        </patternFill>
      </fill>
      <border/>
    </dxf>
    <dxf>
      <font>
        <i/>
      </font>
      <fill>
        <patternFill patternType="solid">
          <fgColor rgb="FFB7B7B7"/>
          <bgColor rgb="FFB7B7B7"/>
        </patternFill>
      </fill>
      <border/>
    </dxf>
    <dxf>
      <font>
        <b/>
        <i/>
      </font>
      <fill>
        <patternFill patternType="solid">
          <fgColor rgb="FFCCCCCC"/>
          <bgColor rgb="FFCCCCCC"/>
        </patternFill>
      </fill>
      <border/>
    </dxf>
    <dxf>
      <font>
        <b/>
      </font>
      <fill>
        <patternFill patternType="solid">
          <fgColor rgb="FFCCCCCC"/>
          <bgColor rgb="FFCCCCCC"/>
        </patternFill>
      </fill>
      <border/>
    </dxf>
    <dxf>
      <font>
        <b/>
      </font>
      <fill>
        <patternFill patternType="solid">
          <fgColor rgb="FF999999"/>
          <bgColor rgb="FF999999"/>
        </patternFill>
      </fill>
      <border/>
    </dxf>
    <dxf>
      <font/>
      <fill>
        <patternFill patternType="solid">
          <fgColor rgb="FFE06666"/>
          <bgColor rgb="FFE06666"/>
        </patternFill>
      </fill>
      <border/>
    </dxf>
    <dxf>
      <font>
        <b/>
        <color rgb="FF5B0F00"/>
      </font>
      <fill>
        <patternFill patternType="none"/>
      </fill>
      <border/>
    </dxf>
    <dxf>
      <font>
        <b/>
      </font>
      <fill>
        <patternFill patternType="none"/>
      </fill>
      <border/>
    </dxf>
    <dxf>
      <font>
        <color rgb="FF5B0F00"/>
      </font>
      <fill>
        <patternFill patternType="none"/>
      </fill>
      <border/>
    </dxf>
    <dxf>
      <font/>
      <fill>
        <patternFill patternType="solid">
          <fgColor rgb="FFCCCCCC"/>
          <bgColor rgb="FFCCCCCC"/>
        </patternFill>
      </fill>
      <border/>
    </dxf>
    <dxf>
      <font>
        <color rgb="FFFF0000"/>
      </font>
      <fill>
        <patternFill patternType="none"/>
      </fill>
      <border/>
    </dxf>
    <dxf>
      <font/>
      <numFmt numFmtId="0" formatCode="####\'"/>
      <fill>
        <patternFill patternType="none"/>
      </fill>
      <alignment shrinkToFit="0" wrapText="0"/>
      <border/>
    </dxf>
    <dxf>
      <font>
        <b/>
      </font>
      <fill>
        <patternFill patternType="solid">
          <fgColor rgb="FFE06666"/>
          <bgColor rgb="FFE06666"/>
        </patternFill>
      </fill>
      <border/>
    </dxf>
    <dxf>
      <font>
        <b/>
        <color rgb="FF000000"/>
      </font>
      <fill>
        <patternFill patternType="solid">
          <fgColor rgb="FFFFE599"/>
          <bgColor rgb="FFFFE599"/>
        </patternFill>
      </fill>
      <border/>
    </dxf>
    <dxf>
      <font>
        <b/>
        <color rgb="FFFF0000"/>
      </font>
      <fill>
        <patternFill patternType="none"/>
      </fill>
      <alignment shrinkToFit="0" wrapText="0"/>
      <border/>
    </dxf>
    <dxf>
      <font>
        <b/>
        <color rgb="FF00B050"/>
      </font>
      <fill>
        <patternFill patternType="none"/>
      </fill>
      <alignment shrinkToFit="0" wrapText="0"/>
      <border/>
    </dxf>
    <dxf>
      <font/>
      <fill>
        <patternFill patternType="solid">
          <fgColor rgb="FFF4C7C3"/>
          <bgColor rgb="FFF4C7C3"/>
        </patternFill>
      </fill>
      <border/>
    </dxf>
    <dxf>
      <font/>
      <fill>
        <patternFill patternType="solid">
          <fgColor rgb="FFB7E1CD"/>
          <bgColor rgb="FFB7E1CD"/>
        </patternFill>
      </fill>
      <border/>
    </dxf>
    <dxf>
      <font/>
      <fill>
        <patternFill patternType="solid">
          <fgColor rgb="FFFFFF00"/>
          <bgColor rgb="FFFFFF00"/>
        </patternFill>
      </fill>
      <border/>
    </dxf>
    <dxf>
      <font/>
      <fill>
        <patternFill patternType="solid">
          <fgColor rgb="FFFCE5CD"/>
          <bgColor rgb="FFFCE5CD"/>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62" Type="http://schemas.openxmlformats.org/officeDocument/2006/relationships/worksheet" Target="worksheets/sheet60.xml"/><Relationship Id="rId61" Type="http://schemas.openxmlformats.org/officeDocument/2006/relationships/worksheet" Target="worksheets/sheet59.xml"/><Relationship Id="rId20" Type="http://schemas.openxmlformats.org/officeDocument/2006/relationships/worksheet" Target="worksheets/sheet18.xml"/><Relationship Id="rId64" Type="http://schemas.openxmlformats.org/officeDocument/2006/relationships/worksheet" Target="worksheets/sheet62.xml"/><Relationship Id="rId63" Type="http://schemas.openxmlformats.org/officeDocument/2006/relationships/worksheet" Target="worksheets/sheet61.xml"/><Relationship Id="rId22" Type="http://schemas.openxmlformats.org/officeDocument/2006/relationships/worksheet" Target="worksheets/sheet20.xml"/><Relationship Id="rId66" Type="http://schemas.openxmlformats.org/officeDocument/2006/relationships/worksheet" Target="worksheets/sheet64.xml"/><Relationship Id="rId21" Type="http://schemas.openxmlformats.org/officeDocument/2006/relationships/worksheet" Target="worksheets/sheet19.xml"/><Relationship Id="rId65" Type="http://schemas.openxmlformats.org/officeDocument/2006/relationships/worksheet" Target="worksheets/sheet63.xml"/><Relationship Id="rId24" Type="http://schemas.openxmlformats.org/officeDocument/2006/relationships/worksheet" Target="worksheets/sheet22.xml"/><Relationship Id="rId68" Type="http://schemas.openxmlformats.org/officeDocument/2006/relationships/worksheet" Target="worksheets/sheet66.xml"/><Relationship Id="rId23" Type="http://schemas.openxmlformats.org/officeDocument/2006/relationships/worksheet" Target="worksheets/sheet21.xml"/><Relationship Id="rId67" Type="http://schemas.openxmlformats.org/officeDocument/2006/relationships/worksheet" Target="worksheets/sheet65.xml"/><Relationship Id="rId60" Type="http://schemas.openxmlformats.org/officeDocument/2006/relationships/worksheet" Target="worksheets/sheet58.xml"/><Relationship Id="rId26" Type="http://schemas.openxmlformats.org/officeDocument/2006/relationships/worksheet" Target="worksheets/sheet24.xml"/><Relationship Id="rId25" Type="http://schemas.openxmlformats.org/officeDocument/2006/relationships/worksheet" Target="worksheets/sheet23.xml"/><Relationship Id="rId69" Type="http://schemas.openxmlformats.org/officeDocument/2006/relationships/worksheet" Target="worksheets/sheet67.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11" Type="http://schemas.openxmlformats.org/officeDocument/2006/relationships/worksheet" Target="worksheets/sheet9.xml"/><Relationship Id="rId55" Type="http://schemas.openxmlformats.org/officeDocument/2006/relationships/worksheet" Target="worksheets/sheet53.xml"/><Relationship Id="rId10" Type="http://schemas.openxmlformats.org/officeDocument/2006/relationships/worksheet" Target="worksheets/sheet8.xml"/><Relationship Id="rId54" Type="http://schemas.openxmlformats.org/officeDocument/2006/relationships/worksheet" Target="worksheets/sheet52.xml"/><Relationship Id="rId13" Type="http://schemas.openxmlformats.org/officeDocument/2006/relationships/worksheet" Target="worksheets/sheet11.xml"/><Relationship Id="rId57" Type="http://schemas.openxmlformats.org/officeDocument/2006/relationships/worksheet" Target="worksheets/sheet55.xml"/><Relationship Id="rId12" Type="http://schemas.openxmlformats.org/officeDocument/2006/relationships/worksheet" Target="worksheets/sheet10.xml"/><Relationship Id="rId56" Type="http://schemas.openxmlformats.org/officeDocument/2006/relationships/worksheet" Target="worksheets/sheet54.xml"/><Relationship Id="rId15" Type="http://schemas.openxmlformats.org/officeDocument/2006/relationships/worksheet" Target="worksheets/sheet13.xml"/><Relationship Id="rId59" Type="http://schemas.openxmlformats.org/officeDocument/2006/relationships/worksheet" Target="worksheets/sheet57.xml"/><Relationship Id="rId14" Type="http://schemas.openxmlformats.org/officeDocument/2006/relationships/worksheet" Target="worksheets/sheet12.xml"/><Relationship Id="rId58" Type="http://schemas.openxmlformats.org/officeDocument/2006/relationships/worksheet" Target="worksheets/sheet56.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jpg"/><Relationship Id="rId3" Type="http://schemas.openxmlformats.org/officeDocument/2006/relationships/image" Target="../media/image3.jpg"/><Relationship Id="rId4" Type="http://schemas.openxmlformats.org/officeDocument/2006/relationships/image" Target="../media/image4.jpg"/><Relationship Id="rId5"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5.jpg"/><Relationship Id="rId2" Type="http://schemas.openxmlformats.org/officeDocument/2006/relationships/image" Target="../media/image7.png"/><Relationship Id="rId3" Type="http://schemas.openxmlformats.org/officeDocument/2006/relationships/image" Target="../media/image10.png"/><Relationship Id="rId4" Type="http://schemas.openxmlformats.org/officeDocument/2006/relationships/image" Target="../media/image8.png"/><Relationship Id="rId5" Type="http://schemas.openxmlformats.org/officeDocument/2006/relationships/image" Target="../media/image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4.gif"/><Relationship Id="rId2" Type="http://schemas.openxmlformats.org/officeDocument/2006/relationships/image" Target="../media/image12.gif"/></Relationships>
</file>

<file path=xl/drawings/_rels/drawing18.xml.rels><?xml version="1.0" encoding="UTF-8" standalone="yes"?><Relationships xmlns="http://schemas.openxmlformats.org/package/2006/relationships"><Relationship Id="rId1" Type="http://schemas.openxmlformats.org/officeDocument/2006/relationships/image" Target="../media/image15.png"/><Relationship Id="rId2" Type="http://schemas.openxmlformats.org/officeDocument/2006/relationships/image" Target="../media/image16.png"/><Relationship Id="rId3" Type="http://schemas.openxmlformats.org/officeDocument/2006/relationships/image" Target="../media/image11.gif"/></Relationships>
</file>

<file path=xl/drawings/_rels/drawing3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9.gif"/></Relationships>
</file>

<file path=xl/drawings/_rels/drawing4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20.png"/></Relationships>
</file>

<file path=xl/drawings/_rels/drawing42.xml.rels><?xml version="1.0" encoding="UTF-8" standalone="yes"?><Relationships xmlns="http://schemas.openxmlformats.org/package/2006/relationships"><Relationship Id="rId1" Type="http://schemas.openxmlformats.org/officeDocument/2006/relationships/image" Target="../media/image20.png"/></Relationships>
</file>

<file path=xl/drawings/_rels/drawing45.xml.rels><?xml version="1.0" encoding="UTF-8" standalone="yes"?><Relationships xmlns="http://schemas.openxmlformats.org/package/2006/relationships"><Relationship Id="rId1" Type="http://schemas.openxmlformats.org/officeDocument/2006/relationships/image" Target="../media/image2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11.gif"/></Relationships>
</file>

<file path=xl/drawings/_rels/drawing54.xml.rels><?xml version="1.0" encoding="UTF-8" standalone="yes"?><Relationships xmlns="http://schemas.openxmlformats.org/package/2006/relationships"><Relationship Id="rId1" Type="http://schemas.openxmlformats.org/officeDocument/2006/relationships/image" Target="../media/image23.png"/><Relationship Id="rId2" Type="http://schemas.openxmlformats.org/officeDocument/2006/relationships/image" Target="../media/image24.png"/><Relationship Id="rId3" Type="http://schemas.openxmlformats.org/officeDocument/2006/relationships/image" Target="../media/image25.png"/></Relationships>
</file>

<file path=xl/drawings/_rels/drawing56.xml.rels><?xml version="1.0" encoding="UTF-8" standalone="yes"?><Relationships xmlns="http://schemas.openxmlformats.org/package/2006/relationships"><Relationship Id="rId1" Type="http://schemas.openxmlformats.org/officeDocument/2006/relationships/image" Target="../media/image26.png"/><Relationship Id="rId2" Type="http://schemas.openxmlformats.org/officeDocument/2006/relationships/image" Target="../media/image28.png"/></Relationships>
</file>

<file path=xl/drawings/_rels/drawing63.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76200</xdr:colOff>
      <xdr:row>9</xdr:row>
      <xdr:rowOff>57150</xdr:rowOff>
    </xdr:from>
    <xdr:ext cx="1695450" cy="1524000"/>
    <xdr:pic>
      <xdr:nvPicPr>
        <xdr:cNvPr id="0" name="image1.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47625</xdr:colOff>
      <xdr:row>9</xdr:row>
      <xdr:rowOff>76200</xdr:rowOff>
    </xdr:from>
    <xdr:ext cx="1704975" cy="1533525"/>
    <xdr:pic>
      <xdr:nvPicPr>
        <xdr:cNvPr id="0" name="image2.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57150</xdr:colOff>
      <xdr:row>21</xdr:row>
      <xdr:rowOff>38100</xdr:rowOff>
    </xdr:from>
    <xdr:ext cx="1781175" cy="857250"/>
    <xdr:pic>
      <xdr:nvPicPr>
        <xdr:cNvPr id="0" name="image3.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47625</xdr:colOff>
      <xdr:row>21</xdr:row>
      <xdr:rowOff>47625</xdr:rowOff>
    </xdr:from>
    <xdr:ext cx="1790700" cy="1076325"/>
    <xdr:pic>
      <xdr:nvPicPr>
        <xdr:cNvPr id="0" name="image4.jp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85725</xdr:colOff>
      <xdr:row>21</xdr:row>
      <xdr:rowOff>180975</xdr:rowOff>
    </xdr:from>
    <xdr:ext cx="3257550" cy="666750"/>
    <xdr:pic>
      <xdr:nvPicPr>
        <xdr:cNvPr id="0" name="image9.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962025</xdr:colOff>
      <xdr:row>0</xdr:row>
      <xdr:rowOff>19050</xdr:rowOff>
    </xdr:from>
    <xdr:ext cx="1238250" cy="1171575"/>
    <xdr:pic>
      <xdr:nvPicPr>
        <xdr:cNvPr id="0" name="image5.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190500</xdr:colOff>
      <xdr:row>26</xdr:row>
      <xdr:rowOff>228600</xdr:rowOff>
    </xdr:from>
    <xdr:ext cx="1057275" cy="257175"/>
    <xdr:pic>
      <xdr:nvPicPr>
        <xdr:cNvPr id="0" name="image7.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190500</xdr:colOff>
      <xdr:row>28</xdr:row>
      <xdr:rowOff>9525</xdr:rowOff>
    </xdr:from>
    <xdr:ext cx="1057275" cy="257175"/>
    <xdr:pic>
      <xdr:nvPicPr>
        <xdr:cNvPr id="0" name="image7.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180975</xdr:colOff>
      <xdr:row>29</xdr:row>
      <xdr:rowOff>180975</xdr:rowOff>
    </xdr:from>
    <xdr:ext cx="1057275" cy="257175"/>
    <xdr:pic>
      <xdr:nvPicPr>
        <xdr:cNvPr id="0" name="image7.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190500</xdr:colOff>
      <xdr:row>31</xdr:row>
      <xdr:rowOff>180975</xdr:rowOff>
    </xdr:from>
    <xdr:ext cx="1057275" cy="257175"/>
    <xdr:pic>
      <xdr:nvPicPr>
        <xdr:cNvPr id="0" name="image7.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381000</xdr:colOff>
      <xdr:row>19</xdr:row>
      <xdr:rowOff>114300</xdr:rowOff>
    </xdr:from>
    <xdr:ext cx="1123950" cy="276225"/>
    <xdr:pic>
      <xdr:nvPicPr>
        <xdr:cNvPr id="0" name="image10.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371475</xdr:colOff>
      <xdr:row>51</xdr:row>
      <xdr:rowOff>180975</xdr:rowOff>
    </xdr:from>
    <xdr:ext cx="1238250" cy="285750"/>
    <xdr:pic>
      <xdr:nvPicPr>
        <xdr:cNvPr id="0" name="image8.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76200</xdr:colOff>
      <xdr:row>35</xdr:row>
      <xdr:rowOff>209550</xdr:rowOff>
    </xdr:from>
    <xdr:ext cx="1323975" cy="285750"/>
    <xdr:pic>
      <xdr:nvPicPr>
        <xdr:cNvPr id="0" name="image6.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361950</xdr:colOff>
      <xdr:row>15</xdr:row>
      <xdr:rowOff>57150</xdr:rowOff>
    </xdr:from>
    <xdr:ext cx="5505450" cy="657225"/>
    <xdr:sp>
      <xdr:nvSpPr>
        <xdr:cNvPr id="3" name="Shape 3"/>
        <xdr:cNvSpPr txBox="1"/>
      </xdr:nvSpPr>
      <xdr:spPr>
        <a:xfrm>
          <a:off x="819150" y="723925"/>
          <a:ext cx="5486400" cy="640200"/>
        </a:xfrm>
        <a:prstGeom prst="rect">
          <a:avLst/>
        </a:prstGeom>
        <a:solidFill>
          <a:srgbClr val="FFF2CC"/>
        </a:solid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400"/>
            <a:t>This is an example of the FEMA  204. You should delete this before using this application on an incident.</a:t>
          </a:r>
          <a:endParaRPr sz="1400"/>
        </a:p>
      </xdr:txBody>
    </xdr:sp>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66675</xdr:colOff>
      <xdr:row>13</xdr:row>
      <xdr:rowOff>57150</xdr:rowOff>
    </xdr:from>
    <xdr:ext cx="5505450" cy="657225"/>
    <xdr:sp>
      <xdr:nvSpPr>
        <xdr:cNvPr id="4" name="Shape 4"/>
        <xdr:cNvSpPr txBox="1"/>
      </xdr:nvSpPr>
      <xdr:spPr>
        <a:xfrm>
          <a:off x="485775" y="438175"/>
          <a:ext cx="5486400" cy="640200"/>
        </a:xfrm>
        <a:prstGeom prst="rect">
          <a:avLst/>
        </a:prstGeom>
        <a:solidFill>
          <a:srgbClr val="FFF2CC"/>
        </a:solid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400"/>
            <a:t>This is an example of the NWCG 204. You should delete this before using this application on an incident.</a:t>
          </a:r>
          <a:endParaRPr sz="1400"/>
        </a:p>
      </xdr:txBody>
    </xdr:sp>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447675</xdr:colOff>
      <xdr:row>1</xdr:row>
      <xdr:rowOff>28575</xdr:rowOff>
    </xdr:from>
    <xdr:ext cx="809625" cy="219075"/>
    <xdr:pic>
      <xdr:nvPicPr>
        <xdr:cNvPr id="0" name="image14.gif"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504825</xdr:colOff>
      <xdr:row>1</xdr:row>
      <xdr:rowOff>28575</xdr:rowOff>
    </xdr:from>
    <xdr:ext cx="819150" cy="219075"/>
    <xdr:pic>
      <xdr:nvPicPr>
        <xdr:cNvPr id="0" name="image12.gif"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590550</xdr:colOff>
      <xdr:row>1</xdr:row>
      <xdr:rowOff>19050</xdr:rowOff>
    </xdr:from>
    <xdr:ext cx="790575" cy="209550"/>
    <xdr:pic>
      <xdr:nvPicPr>
        <xdr:cNvPr id="0" name="image13.gif"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971550</xdr:colOff>
      <xdr:row>5</xdr:row>
      <xdr:rowOff>200025</xdr:rowOff>
    </xdr:from>
    <xdr:ext cx="4543425" cy="2781300"/>
    <xdr:pic>
      <xdr:nvPicPr>
        <xdr:cNvPr id="0" name="image1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904875</xdr:colOff>
      <xdr:row>6</xdr:row>
      <xdr:rowOff>38100</xdr:rowOff>
    </xdr:from>
    <xdr:ext cx="3819525" cy="2543175"/>
    <xdr:pic>
      <xdr:nvPicPr>
        <xdr:cNvPr id="0" name="image1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828675</xdr:colOff>
      <xdr:row>0</xdr:row>
      <xdr:rowOff>123825</xdr:rowOff>
    </xdr:from>
    <xdr:ext cx="1200150" cy="323850"/>
    <xdr:pic>
      <xdr:nvPicPr>
        <xdr:cNvPr id="0" name="image11.gif"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104775</xdr:colOff>
      <xdr:row>2</xdr:row>
      <xdr:rowOff>38100</xdr:rowOff>
    </xdr:from>
    <xdr:ext cx="504825" cy="390525"/>
    <xdr:sp>
      <xdr:nvSpPr>
        <xdr:cNvPr id="5" name="Shape 5"/>
        <xdr:cNvSpPr txBox="1"/>
      </xdr:nvSpPr>
      <xdr:spPr>
        <a:xfrm>
          <a:off x="127975" y="137925"/>
          <a:ext cx="796500" cy="615600"/>
        </a:xfrm>
        <a:prstGeom prst="rect">
          <a:avLst/>
        </a:prstGeom>
        <a:solidFill>
          <a:srgbClr val="FCE5CD"/>
        </a:solidFill>
        <a:ln cap="flat" cmpd="sng" w="19050">
          <a:solidFill>
            <a:srgbClr val="000000"/>
          </a:solidFill>
          <a:prstDash val="solid"/>
          <a:round/>
          <a:headEnd len="sm" w="sm" type="none"/>
          <a:tailEnd len="sm" w="sm" type="none"/>
        </a:ln>
      </xdr:spPr>
      <xdr:txBody>
        <a:bodyPr anchorCtr="0" anchor="t" bIns="91425" lIns="91425" spcFirstLastPara="1" rIns="91425" wrap="square" tIns="91425">
          <a:spAutoFit/>
        </a:bodyPr>
        <a:lstStyle/>
        <a:p>
          <a:pPr indent="0" lvl="0" marL="0" rtl="0" algn="l">
            <a:spcBef>
              <a:spcPts val="0"/>
            </a:spcBef>
            <a:spcAft>
              <a:spcPts val="0"/>
            </a:spcAft>
            <a:buNone/>
          </a:pPr>
          <a:r>
            <a:rPr b="1" lang="en-US" sz="1400"/>
            <a:t>Hide /</a:t>
          </a:r>
          <a:endParaRPr b="1" sz="1400"/>
        </a:p>
        <a:p>
          <a:pPr indent="0" lvl="0" marL="0" rtl="0" algn="l">
            <a:spcBef>
              <a:spcPts val="0"/>
            </a:spcBef>
            <a:spcAft>
              <a:spcPts val="0"/>
            </a:spcAft>
            <a:buNone/>
          </a:pPr>
          <a:r>
            <a:rPr b="1" lang="en-US" sz="1400"/>
            <a:t>Unhide</a:t>
          </a:r>
          <a:endParaRPr b="1" sz="1400"/>
        </a:p>
      </xdr:txBody>
    </xdr:sp>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6</xdr:row>
      <xdr:rowOff>9525</xdr:rowOff>
    </xdr:from>
    <xdr:ext cx="676275" cy="333375"/>
    <xdr:grpSp>
      <xdr:nvGrpSpPr>
        <xdr:cNvPr id="2" name="Shape 2" title="Drawing"/>
        <xdr:cNvGrpSpPr/>
      </xdr:nvGrpSpPr>
      <xdr:grpSpPr>
        <a:xfrm>
          <a:off x="-29300" y="49175"/>
          <a:ext cx="845700" cy="452600"/>
          <a:chOff x="-29300" y="49175"/>
          <a:chExt cx="845700" cy="452600"/>
        </a:xfrm>
      </xdr:grpSpPr>
      <xdr:sp>
        <xdr:nvSpPr>
          <xdr:cNvPr id="6" name="Shape 6"/>
          <xdr:cNvSpPr/>
        </xdr:nvSpPr>
        <xdr:spPr>
          <a:xfrm>
            <a:off x="49300" y="98575"/>
            <a:ext cx="688500" cy="403200"/>
          </a:xfrm>
          <a:prstGeom prst="roundRect">
            <a:avLst>
              <a:gd fmla="val 16667" name="adj"/>
            </a:avLst>
          </a:prstGeom>
          <a:solidFill>
            <a:srgbClr val="9FC5E8"/>
          </a:solidFill>
          <a:ln cap="flat" cmpd="sng" w="9525">
            <a:solidFill>
              <a:srgbClr val="0000F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 name="Shape 7"/>
          <xdr:cNvSpPr txBox="1"/>
        </xdr:nvSpPr>
        <xdr:spPr>
          <a:xfrm>
            <a:off x="-29300" y="49175"/>
            <a:ext cx="845700" cy="403200"/>
          </a:xfrm>
          <a:prstGeom prst="rect">
            <a:avLst/>
          </a:prstGeom>
          <a:noFill/>
          <a:ln>
            <a:noFill/>
          </a:ln>
        </xdr:spPr>
        <xdr:txBody>
          <a:bodyPr anchorCtr="0" anchor="t" bIns="91425" lIns="91425" spcFirstLastPara="1" rIns="91425" wrap="square" tIns="91425">
            <a:noAutofit/>
          </a:bodyPr>
          <a:lstStyle/>
          <a:p>
            <a:pPr indent="0" lvl="0" marL="0" rtl="0" algn="ctr">
              <a:spcBef>
                <a:spcPts val="0"/>
              </a:spcBef>
              <a:spcAft>
                <a:spcPts val="0"/>
              </a:spcAft>
              <a:buNone/>
            </a:pPr>
            <a:r>
              <a:rPr b="1" lang="en-US" sz="1200"/>
              <a:t>Add to 206</a:t>
            </a:r>
            <a:endParaRPr b="1" sz="1200"/>
          </a:p>
        </xdr:txBody>
      </xdr:sp>
    </xdr:grpSp>
    <xdr:clientData fLocksWithSheet="0"/>
  </xdr:oneCellAnchor>
  <xdr:oneCellAnchor>
    <xdr:from>
      <xdr:col>3</xdr:col>
      <xdr:colOff>28575</xdr:colOff>
      <xdr:row>5</xdr:row>
      <xdr:rowOff>28575</xdr:rowOff>
    </xdr:from>
    <xdr:ext cx="1428750" cy="209550"/>
    <xdr:grpSp>
      <xdr:nvGrpSpPr>
        <xdr:cNvPr id="2" name="Shape 2" title="Drawing"/>
        <xdr:cNvGrpSpPr/>
      </xdr:nvGrpSpPr>
      <xdr:grpSpPr>
        <a:xfrm>
          <a:off x="78675" y="88500"/>
          <a:ext cx="1780200" cy="314700"/>
          <a:chOff x="78675" y="88500"/>
          <a:chExt cx="1780200" cy="314700"/>
        </a:xfrm>
      </xdr:grpSpPr>
      <xdr:sp>
        <xdr:nvSpPr>
          <xdr:cNvPr id="8" name="Shape 8"/>
          <xdr:cNvSpPr/>
        </xdr:nvSpPr>
        <xdr:spPr>
          <a:xfrm>
            <a:off x="78675" y="88500"/>
            <a:ext cx="1780200" cy="314700"/>
          </a:xfrm>
          <a:prstGeom prst="roundRect">
            <a:avLst>
              <a:gd fmla="val 16667" name="adj"/>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 name="Shape 9"/>
          <xdr:cNvSpPr txBox="1"/>
        </xdr:nvSpPr>
        <xdr:spPr>
          <a:xfrm>
            <a:off x="88500" y="108175"/>
            <a:ext cx="1760400" cy="285300"/>
          </a:xfrm>
          <a:prstGeom prst="rect">
            <a:avLst/>
          </a:prstGeom>
          <a:solidFill>
            <a:srgbClr val="A4C2F4"/>
          </a:solidFill>
          <a:ln>
            <a:noFill/>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400"/>
              <a:t>Download State</a:t>
            </a:r>
            <a:endParaRPr sz="1400"/>
          </a:p>
        </xdr:txBody>
      </xdr:sp>
    </xdr:grpSp>
    <xdr:clientData fLocksWithSheet="0"/>
  </xdr:oneCellAnchor>
  <xdr:oneCellAnchor>
    <xdr:from>
      <xdr:col>4</xdr:col>
      <xdr:colOff>238125</xdr:colOff>
      <xdr:row>3</xdr:row>
      <xdr:rowOff>9525</xdr:rowOff>
    </xdr:from>
    <xdr:ext cx="1628775" cy="390525"/>
    <xdr:pic>
      <xdr:nvPicPr>
        <xdr:cNvPr id="0" name="image1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428625</xdr:colOff>
      <xdr:row>0</xdr:row>
      <xdr:rowOff>0</xdr:rowOff>
    </xdr:from>
    <xdr:ext cx="1104900" cy="247650"/>
    <xdr:pic>
      <xdr:nvPicPr>
        <xdr:cNvPr descr="Close" id="0" name="image19.gif" title="Clos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314325</xdr:colOff>
      <xdr:row>0</xdr:row>
      <xdr:rowOff>9525</xdr:rowOff>
    </xdr:from>
    <xdr:ext cx="1057275" cy="219075"/>
    <xdr:pic>
      <xdr:nvPicPr>
        <xdr:cNvPr id="0" name="image20.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314325</xdr:colOff>
      <xdr:row>0</xdr:row>
      <xdr:rowOff>9525</xdr:rowOff>
    </xdr:from>
    <xdr:ext cx="1057275" cy="219075"/>
    <xdr:pic>
      <xdr:nvPicPr>
        <xdr:cNvPr id="0" name="image20.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190500</xdr:colOff>
      <xdr:row>11</xdr:row>
      <xdr:rowOff>209550</xdr:rowOff>
    </xdr:from>
    <xdr:ext cx="733425" cy="209550"/>
    <xdr:pic>
      <xdr:nvPicPr>
        <xdr:cNvPr id="0" name="image18.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381000</xdr:colOff>
      <xdr:row>0</xdr:row>
      <xdr:rowOff>9525</xdr:rowOff>
    </xdr:from>
    <xdr:ext cx="714375" cy="190500"/>
    <xdr:pic>
      <xdr:nvPicPr>
        <xdr:cNvPr id="0" name="image2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762000</xdr:colOff>
      <xdr:row>0</xdr:row>
      <xdr:rowOff>19050</xdr:rowOff>
    </xdr:from>
    <xdr:ext cx="1171575" cy="314325"/>
    <xdr:pic>
      <xdr:nvPicPr>
        <xdr:cNvPr id="0" name="image22.gif"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571500</xdr:colOff>
      <xdr:row>3</xdr:row>
      <xdr:rowOff>76200</xdr:rowOff>
    </xdr:from>
    <xdr:ext cx="1457325" cy="400050"/>
    <xdr:pic>
      <xdr:nvPicPr>
        <xdr:cNvPr id="0" name="image2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152400</xdr:colOff>
      <xdr:row>16</xdr:row>
      <xdr:rowOff>95250</xdr:rowOff>
    </xdr:from>
    <xdr:ext cx="1666875" cy="457200"/>
    <xdr:pic>
      <xdr:nvPicPr>
        <xdr:cNvPr id="0" name="image2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1076325</xdr:colOff>
      <xdr:row>16</xdr:row>
      <xdr:rowOff>95250</xdr:rowOff>
    </xdr:from>
    <xdr:ext cx="1609725" cy="438150"/>
    <xdr:pic>
      <xdr:nvPicPr>
        <xdr:cNvPr id="0" name="image25.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161925</xdr:colOff>
      <xdr:row>0</xdr:row>
      <xdr:rowOff>0</xdr:rowOff>
    </xdr:from>
    <xdr:ext cx="971550" cy="304800"/>
    <xdr:pic>
      <xdr:nvPicPr>
        <xdr:cNvPr descr="This removes the currently selected resource from a Division or Group. If the resource is already unassigned, it puts the resource ID into the &quot;In Transit&quot; field. " id="0" name="image26.png" title="Unassign"/>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971550</xdr:colOff>
      <xdr:row>0</xdr:row>
      <xdr:rowOff>0</xdr:rowOff>
    </xdr:from>
    <xdr:ext cx="904875" cy="295275"/>
    <xdr:pic>
      <xdr:nvPicPr>
        <xdr:cNvPr id="0" name="image28.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942975</xdr:colOff>
      <xdr:row>0</xdr:row>
      <xdr:rowOff>257175</xdr:rowOff>
    </xdr:from>
    <xdr:ext cx="923925" cy="266700"/>
    <xdr:pic>
      <xdr:nvPicPr>
        <xdr:cNvPr id="0" name="image2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8048625</xdr:colOff>
      <xdr:row>1</xdr:row>
      <xdr:rowOff>19050</xdr:rowOff>
    </xdr:from>
    <xdr:ext cx="1219200" cy="266700"/>
    <xdr:grpSp>
      <xdr:nvGrpSpPr>
        <xdr:cNvPr id="2" name="Shape 2" title="Drawing"/>
        <xdr:cNvGrpSpPr/>
      </xdr:nvGrpSpPr>
      <xdr:grpSpPr>
        <a:xfrm>
          <a:off x="161925" y="114325"/>
          <a:ext cx="1200300" cy="247725"/>
          <a:chOff x="161925" y="114325"/>
          <a:chExt cx="1200300" cy="247725"/>
        </a:xfrm>
      </xdr:grpSpPr>
      <xdr:sp>
        <xdr:nvSpPr>
          <xdr:cNvPr id="10" name="Shape 10"/>
          <xdr:cNvSpPr/>
        </xdr:nvSpPr>
        <xdr:spPr>
          <a:xfrm>
            <a:off x="161925" y="161950"/>
            <a:ext cx="1200300" cy="200100"/>
          </a:xfrm>
          <a:prstGeom prst="roundRect">
            <a:avLst>
              <a:gd fmla="val 16667" name="adj"/>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 name="Shape 11"/>
          <xdr:cNvSpPr txBox="1"/>
        </xdr:nvSpPr>
        <xdr:spPr>
          <a:xfrm>
            <a:off x="238125" y="114325"/>
            <a:ext cx="1124100" cy="247500"/>
          </a:xfrm>
          <a:prstGeom prst="rect">
            <a:avLst/>
          </a:prstGeom>
          <a:noFill/>
          <a:ln>
            <a:noFill/>
          </a:ln>
        </xdr:spPr>
        <xdr:txBody>
          <a:bodyPr anchorCtr="0" anchor="t" bIns="91425" lIns="91425" spcFirstLastPara="1" rIns="91425" wrap="square" tIns="91425">
            <a:noAutofit/>
          </a:bodyPr>
          <a:lstStyle/>
          <a:p>
            <a:pPr indent="0" lvl="0" marL="0" rtl="0" algn="ctr">
              <a:spcBef>
                <a:spcPts val="0"/>
              </a:spcBef>
              <a:spcAft>
                <a:spcPts val="0"/>
              </a:spcAft>
              <a:buNone/>
            </a:pPr>
            <a:r>
              <a:rPr b="1" lang="en-US" sz="1000"/>
              <a:t>Update 104s</a:t>
            </a:r>
            <a:endParaRPr b="1" sz="1000"/>
          </a:p>
        </xdr:txBody>
      </xdr:sp>
    </xdr:grpSp>
    <xdr:clientData fLocksWithSheet="0"/>
  </xdr:oneCellAnchor>
</xdr:wsD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www.nimsiap.org/nims_iap_help.pdf" TargetMode="External"/><Relationship Id="rId2" Type="http://schemas.openxmlformats.org/officeDocument/2006/relationships/hyperlink" Target="http://www.gnu.org/licenses"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www.nimsiap.org/logos" TargetMode="External"/><Relationship Id="rId3" Type="http://schemas.openxmlformats.org/officeDocument/2006/relationships/hyperlink" Target="https://www.nimsiap.org/logos/Agencies_Other/anytown.png" TargetMode="External"/><Relationship Id="rId4" Type="http://schemas.openxmlformats.org/officeDocument/2006/relationships/drawing" Target="../drawings/drawing3.xml"/><Relationship Id="rId5"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9.xml"/><Relationship Id="rId3" Type="http://schemas.openxmlformats.org/officeDocument/2006/relationships/vmlDrawing" Target="../drawings/vmlDrawing3.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www.amtrauma.org/page/FindTraumaCenter" TargetMode="External"/><Relationship Id="rId3" Type="http://schemas.openxmlformats.org/officeDocument/2006/relationships/hyperlink" Target="http://ameriburn.org/public-resources/burn-center-regional-map/" TargetMode="External"/><Relationship Id="rId4" Type="http://schemas.openxmlformats.org/officeDocument/2006/relationships/drawing" Target="../drawings/drawing33.xml"/><Relationship Id="rId5" Type="http://schemas.openxmlformats.org/officeDocument/2006/relationships/vmlDrawing" Target="../drawings/vmlDrawing4.v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37.xml"/><Relationship Id="rId3" Type="http://schemas.openxmlformats.org/officeDocument/2006/relationships/vmlDrawing" Target="../drawings/vmlDrawing5.v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42.xml"/><Relationship Id="rId3" Type="http://schemas.openxmlformats.org/officeDocument/2006/relationships/vmlDrawing" Target="../drawings/vmlDrawing6.v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45.xml"/><Relationship Id="rId3" Type="http://schemas.openxmlformats.org/officeDocument/2006/relationships/vmlDrawing" Target="../drawings/vmlDrawing7.v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54.xml"/><Relationship Id="rId3" Type="http://schemas.openxmlformats.org/officeDocument/2006/relationships/vmlDrawing" Target="../drawings/vmlDrawing8.v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5"/>
    <col customWidth="1" min="4" max="4" width="13.63"/>
    <col customWidth="1" min="5" max="5" width="5.13"/>
    <col customWidth="1" min="9" max="9" width="14.13"/>
  </cols>
  <sheetData>
    <row r="1" ht="24.75" customHeight="1">
      <c r="A1" s="1" t="s">
        <v>0</v>
      </c>
      <c r="D1" s="2" t="s">
        <v>1</v>
      </c>
      <c r="G1" s="3" t="s">
        <v>2</v>
      </c>
      <c r="H1" s="4"/>
      <c r="I1" s="4"/>
    </row>
    <row r="2">
      <c r="A2" s="5" t="s">
        <v>3</v>
      </c>
    </row>
    <row r="6">
      <c r="A6" s="6" t="s">
        <v>4</v>
      </c>
      <c r="B6" s="7"/>
      <c r="C6" s="7"/>
      <c r="D6" s="7"/>
      <c r="E6" s="7"/>
      <c r="F6" s="7"/>
      <c r="G6" s="7"/>
      <c r="H6" s="7"/>
      <c r="I6" s="8"/>
    </row>
    <row r="7">
      <c r="A7" s="9" t="s">
        <v>5</v>
      </c>
    </row>
    <row r="8" ht="36.75" customHeight="1"/>
    <row r="9">
      <c r="A9" s="10" t="s">
        <v>6</v>
      </c>
      <c r="B9" s="11"/>
      <c r="C9" s="11"/>
      <c r="D9" s="12"/>
      <c r="F9" s="13" t="s">
        <v>7</v>
      </c>
      <c r="G9" s="14"/>
      <c r="H9" s="14"/>
      <c r="I9" s="15"/>
    </row>
    <row r="10">
      <c r="A10" s="16"/>
      <c r="B10" s="17"/>
      <c r="C10" s="17"/>
      <c r="D10" s="17"/>
      <c r="F10" s="18"/>
      <c r="G10" s="18"/>
      <c r="H10" s="18"/>
      <c r="I10" s="18"/>
    </row>
    <row r="11">
      <c r="A11" s="16"/>
      <c r="B11" s="17"/>
      <c r="C11" s="17"/>
      <c r="D11" s="17"/>
      <c r="F11" s="18"/>
      <c r="G11" s="17"/>
      <c r="H11" s="19" t="s">
        <v>8</v>
      </c>
    </row>
    <row r="12">
      <c r="A12" s="17"/>
      <c r="B12" s="20"/>
      <c r="C12" s="17"/>
      <c r="D12" s="17"/>
      <c r="E12" s="21"/>
      <c r="F12" s="18"/>
      <c r="G12" s="18"/>
    </row>
    <row r="13">
      <c r="A13" s="16"/>
      <c r="B13" s="17"/>
      <c r="C13" s="17"/>
      <c r="D13" s="17"/>
      <c r="F13" s="17"/>
      <c r="G13" s="17"/>
      <c r="H13" s="22" t="s">
        <v>9</v>
      </c>
    </row>
    <row r="14">
      <c r="A14" s="17"/>
      <c r="B14" s="17"/>
      <c r="C14" s="17"/>
      <c r="D14" s="17"/>
      <c r="F14" s="17"/>
      <c r="G14" s="17"/>
    </row>
    <row r="15">
      <c r="A15" s="17"/>
      <c r="B15" s="17"/>
      <c r="C15" s="17"/>
      <c r="D15" s="17"/>
      <c r="F15" s="17"/>
      <c r="G15" s="17"/>
      <c r="H15" s="23" t="s">
        <v>10</v>
      </c>
    </row>
    <row r="16">
      <c r="A16" s="17"/>
      <c r="B16" s="17"/>
      <c r="C16" s="17"/>
      <c r="D16" s="17"/>
      <c r="F16" s="17"/>
      <c r="G16" s="17"/>
    </row>
    <row r="17">
      <c r="A17" s="17"/>
      <c r="B17" s="17"/>
      <c r="C17" s="17"/>
      <c r="D17" s="17"/>
      <c r="F17" s="17"/>
      <c r="G17" s="17"/>
    </row>
    <row r="18" ht="21.0" customHeight="1">
      <c r="A18" s="18"/>
      <c r="B18" s="18"/>
      <c r="C18" s="18"/>
      <c r="D18" s="18"/>
      <c r="E18" s="24"/>
      <c r="F18" s="17"/>
      <c r="G18" s="17"/>
    </row>
    <row r="19">
      <c r="A19" s="24"/>
      <c r="D19" s="24"/>
      <c r="E19" s="24"/>
    </row>
    <row r="20">
      <c r="A20" s="25" t="s">
        <v>11</v>
      </c>
      <c r="B20" s="26"/>
      <c r="C20" s="26"/>
      <c r="D20" s="27"/>
      <c r="E20" s="24"/>
      <c r="F20" s="28" t="s">
        <v>12</v>
      </c>
      <c r="G20" s="26"/>
      <c r="H20" s="26"/>
      <c r="I20" s="27"/>
    </row>
    <row r="21">
      <c r="A21" s="29"/>
      <c r="B21" s="30"/>
      <c r="C21" s="30"/>
      <c r="D21" s="31"/>
      <c r="F21" s="29"/>
      <c r="G21" s="30"/>
      <c r="H21" s="30"/>
      <c r="I21" s="31"/>
    </row>
    <row r="22">
      <c r="A22" s="17"/>
      <c r="B22" s="17"/>
      <c r="C22" s="17"/>
      <c r="D22" s="17"/>
      <c r="F22" s="18"/>
      <c r="G22" s="18"/>
      <c r="H22" s="18"/>
      <c r="I22" s="18"/>
    </row>
    <row r="23">
      <c r="A23" s="17"/>
      <c r="B23" s="17"/>
      <c r="C23" s="17"/>
      <c r="D23" s="17"/>
      <c r="F23" s="18"/>
      <c r="G23" s="18"/>
      <c r="H23" s="18"/>
      <c r="I23" s="18"/>
    </row>
    <row r="24">
      <c r="A24" s="17"/>
      <c r="B24" s="17"/>
      <c r="C24" s="17"/>
      <c r="D24" s="17"/>
      <c r="F24" s="18"/>
      <c r="G24" s="18"/>
      <c r="H24" s="18"/>
      <c r="I24" s="18"/>
    </row>
    <row r="25">
      <c r="A25" s="17"/>
      <c r="B25" s="17"/>
      <c r="C25" s="17"/>
      <c r="D25" s="17"/>
      <c r="F25" s="18"/>
      <c r="G25" s="18"/>
      <c r="H25" s="18"/>
      <c r="I25" s="18"/>
    </row>
    <row r="26">
      <c r="A26" s="17"/>
      <c r="B26" s="17"/>
      <c r="C26" s="17"/>
      <c r="D26" s="17"/>
      <c r="F26" s="18"/>
      <c r="G26" s="18"/>
      <c r="H26" s="18"/>
      <c r="I26" s="18"/>
    </row>
    <row r="27">
      <c r="A27" s="17"/>
      <c r="B27" s="17"/>
      <c r="C27" s="17"/>
      <c r="D27" s="17"/>
      <c r="F27" s="18"/>
      <c r="G27" s="18"/>
      <c r="H27" s="18"/>
      <c r="I27" s="18"/>
    </row>
    <row r="28">
      <c r="A28" s="17"/>
      <c r="C28" s="17"/>
      <c r="D28" s="17"/>
      <c r="F28" s="18"/>
      <c r="G28" s="18"/>
      <c r="H28" s="18"/>
      <c r="I28" s="18"/>
    </row>
    <row r="29">
      <c r="A29" s="17"/>
      <c r="B29" s="17"/>
      <c r="C29" s="17"/>
      <c r="D29" s="17"/>
      <c r="F29" s="25" t="s">
        <v>13</v>
      </c>
      <c r="G29" s="26"/>
      <c r="H29" s="26"/>
      <c r="I29" s="27"/>
    </row>
    <row r="30">
      <c r="A30" s="17"/>
      <c r="B30" s="17"/>
      <c r="C30" s="17"/>
      <c r="D30" s="17"/>
      <c r="F30" s="29"/>
      <c r="G30" s="30"/>
      <c r="H30" s="30"/>
      <c r="I30" s="31"/>
    </row>
  </sheetData>
  <mergeCells count="11">
    <mergeCell ref="H15:I18"/>
    <mergeCell ref="A20:D21"/>
    <mergeCell ref="F20:I21"/>
    <mergeCell ref="F29:I30"/>
    <mergeCell ref="A1:C1"/>
    <mergeCell ref="D1:F1"/>
    <mergeCell ref="A2:I5"/>
    <mergeCell ref="A6:I6"/>
    <mergeCell ref="A7:I8"/>
    <mergeCell ref="H11:I12"/>
    <mergeCell ref="H13:I14"/>
  </mergeCells>
  <hyperlinks>
    <hyperlink r:id="rId1" ref="G1"/>
    <hyperlink r:id="rId2" ref="A2"/>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63"/>
    <col customWidth="1" min="2" max="2" width="13.25"/>
    <col customWidth="1" min="3" max="3" width="32.13"/>
    <col customWidth="1" min="4" max="4" width="72.0"/>
  </cols>
  <sheetData>
    <row r="1">
      <c r="B1" s="32" t="s">
        <v>14</v>
      </c>
      <c r="C1" s="32" t="s">
        <v>15</v>
      </c>
      <c r="D1" s="33" t="s">
        <v>16</v>
      </c>
    </row>
    <row r="2">
      <c r="B2" s="34">
        <v>100.0</v>
      </c>
      <c r="C2" s="35" t="s">
        <v>17</v>
      </c>
      <c r="D2" s="36" t="s">
        <v>18</v>
      </c>
    </row>
    <row r="3">
      <c r="B3" s="34" t="s">
        <v>19</v>
      </c>
      <c r="C3" s="35" t="s">
        <v>20</v>
      </c>
      <c r="D3" s="36" t="s">
        <v>21</v>
      </c>
    </row>
    <row r="4">
      <c r="B4" s="34">
        <v>101.0</v>
      </c>
      <c r="C4" s="35" t="s">
        <v>22</v>
      </c>
      <c r="D4" s="37" t="s">
        <v>23</v>
      </c>
    </row>
    <row r="5">
      <c r="B5" s="34">
        <v>102.0</v>
      </c>
      <c r="C5" s="35" t="s">
        <v>24</v>
      </c>
      <c r="D5" s="36" t="s">
        <v>25</v>
      </c>
    </row>
    <row r="6">
      <c r="B6" s="38" t="s">
        <v>26</v>
      </c>
      <c r="C6" s="35" t="s">
        <v>27</v>
      </c>
      <c r="D6" s="36" t="s">
        <v>28</v>
      </c>
    </row>
    <row r="7">
      <c r="B7" s="34">
        <v>203.0</v>
      </c>
      <c r="C7" s="35" t="s">
        <v>29</v>
      </c>
      <c r="D7" s="36" t="s">
        <v>30</v>
      </c>
    </row>
    <row r="8">
      <c r="B8" s="34" t="s">
        <v>31</v>
      </c>
      <c r="C8" s="35" t="s">
        <v>32</v>
      </c>
      <c r="D8" s="36" t="s">
        <v>33</v>
      </c>
    </row>
    <row r="9">
      <c r="B9" s="34" t="s">
        <v>34</v>
      </c>
      <c r="C9" s="35" t="s">
        <v>35</v>
      </c>
      <c r="D9" s="36" t="s">
        <v>36</v>
      </c>
    </row>
    <row r="10">
      <c r="B10" s="34">
        <v>204.0</v>
      </c>
      <c r="C10" s="35" t="s">
        <v>37</v>
      </c>
      <c r="D10" s="36" t="s">
        <v>38</v>
      </c>
    </row>
    <row r="11">
      <c r="B11" s="34" t="s">
        <v>39</v>
      </c>
      <c r="C11" s="35" t="s">
        <v>40</v>
      </c>
      <c r="D11" s="36" t="s">
        <v>41</v>
      </c>
    </row>
    <row r="12">
      <c r="B12" s="34" t="s">
        <v>42</v>
      </c>
      <c r="C12" s="35" t="s">
        <v>43</v>
      </c>
      <c r="D12" s="36" t="s">
        <v>44</v>
      </c>
    </row>
    <row r="13">
      <c r="B13" s="34" t="s">
        <v>45</v>
      </c>
      <c r="C13" s="35" t="s">
        <v>46</v>
      </c>
      <c r="D13" s="36" t="s">
        <v>47</v>
      </c>
    </row>
    <row r="14">
      <c r="B14" s="34" t="s">
        <v>48</v>
      </c>
      <c r="C14" s="35" t="s">
        <v>46</v>
      </c>
      <c r="D14" s="36" t="s">
        <v>49</v>
      </c>
    </row>
    <row r="15">
      <c r="B15" s="34" t="s">
        <v>50</v>
      </c>
      <c r="C15" s="35" t="s">
        <v>51</v>
      </c>
      <c r="D15" s="36" t="s">
        <v>52</v>
      </c>
    </row>
    <row r="16">
      <c r="B16" s="34" t="s">
        <v>53</v>
      </c>
      <c r="C16" s="35" t="s">
        <v>54</v>
      </c>
      <c r="D16" s="36" t="s">
        <v>55</v>
      </c>
    </row>
    <row r="17">
      <c r="B17" s="34" t="s">
        <v>56</v>
      </c>
      <c r="C17" s="35" t="s">
        <v>57</v>
      </c>
      <c r="D17" s="36" t="s">
        <v>58</v>
      </c>
    </row>
    <row r="18">
      <c r="B18" s="34">
        <v>206.0</v>
      </c>
      <c r="C18" s="35" t="s">
        <v>59</v>
      </c>
      <c r="D18" s="36" t="s">
        <v>60</v>
      </c>
    </row>
    <row r="19">
      <c r="B19" s="34">
        <v>207.0</v>
      </c>
      <c r="C19" s="35" t="s">
        <v>61</v>
      </c>
      <c r="D19" s="36" t="s">
        <v>62</v>
      </c>
    </row>
    <row r="20">
      <c r="B20" s="34" t="s">
        <v>63</v>
      </c>
      <c r="C20" s="35" t="s">
        <v>64</v>
      </c>
      <c r="D20" s="36" t="s">
        <v>65</v>
      </c>
    </row>
    <row r="21">
      <c r="B21" s="34" t="s">
        <v>66</v>
      </c>
      <c r="C21" s="35" t="s">
        <v>67</v>
      </c>
      <c r="D21" s="36" t="s">
        <v>68</v>
      </c>
    </row>
    <row r="22">
      <c r="B22" s="34">
        <v>209.0</v>
      </c>
      <c r="C22" s="35" t="s">
        <v>69</v>
      </c>
      <c r="D22" s="36" t="s">
        <v>70</v>
      </c>
    </row>
    <row r="23">
      <c r="B23" s="34">
        <v>211.0</v>
      </c>
      <c r="C23" s="35" t="s">
        <v>71</v>
      </c>
      <c r="D23" s="36" t="s">
        <v>72</v>
      </c>
    </row>
    <row r="24">
      <c r="B24" s="34" t="s">
        <v>73</v>
      </c>
      <c r="C24" s="35" t="s">
        <v>74</v>
      </c>
      <c r="D24" s="39" t="s">
        <v>75</v>
      </c>
    </row>
    <row r="25">
      <c r="B25" s="34">
        <v>213.0</v>
      </c>
      <c r="C25" s="35" t="s">
        <v>76</v>
      </c>
      <c r="D25" s="36" t="s">
        <v>77</v>
      </c>
    </row>
    <row r="26">
      <c r="B26" s="34" t="s">
        <v>78</v>
      </c>
      <c r="C26" s="35" t="s">
        <v>79</v>
      </c>
      <c r="D26" s="36" t="s">
        <v>80</v>
      </c>
    </row>
    <row r="27">
      <c r="B27" s="34" t="s">
        <v>81</v>
      </c>
      <c r="C27" s="35" t="s">
        <v>82</v>
      </c>
      <c r="D27" s="36" t="s">
        <v>80</v>
      </c>
    </row>
    <row r="28">
      <c r="B28" s="38" t="s">
        <v>83</v>
      </c>
      <c r="C28" s="35" t="s">
        <v>84</v>
      </c>
      <c r="D28" s="36" t="s">
        <v>85</v>
      </c>
    </row>
    <row r="29">
      <c r="B29" s="34" t="s">
        <v>86</v>
      </c>
      <c r="C29" s="35" t="s">
        <v>87</v>
      </c>
      <c r="D29" s="36" t="s">
        <v>88</v>
      </c>
    </row>
    <row r="30">
      <c r="B30" s="34" t="s">
        <v>89</v>
      </c>
      <c r="C30" s="35" t="s">
        <v>90</v>
      </c>
      <c r="D30" s="36" t="s">
        <v>91</v>
      </c>
    </row>
    <row r="31">
      <c r="B31" s="34" t="s">
        <v>92</v>
      </c>
      <c r="C31" s="35" t="s">
        <v>93</v>
      </c>
      <c r="D31" s="36" t="s">
        <v>94</v>
      </c>
    </row>
    <row r="32">
      <c r="B32" s="34" t="s">
        <v>95</v>
      </c>
      <c r="C32" s="35" t="s">
        <v>96</v>
      </c>
      <c r="D32" s="36" t="s">
        <v>97</v>
      </c>
    </row>
    <row r="33">
      <c r="B33" s="34">
        <v>230.0</v>
      </c>
      <c r="C33" s="35" t="s">
        <v>98</v>
      </c>
      <c r="D33" s="36" t="s">
        <v>99</v>
      </c>
    </row>
    <row r="34">
      <c r="B34" s="34">
        <v>233.0</v>
      </c>
      <c r="C34" s="35" t="s">
        <v>100</v>
      </c>
      <c r="D34" s="36" t="s">
        <v>101</v>
      </c>
    </row>
    <row r="35">
      <c r="B35" s="34" t="s">
        <v>102</v>
      </c>
      <c r="C35" s="35" t="s">
        <v>102</v>
      </c>
      <c r="D35" s="36" t="s">
        <v>103</v>
      </c>
    </row>
    <row r="36">
      <c r="B36" s="34" t="s">
        <v>104</v>
      </c>
      <c r="C36" s="35" t="s">
        <v>104</v>
      </c>
      <c r="D36" s="36" t="s">
        <v>105</v>
      </c>
    </row>
    <row r="37">
      <c r="B37" s="34" t="s">
        <v>106</v>
      </c>
      <c r="C37" s="35" t="s">
        <v>106</v>
      </c>
      <c r="D37" s="36" t="s">
        <v>107</v>
      </c>
    </row>
    <row r="38">
      <c r="B38" s="34" t="s">
        <v>108</v>
      </c>
      <c r="C38" s="35" t="s">
        <v>108</v>
      </c>
      <c r="D38" s="36" t="s">
        <v>109</v>
      </c>
    </row>
    <row r="39">
      <c r="B39" s="34" t="s">
        <v>110</v>
      </c>
      <c r="C39" s="35" t="s">
        <v>110</v>
      </c>
      <c r="D39" s="36" t="s">
        <v>111</v>
      </c>
    </row>
    <row r="40">
      <c r="B40" s="34" t="s">
        <v>112</v>
      </c>
      <c r="C40" s="35" t="s">
        <v>112</v>
      </c>
      <c r="D40" s="36" t="s">
        <v>113</v>
      </c>
    </row>
    <row r="41">
      <c r="B41" s="34" t="s">
        <v>114</v>
      </c>
      <c r="C41" s="35" t="s">
        <v>114</v>
      </c>
      <c r="D41" s="36" t="s">
        <v>115</v>
      </c>
    </row>
    <row r="42">
      <c r="B42" s="34" t="s">
        <v>116</v>
      </c>
      <c r="C42" s="35" t="s">
        <v>116</v>
      </c>
      <c r="D42" s="36" t="s">
        <v>117</v>
      </c>
    </row>
    <row r="43">
      <c r="D43" s="40"/>
    </row>
    <row r="44">
      <c r="D44" s="40"/>
    </row>
  </sheetData>
  <mergeCells count="1">
    <mergeCell ref="A1:A44"/>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7.0"/>
    <col customWidth="1" min="2" max="2" width="23.5"/>
    <col customWidth="1" min="3" max="3" width="15.25"/>
    <col customWidth="1" min="4" max="4" width="13.38"/>
    <col customWidth="1" min="5" max="5" width="13.13"/>
    <col customWidth="1" min="6" max="6" width="14.5"/>
    <col customWidth="1" min="8" max="8" width="16.63"/>
  </cols>
  <sheetData>
    <row r="1" ht="19.5" customHeight="1">
      <c r="A1" s="41"/>
      <c r="B1" s="42" t="s">
        <v>118</v>
      </c>
    </row>
    <row r="2">
      <c r="B2" s="43" t="s">
        <v>119</v>
      </c>
      <c r="C2" s="44" t="s">
        <v>120</v>
      </c>
      <c r="D2" s="45"/>
      <c r="E2" s="46" t="b">
        <v>1</v>
      </c>
      <c r="F2" s="41" t="s">
        <v>121</v>
      </c>
    </row>
    <row r="3">
      <c r="B3" s="43" t="s">
        <v>122</v>
      </c>
      <c r="C3" s="47">
        <v>43892.0</v>
      </c>
      <c r="D3" s="48">
        <v>900.0</v>
      </c>
    </row>
    <row r="4">
      <c r="B4" s="43" t="s">
        <v>123</v>
      </c>
      <c r="C4" s="44"/>
      <c r="D4" s="45"/>
      <c r="E4" s="49" t="s">
        <v>124</v>
      </c>
    </row>
    <row r="5">
      <c r="B5" s="50" t="s">
        <v>125</v>
      </c>
      <c r="C5" s="51"/>
      <c r="D5" s="45"/>
      <c r="E5" s="49" t="s">
        <v>124</v>
      </c>
      <c r="F5" s="52"/>
      <c r="G5" s="24"/>
    </row>
    <row r="6">
      <c r="B6" s="53" t="s">
        <v>126</v>
      </c>
      <c r="C6" s="54" t="s">
        <v>127</v>
      </c>
      <c r="D6" s="55"/>
      <c r="E6" s="49" t="s">
        <v>124</v>
      </c>
      <c r="F6" s="52"/>
      <c r="G6" s="24"/>
    </row>
    <row r="7">
      <c r="B7" s="56" t="s">
        <v>128</v>
      </c>
      <c r="C7" s="57"/>
      <c r="D7" s="55"/>
      <c r="E7" s="49" t="s">
        <v>124</v>
      </c>
      <c r="F7" s="58"/>
      <c r="G7" s="24"/>
    </row>
    <row r="8">
      <c r="B8" s="59" t="s">
        <v>129</v>
      </c>
      <c r="C8" s="45"/>
      <c r="D8" s="60">
        <v>43893.0</v>
      </c>
      <c r="E8" s="61" t="s">
        <v>130</v>
      </c>
      <c r="F8" s="62">
        <v>43894.0</v>
      </c>
    </row>
    <row r="9">
      <c r="B9" s="63"/>
      <c r="C9" s="64" t="s">
        <v>131</v>
      </c>
      <c r="D9" s="65" t="s">
        <v>132</v>
      </c>
      <c r="E9" s="63" t="s">
        <v>133</v>
      </c>
      <c r="F9" s="65" t="s">
        <v>132</v>
      </c>
    </row>
    <row r="10">
      <c r="B10" s="66" t="s">
        <v>134</v>
      </c>
      <c r="C10" s="45"/>
      <c r="D10" s="16" t="b">
        <v>0</v>
      </c>
      <c r="E10" s="67"/>
      <c r="F10" s="67"/>
    </row>
    <row r="11">
      <c r="B11" s="68" t="s">
        <v>135</v>
      </c>
      <c r="C11" s="45"/>
      <c r="D11" s="69">
        <f>D8-1</f>
        <v>43892</v>
      </c>
      <c r="E11" s="70">
        <v>2000.0</v>
      </c>
      <c r="F11" s="67"/>
      <c r="G11" s="71" t="s">
        <v>136</v>
      </c>
    </row>
    <row r="12">
      <c r="B12" s="72" t="s">
        <v>137</v>
      </c>
      <c r="C12" s="73" t="s">
        <v>138</v>
      </c>
      <c r="D12" s="74"/>
      <c r="E12" s="74"/>
      <c r="F12" s="74"/>
      <c r="G12" s="74"/>
      <c r="H12" s="45"/>
    </row>
    <row r="13">
      <c r="B13" s="72" t="s">
        <v>139</v>
      </c>
      <c r="C13" s="44"/>
      <c r="D13" s="74"/>
      <c r="E13" s="74"/>
      <c r="F13" s="74"/>
      <c r="G13" s="74"/>
      <c r="H13" s="45"/>
    </row>
    <row r="14">
      <c r="B14" s="75" t="s">
        <v>140</v>
      </c>
      <c r="C14" s="76"/>
      <c r="D14" s="77"/>
      <c r="E14" s="77"/>
      <c r="F14" s="77"/>
      <c r="G14" s="77"/>
      <c r="H14" s="78"/>
    </row>
    <row r="15">
      <c r="B15" s="79"/>
      <c r="C15" s="80" t="s">
        <v>141</v>
      </c>
      <c r="D15" s="81"/>
      <c r="E15" s="81"/>
      <c r="F15" s="81"/>
      <c r="G15" s="81"/>
      <c r="H15" s="82"/>
    </row>
    <row r="17">
      <c r="B17" s="83" t="s">
        <v>142</v>
      </c>
      <c r="C17" s="84"/>
      <c r="D17" s="84"/>
      <c r="E17" s="84"/>
      <c r="F17" s="84"/>
      <c r="G17" s="85" t="s">
        <v>143</v>
      </c>
      <c r="H17" s="86"/>
    </row>
    <row r="18" ht="15.0" customHeight="1">
      <c r="B18" s="87" t="s">
        <v>144</v>
      </c>
      <c r="C18" s="88" t="s">
        <v>145</v>
      </c>
      <c r="D18" s="74"/>
      <c r="E18" s="45"/>
      <c r="F18" s="89" t="s">
        <v>146</v>
      </c>
      <c r="G18" s="90">
        <f>IFERROR(__xludf.DUMMYFUNCTION("transpose(split(C20,CONCATENATE(""° '′″"",CHAR(34)),TRUE))"),38.0127006)</f>
        <v>38.0127006</v>
      </c>
      <c r="H18" s="91">
        <f>IFERROR(__xludf.DUMMYFUNCTION("Transpose(split(C21,CONCATENATE(""° '′″"",CHAR(34)),TRUE))"),-122.645261)</f>
        <v>-122.645261</v>
      </c>
    </row>
    <row r="19">
      <c r="B19" s="92" t="str">
        <f> "▲  " &amp; Char(10) &amp; "OR     " &amp;  Char(10) &amp; "▼  "  </f>
        <v>▲  
OR     
▼  </v>
      </c>
      <c r="C19" s="93" t="str">
        <f>if(C18 = Time!G2,"Latitude/Logitude may entered in any format: Example: 40.446°, 40 34 56"" N, or 40 34.856"" N", "Press the Update Location button to update your Latitude and Longitude")</f>
        <v>Latitude/Logitude may entered in any format: Example: 40.446°, 40 34 56" N, or 40 34.856" N</v>
      </c>
      <c r="E19" s="94"/>
      <c r="F19" s="24"/>
      <c r="G19" s="95"/>
      <c r="H19" s="96"/>
    </row>
    <row r="20" ht="18.75" customHeight="1">
      <c r="B20" s="97" t="s">
        <v>147</v>
      </c>
      <c r="C20" s="98">
        <v>38.0127006</v>
      </c>
      <c r="D20" s="99"/>
      <c r="E20" s="94"/>
      <c r="F20" s="100"/>
      <c r="G20" s="95"/>
      <c r="H20" s="101"/>
    </row>
    <row r="21" ht="27.0" customHeight="1">
      <c r="B21" s="102" t="s">
        <v>148</v>
      </c>
      <c r="C21" s="103">
        <v>-122.645261</v>
      </c>
      <c r="D21" s="104"/>
      <c r="E21" s="55"/>
      <c r="F21" s="100"/>
      <c r="G21" s="105">
        <f>IF(True,(IF(G20 = "N",0,G1))/3600+(IF(G19 = "N",0,G19))/60+G18,LEFT(G18,Find(",",G18)-1))</f>
        <v>38.0127006</v>
      </c>
      <c r="H21" s="106">
        <f>IF(True,(-(ABS((IF(H20 = "W",0,H20))/3600+(IF(H19 = "W",0,H19))/60+H18))),Mid(H18,FIND(",",H18)+2,10))</f>
        <v>-122.645261</v>
      </c>
    </row>
    <row r="22">
      <c r="B22" s="107"/>
      <c r="H22" s="108"/>
    </row>
    <row r="23">
      <c r="B23" s="109" t="s">
        <v>149</v>
      </c>
      <c r="C23" s="110" t="s">
        <v>150</v>
      </c>
      <c r="D23" s="74"/>
      <c r="E23" s="74"/>
      <c r="F23" s="74"/>
      <c r="G23" s="45"/>
      <c r="H23" s="108"/>
    </row>
    <row r="24">
      <c r="B24" s="111"/>
      <c r="C24" s="112" t="s">
        <v>151</v>
      </c>
      <c r="D24" s="113"/>
      <c r="E24" s="114"/>
      <c r="F24" s="114"/>
      <c r="G24" s="114"/>
      <c r="H24" s="115"/>
    </row>
    <row r="27">
      <c r="B27" s="75" t="s">
        <v>152</v>
      </c>
      <c r="C27" s="116" t="s">
        <v>153</v>
      </c>
      <c r="D27" s="84"/>
      <c r="E27" s="84"/>
      <c r="F27" s="117"/>
      <c r="G27" s="84"/>
      <c r="H27" s="86"/>
    </row>
    <row r="28">
      <c r="A28" s="118"/>
      <c r="B28" s="119" t="s">
        <v>154</v>
      </c>
      <c r="C28" s="120" t="str">
        <f>'203'!B30</f>
        <v/>
      </c>
      <c r="D28" s="120" t="s">
        <v>155</v>
      </c>
      <c r="E28" s="41" t="str">
        <f t="shared" ref="E28:E29" si="1"> IF(_xlfn.isformula(C28),char(10003),char(10005)) &amp; "  Use Info From 203"</f>
        <v>✓  Use Info From 203</v>
      </c>
      <c r="G28" s="121" t="s">
        <v>156</v>
      </c>
      <c r="H28" s="122"/>
    </row>
    <row r="29">
      <c r="B29" s="119" t="s">
        <v>157</v>
      </c>
      <c r="C29" s="123" t="str">
        <f>'203'!B5</f>
        <v/>
      </c>
      <c r="D29" s="67"/>
      <c r="E29" s="41" t="str">
        <f t="shared" si="1"/>
        <v>✓  Use Info From 203</v>
      </c>
      <c r="G29" s="124" t="s">
        <v>158</v>
      </c>
      <c r="H29" s="125" t="str">
        <f>Time!B13</f>
        <v>Pacific Daylight Time</v>
      </c>
    </row>
    <row r="30">
      <c r="B30" s="107"/>
      <c r="G30" s="124" t="s">
        <v>159</v>
      </c>
      <c r="H30" s="126">
        <f>Time!B7</f>
        <v>0.2916666667</v>
      </c>
    </row>
    <row r="31">
      <c r="A31" s="118"/>
      <c r="B31" s="119" t="s">
        <v>160</v>
      </c>
      <c r="C31" s="120" t="str">
        <f>'203'!B30</f>
        <v/>
      </c>
      <c r="D31" s="120" t="s">
        <v>155</v>
      </c>
      <c r="E31" s="41" t="str">
        <f> IF(_xlfn.isformula(C31),char(10003),char(10005)) &amp; "  Use Info From 203"</f>
        <v>✓  Use Info From 203</v>
      </c>
      <c r="G31" s="124" t="s">
        <v>161</v>
      </c>
      <c r="H31" s="126">
        <f>Time!B9</f>
        <v>0.3172106481</v>
      </c>
    </row>
    <row r="32">
      <c r="B32" s="107"/>
      <c r="C32" t="str">
        <f>'203'!B29</f>
        <v/>
      </c>
      <c r="G32" s="124" t="s">
        <v>162</v>
      </c>
      <c r="H32" s="127">
        <f>Time!C9</f>
        <v>0.7971064815</v>
      </c>
    </row>
    <row r="33">
      <c r="A33" s="128"/>
      <c r="B33" s="119" t="s">
        <v>163</v>
      </c>
      <c r="C33" s="129" t="str">
        <f>'203'!B32</f>
        <v/>
      </c>
      <c r="D33" s="130" t="s">
        <v>164</v>
      </c>
      <c r="E33" s="41" t="str">
        <f> IF(_xlfn.isformula(C33),char(10003),char(10005)) &amp; "  Use Info From 203"</f>
        <v>✓  Use Info From 203</v>
      </c>
      <c r="H33" s="108"/>
    </row>
    <row r="34">
      <c r="B34" s="131" t="s">
        <v>165</v>
      </c>
      <c r="D34" s="132" t="s">
        <v>166</v>
      </c>
      <c r="H34" s="108"/>
    </row>
    <row r="35">
      <c r="A35" s="133"/>
      <c r="B35" s="79"/>
      <c r="C35" s="113"/>
      <c r="D35" s="113"/>
      <c r="E35" s="113"/>
      <c r="F35" s="113"/>
      <c r="G35" s="113"/>
      <c r="H35" s="115"/>
    </row>
    <row r="36">
      <c r="A36" s="133"/>
      <c r="B36" s="134" t="s">
        <v>167</v>
      </c>
      <c r="C36" s="135"/>
      <c r="D36" s="135"/>
      <c r="E36" s="135"/>
      <c r="F36" s="135"/>
      <c r="G36" s="136"/>
      <c r="H36" s="86"/>
    </row>
    <row r="37" ht="24.75" customHeight="1">
      <c r="A37" s="133"/>
      <c r="B37" s="137" t="s">
        <v>168</v>
      </c>
      <c r="C37" s="138" t="b">
        <v>1</v>
      </c>
      <c r="D37" s="139" t="s">
        <v>169</v>
      </c>
      <c r="E37" s="140"/>
      <c r="F37" s="141"/>
      <c r="G37" s="142"/>
      <c r="H37" s="108"/>
    </row>
    <row r="38" ht="21.75" customHeight="1">
      <c r="A38" s="133"/>
      <c r="B38" s="137" t="s">
        <v>170</v>
      </c>
      <c r="C38" s="138" t="b">
        <v>1</v>
      </c>
      <c r="D38" s="139" t="s">
        <v>171</v>
      </c>
      <c r="E38" s="143" t="s">
        <v>172</v>
      </c>
      <c r="F38" s="139" t="s">
        <v>173</v>
      </c>
      <c r="G38" s="143" t="s">
        <v>174</v>
      </c>
      <c r="H38" s="108"/>
    </row>
    <row r="39">
      <c r="A39" s="133"/>
      <c r="B39" s="144" t="s">
        <v>175</v>
      </c>
      <c r="C39" s="45"/>
      <c r="D39" s="145" t="s">
        <v>176</v>
      </c>
      <c r="E39" s="74"/>
      <c r="F39" s="74"/>
      <c r="G39" s="45"/>
      <c r="H39" s="108"/>
    </row>
    <row r="40">
      <c r="B40" s="146" t="s">
        <v>177</v>
      </c>
      <c r="C40" s="74"/>
      <c r="D40" s="147"/>
      <c r="E40" s="147"/>
      <c r="F40" s="148" t="s">
        <v>178</v>
      </c>
      <c r="G40" s="74"/>
      <c r="H40" s="149"/>
    </row>
    <row r="41">
      <c r="B41" s="137" t="s">
        <v>179</v>
      </c>
      <c r="C41" s="74"/>
      <c r="D41" s="74"/>
      <c r="E41" s="150">
        <v>1.0</v>
      </c>
      <c r="F41" s="151" t="str">
        <f> IF(E41 = 1,"FOBS JONES O-165","FOBS O-165")</f>
        <v>FOBS JONES O-165</v>
      </c>
      <c r="G41" s="74"/>
      <c r="H41" s="149"/>
    </row>
    <row r="42">
      <c r="B42" s="152" t="s">
        <v>180</v>
      </c>
      <c r="C42" s="153"/>
      <c r="D42" s="153"/>
      <c r="E42" s="150">
        <v>1.0</v>
      </c>
      <c r="F42" s="154" t="str">
        <f> IF(E42 = 1,"DOZ PVT E-104 TOUGHGUYS","DOZ PVT E-104")</f>
        <v>DOZ PVT E-104 TOUGHGUYS</v>
      </c>
      <c r="G42" s="74"/>
      <c r="H42" s="149"/>
    </row>
    <row r="43">
      <c r="B43" s="155" t="s">
        <v>181</v>
      </c>
      <c r="C43" s="77"/>
      <c r="D43" s="77"/>
      <c r="E43" s="150">
        <v>1.0</v>
      </c>
      <c r="F43" s="154" t="str">
        <f> IF(E43 = 1,"DOZ PVT E-104 TOUGHGUYS","DOZ E-104 TOUGHGUYS")</f>
        <v>DOZ PVT E-104 TOUGHGUYS</v>
      </c>
      <c r="G43" s="74"/>
      <c r="H43" s="149"/>
    </row>
    <row r="44">
      <c r="B44" s="137" t="s">
        <v>182</v>
      </c>
      <c r="C44" s="74"/>
      <c r="D44" s="74"/>
      <c r="E44" s="150">
        <v>0.0</v>
      </c>
      <c r="F44" s="151" t="str">
        <f> IF(E44 = 1,"E-1, E-1.1, E-1.2, E-1.3, etc...","E-1")</f>
        <v>E-1</v>
      </c>
      <c r="G44" s="74"/>
      <c r="H44" s="149"/>
    </row>
    <row r="45">
      <c r="B45" s="155" t="s">
        <v>183</v>
      </c>
      <c r="C45" s="77"/>
      <c r="D45" s="77"/>
      <c r="E45" s="150">
        <v>0.0</v>
      </c>
      <c r="F45" s="151" t="str">
        <f> IF(E45 = 1,"STC XMR 2141C E-44","STC XMR 2141C")</f>
        <v>STC XMR 2141C</v>
      </c>
      <c r="G45" s="74"/>
      <c r="H45" s="149"/>
    </row>
    <row r="46">
      <c r="B46" s="156" t="s">
        <v>184</v>
      </c>
      <c r="C46" s="74"/>
      <c r="D46" s="74"/>
      <c r="E46" s="150">
        <v>1.0</v>
      </c>
      <c r="F46" s="151" t="str">
        <f> IF(E46 = 1,"STC RRU 9110C","ENGINE S/T - T3 - 9310C")</f>
        <v>STC RRU 9110C</v>
      </c>
      <c r="G46" s="74"/>
      <c r="H46" s="149"/>
    </row>
    <row r="47">
      <c r="B47" s="157" t="s">
        <v>185</v>
      </c>
      <c r="C47" s="74"/>
      <c r="D47" s="74"/>
      <c r="E47" s="150">
        <v>0.0</v>
      </c>
      <c r="F47" s="151" t="str">
        <f> if(E46 = 1,IF(E47 = 1,"ENG3, HC2, DOZ2, W/T2","ENG, CRW, DOZ, W/T"),"ENGINE - T3, CREW - T2, WATER TENDER - T2) ")</f>
        <v>ENG, CRW, DOZ, W/T</v>
      </c>
      <c r="G47" s="74"/>
      <c r="H47" s="149"/>
    </row>
    <row r="48">
      <c r="B48" s="157" t="s">
        <v>186</v>
      </c>
      <c r="C48" s="74"/>
      <c r="D48" s="45"/>
      <c r="E48" s="138">
        <v>1.0</v>
      </c>
      <c r="F48" s="139" t="str">
        <f> IF(E48 = 1,"CRW ASH KICKERS, DOZ E-21 TOUGHGUYS","CRW Ash Kickers, DOZ E-21 Toughguys")</f>
        <v>CRW ASH KICKERS, DOZ E-21 TOUGHGUYS</v>
      </c>
      <c r="G48" s="74"/>
      <c r="H48" s="149"/>
    </row>
    <row r="49">
      <c r="B49" s="157" t="s">
        <v>187</v>
      </c>
      <c r="C49" s="74"/>
      <c r="D49" s="45"/>
      <c r="E49" s="138">
        <v>1.0</v>
      </c>
      <c r="F49" s="139" t="str">
        <f> IF(E49 = 1,"SHATNER, WILLIAM","Shatner, William")</f>
        <v>SHATNER, WILLIAM</v>
      </c>
      <c r="G49" s="74"/>
      <c r="H49" s="149"/>
    </row>
    <row r="50">
      <c r="B50" s="157" t="s">
        <v>188</v>
      </c>
      <c r="C50" s="74"/>
      <c r="D50" s="45"/>
      <c r="E50" s="138">
        <v>1.0</v>
      </c>
      <c r="F50" s="139" t="str">
        <f> IF(E50 = 1,"CRW: 16+/-, STA: 20+/-, STC: 18+/-, STG: 33+/-, etc...","0 or blank")</f>
        <v>CRW: 16+/-, STA: 20+/-, STC: 18+/-, STG: 33+/-, etc...</v>
      </c>
      <c r="G50" s="74"/>
      <c r="H50" s="149"/>
    </row>
    <row r="51">
      <c r="B51" s="157" t="s">
        <v>189</v>
      </c>
      <c r="C51" s="74"/>
      <c r="D51" s="45"/>
      <c r="E51" s="158" t="s">
        <v>190</v>
      </c>
      <c r="F51" s="139" t="str">
        <f> IF(E51 = "Cal Fire","Engines, Crews, Dozers","Crews, Engines, Dozers") &amp; " - You can modify the order below"</f>
        <v>Engines, Crews, Dozers - You can modify the order below</v>
      </c>
      <c r="G51" s="74"/>
      <c r="H51" s="149"/>
    </row>
    <row r="52">
      <c r="B52" s="159" t="s">
        <v>191</v>
      </c>
      <c r="C52" s="113"/>
      <c r="D52" s="113"/>
      <c r="E52" s="160" t="s">
        <v>192</v>
      </c>
      <c r="F52" s="113"/>
      <c r="G52" s="161"/>
      <c r="H52" s="115"/>
    </row>
    <row r="54">
      <c r="E54" s="162" t="s">
        <v>193</v>
      </c>
      <c r="F54" s="74"/>
      <c r="G54" s="45"/>
      <c r="H54" s="163"/>
    </row>
    <row r="55">
      <c r="E55" s="164" t="s">
        <v>194</v>
      </c>
      <c r="F55" s="165"/>
      <c r="G55" s="165"/>
      <c r="H55" s="165"/>
    </row>
    <row r="56">
      <c r="E56" s="166"/>
    </row>
    <row r="57">
      <c r="E57" s="166"/>
    </row>
    <row r="58">
      <c r="B58" s="167" t="s">
        <v>195</v>
      </c>
      <c r="C58" s="45"/>
      <c r="E58" s="166"/>
    </row>
    <row r="59">
      <c r="B59" s="168" t="s">
        <v>196</v>
      </c>
      <c r="C59" s="169" t="s">
        <v>197</v>
      </c>
      <c r="E59" s="166"/>
    </row>
    <row r="60">
      <c r="B60" s="170" t="s">
        <v>198</v>
      </c>
      <c r="C60" s="171"/>
      <c r="E60" s="172" t="s">
        <v>199</v>
      </c>
      <c r="F60" s="173" t="s">
        <v>190</v>
      </c>
      <c r="G60" s="173" t="s">
        <v>200</v>
      </c>
    </row>
    <row r="61">
      <c r="B61" s="170"/>
      <c r="C61" s="174"/>
      <c r="E61" s="132" t="s">
        <v>201</v>
      </c>
      <c r="F61" s="175" t="s">
        <v>202</v>
      </c>
      <c r="G61" s="67" t="str">
        <f t="shared" ref="G61:G87" si="2">if(E$51 = "Cal Fire",F61,E61)</f>
        <v>STA</v>
      </c>
    </row>
    <row r="62">
      <c r="B62" s="170"/>
      <c r="C62" s="176"/>
      <c r="E62" s="132" t="s">
        <v>203</v>
      </c>
      <c r="F62" s="177" t="s">
        <v>204</v>
      </c>
      <c r="G62" s="67" t="str">
        <f t="shared" si="2"/>
        <v>STB</v>
      </c>
    </row>
    <row r="63">
      <c r="B63" s="178"/>
      <c r="C63" s="179"/>
      <c r="E63" s="132" t="s">
        <v>205</v>
      </c>
      <c r="F63" s="177" t="s">
        <v>206</v>
      </c>
      <c r="G63" s="67" t="str">
        <f t="shared" si="2"/>
        <v>STC ..U</v>
      </c>
    </row>
    <row r="64">
      <c r="B64" s="170"/>
      <c r="C64" s="180"/>
      <c r="E64" s="132" t="s">
        <v>207</v>
      </c>
      <c r="F64" s="177" t="s">
        <v>208</v>
      </c>
      <c r="G64" s="67" t="str">
        <f t="shared" si="2"/>
        <v>STC ... 9</v>
      </c>
    </row>
    <row r="65">
      <c r="B65" s="170"/>
      <c r="C65" s="181"/>
      <c r="E65" s="132" t="s">
        <v>209</v>
      </c>
      <c r="F65" s="177" t="s">
        <v>210</v>
      </c>
      <c r="G65" s="67" t="str">
        <f t="shared" si="2"/>
        <v>STC</v>
      </c>
    </row>
    <row r="66">
      <c r="B66" s="170"/>
      <c r="C66" s="182"/>
      <c r="E66" s="183" t="s">
        <v>211</v>
      </c>
      <c r="F66" s="184" t="s">
        <v>212</v>
      </c>
      <c r="G66" s="67" t="str">
        <f t="shared" si="2"/>
        <v>STF X</v>
      </c>
    </row>
    <row r="67">
      <c r="B67" s="185"/>
      <c r="C67" s="186"/>
      <c r="E67" s="184" t="s">
        <v>213</v>
      </c>
      <c r="F67" s="184" t="s">
        <v>214</v>
      </c>
      <c r="G67" s="67" t="str">
        <f t="shared" si="2"/>
        <v>STF</v>
      </c>
    </row>
    <row r="68">
      <c r="B68" s="185"/>
      <c r="C68" s="187"/>
      <c r="E68" s="184" t="s">
        <v>215</v>
      </c>
      <c r="F68" s="184" t="s">
        <v>216</v>
      </c>
      <c r="G68" s="67" t="str">
        <f t="shared" si="2"/>
        <v>ENG ..U</v>
      </c>
    </row>
    <row r="69">
      <c r="B69" s="185"/>
      <c r="C69" s="188"/>
      <c r="E69" s="184" t="s">
        <v>217</v>
      </c>
      <c r="F69" s="177" t="s">
        <v>218</v>
      </c>
      <c r="G69" s="67" t="str">
        <f t="shared" si="2"/>
        <v>ENG</v>
      </c>
    </row>
    <row r="70">
      <c r="B70" s="185"/>
      <c r="C70" s="189"/>
      <c r="E70" s="184" t="s">
        <v>219</v>
      </c>
      <c r="F70" s="184" t="s">
        <v>220</v>
      </c>
      <c r="G70" s="67" t="str">
        <f t="shared" si="2"/>
        <v>STG ..U</v>
      </c>
    </row>
    <row r="71">
      <c r="B71" s="185"/>
      <c r="C71" s="190"/>
      <c r="E71" s="184" t="s">
        <v>221</v>
      </c>
      <c r="F71" s="177" t="s">
        <v>222</v>
      </c>
      <c r="G71" s="67" t="str">
        <f t="shared" si="2"/>
        <v>STG</v>
      </c>
    </row>
    <row r="72">
      <c r="B72" s="185"/>
      <c r="C72" s="191"/>
      <c r="E72" s="184" t="s">
        <v>223</v>
      </c>
      <c r="F72" s="184" t="s">
        <v>209</v>
      </c>
      <c r="G72" s="67" t="str">
        <f t="shared" si="2"/>
        <v>CRW</v>
      </c>
    </row>
    <row r="73">
      <c r="B73" s="185"/>
      <c r="C73" s="192"/>
      <c r="E73" s="184" t="s">
        <v>224</v>
      </c>
      <c r="F73" s="177" t="s">
        <v>225</v>
      </c>
      <c r="G73" s="67" t="str">
        <f t="shared" si="2"/>
        <v>STL</v>
      </c>
    </row>
    <row r="74">
      <c r="B74" s="193"/>
      <c r="C74" s="194"/>
      <c r="E74" s="177" t="s">
        <v>218</v>
      </c>
      <c r="F74" s="132" t="s">
        <v>226</v>
      </c>
      <c r="G74" s="67" t="str">
        <f t="shared" si="2"/>
        <v>DOZ (?!PVT)</v>
      </c>
    </row>
    <row r="75">
      <c r="B75" s="185"/>
      <c r="C75" s="195"/>
      <c r="E75" s="184" t="s">
        <v>227</v>
      </c>
      <c r="F75" s="184" t="s">
        <v>228</v>
      </c>
      <c r="G75" s="67" t="str">
        <f t="shared" si="2"/>
        <v>DOZ</v>
      </c>
    </row>
    <row r="76">
      <c r="B76" s="185"/>
      <c r="C76" s="196"/>
      <c r="E76" s="132" t="s">
        <v>229</v>
      </c>
      <c r="F76" s="184" t="s">
        <v>230</v>
      </c>
      <c r="G76" s="67" t="str">
        <f t="shared" si="2"/>
        <v>W/T (?!PVT)</v>
      </c>
    </row>
    <row r="77">
      <c r="B77" s="185"/>
      <c r="C77" s="197"/>
      <c r="E77" s="184" t="s">
        <v>231</v>
      </c>
      <c r="F77" s="177" t="s">
        <v>232</v>
      </c>
      <c r="G77" s="67" t="str">
        <f t="shared" si="2"/>
        <v>W/T</v>
      </c>
    </row>
    <row r="78">
      <c r="B78" s="185"/>
      <c r="C78" s="198"/>
      <c r="E78" s="184" t="s">
        <v>233</v>
      </c>
      <c r="F78" s="177" t="s">
        <v>234</v>
      </c>
      <c r="G78" s="67" t="str">
        <f t="shared" si="2"/>
        <v>EXC</v>
      </c>
    </row>
    <row r="79">
      <c r="B79" s="185"/>
      <c r="C79" s="199"/>
      <c r="E79" s="184" t="s">
        <v>235</v>
      </c>
      <c r="F79" s="177" t="s">
        <v>236</v>
      </c>
      <c r="G79" s="67" t="str">
        <f t="shared" si="2"/>
        <v>GDR</v>
      </c>
    </row>
    <row r="80">
      <c r="B80" s="185"/>
      <c r="C80" s="200"/>
      <c r="E80" s="177" t="s">
        <v>234</v>
      </c>
      <c r="F80" s="177" t="s">
        <v>237</v>
      </c>
      <c r="G80" s="67" t="str">
        <f t="shared" si="2"/>
        <v>MAS</v>
      </c>
    </row>
    <row r="81">
      <c r="B81" s="185"/>
      <c r="C81" s="201"/>
      <c r="E81" s="184" t="s">
        <v>238</v>
      </c>
      <c r="F81" s="177" t="s">
        <v>239</v>
      </c>
      <c r="G81" s="67" t="str">
        <f t="shared" si="2"/>
        <v>FEMP</v>
      </c>
    </row>
    <row r="82">
      <c r="B82" s="185"/>
      <c r="C82" s="202"/>
      <c r="E82" s="184" t="s">
        <v>240</v>
      </c>
      <c r="F82" s="177" t="s">
        <v>241</v>
      </c>
      <c r="G82" s="67" t="str">
        <f t="shared" si="2"/>
        <v>FEMT</v>
      </c>
    </row>
    <row r="83">
      <c r="B83" s="185"/>
      <c r="C83" s="203"/>
      <c r="E83" s="184" t="s">
        <v>242</v>
      </c>
      <c r="F83" s="204" t="s">
        <v>243</v>
      </c>
      <c r="G83" s="67" t="str">
        <f t="shared" si="2"/>
        <v>FOBS</v>
      </c>
    </row>
    <row r="84">
      <c r="B84" s="185"/>
      <c r="C84" s="205"/>
      <c r="E84" s="184" t="s">
        <v>244</v>
      </c>
      <c r="F84" s="204" t="s">
        <v>245</v>
      </c>
      <c r="G84" s="67" t="str">
        <f t="shared" si="2"/>
        <v>ALL</v>
      </c>
    </row>
    <row r="85">
      <c r="B85" s="185"/>
      <c r="C85" s="206"/>
      <c r="E85" s="204" t="s">
        <v>243</v>
      </c>
      <c r="F85" s="204"/>
      <c r="G85" s="67" t="str">
        <f t="shared" si="2"/>
        <v/>
      </c>
    </row>
    <row r="86">
      <c r="B86" s="185"/>
      <c r="C86" s="199"/>
      <c r="E86" s="204" t="s">
        <v>245</v>
      </c>
      <c r="F86" s="207"/>
      <c r="G86" s="67" t="str">
        <f t="shared" si="2"/>
        <v/>
      </c>
    </row>
    <row r="87">
      <c r="B87" s="185"/>
      <c r="C87" s="208"/>
      <c r="E87" s="207"/>
      <c r="F87" s="207"/>
      <c r="G87" s="67" t="str">
        <f t="shared" si="2"/>
        <v/>
      </c>
    </row>
    <row r="89">
      <c r="B89" s="209" t="s">
        <v>246</v>
      </c>
      <c r="C89" s="165"/>
      <c r="D89" s="165"/>
      <c r="E89" s="165"/>
      <c r="F89" s="165"/>
      <c r="G89" s="165"/>
      <c r="H89" s="210"/>
    </row>
    <row r="90">
      <c r="B90" s="211" t="s">
        <v>247</v>
      </c>
      <c r="C90" s="41"/>
      <c r="D90" s="212">
        <f>countif(ResourceID!B1:B213,"&lt;&gt;") - 1</f>
        <v>0</v>
      </c>
      <c r="E90" s="213" t="s">
        <v>248</v>
      </c>
      <c r="F90" s="45"/>
      <c r="G90" s="214" t="str">
        <f>"ResourceID!A2:N" &amp; D93</f>
        <v>ResourceID!A2:N1844</v>
      </c>
      <c r="H90" s="45"/>
    </row>
    <row r="91">
      <c r="B91" s="215" t="s">
        <v>249</v>
      </c>
      <c r="C91" s="165"/>
      <c r="D91" s="216" t="s">
        <v>250</v>
      </c>
      <c r="E91" s="213" t="s">
        <v>251</v>
      </c>
      <c r="F91" s="45"/>
      <c r="G91" s="214" t="str">
        <f>"ResourceID!B2:N" &amp; D93</f>
        <v>ResourceID!B2:N1844</v>
      </c>
      <c r="H91" s="45"/>
    </row>
    <row r="92">
      <c r="B92" s="166"/>
      <c r="D92" s="217">
        <f>countblank(ResourceID!B1:B213)</f>
        <v>1843</v>
      </c>
      <c r="E92" s="213" t="s">
        <v>252</v>
      </c>
      <c r="F92" s="45"/>
      <c r="G92" s="214" t="str">
        <f>"ResourceID!A2:B" &amp; D93</f>
        <v>ResourceID!A2:B1844</v>
      </c>
      <c r="H92" s="45"/>
    </row>
    <row r="93">
      <c r="B93" s="104"/>
      <c r="C93" s="77"/>
      <c r="D93" s="218">
        <f>D92+D90+1</f>
        <v>1844</v>
      </c>
      <c r="E93" s="213" t="s">
        <v>253</v>
      </c>
      <c r="F93" s="45"/>
      <c r="G93" s="214" t="str">
        <f>"ResourceID!B2:B" &amp; D93</f>
        <v>ResourceID!B2:B1844</v>
      </c>
      <c r="H93" s="45"/>
    </row>
    <row r="95">
      <c r="B95" s="219" t="s">
        <v>254</v>
      </c>
      <c r="C95" s="220">
        <v>1.0</v>
      </c>
      <c r="D95" s="221" t="s">
        <v>255</v>
      </c>
      <c r="E95" s="74"/>
      <c r="F95" s="74"/>
      <c r="G95" s="45"/>
    </row>
    <row r="98">
      <c r="B98" s="222" t="s">
        <v>256</v>
      </c>
      <c r="C98" s="223"/>
      <c r="D98" s="224"/>
      <c r="E98" s="225"/>
    </row>
    <row r="99">
      <c r="B99" s="226" t="s">
        <v>257</v>
      </c>
      <c r="C99" s="225" t="s">
        <v>258</v>
      </c>
      <c r="D99" s="24"/>
      <c r="E99" s="24"/>
    </row>
    <row r="100">
      <c r="B100" s="227" t="str">
        <f>'203'!E9</f>
        <v>I</v>
      </c>
      <c r="C100" s="228"/>
      <c r="D100" s="24"/>
      <c r="E100" s="229"/>
    </row>
    <row r="101">
      <c r="B101" s="227" t="str">
        <f>'203'!E10</f>
        <v>A - FEMA</v>
      </c>
      <c r="C101" s="228"/>
      <c r="D101" s="24"/>
      <c r="E101" s="229"/>
    </row>
    <row r="102">
      <c r="B102" s="227" t="str">
        <f>'203'!E11</f>
        <v>B - NWCG</v>
      </c>
      <c r="C102" s="228"/>
      <c r="D102" s="24"/>
      <c r="E102" s="229"/>
    </row>
    <row r="103">
      <c r="B103" s="227" t="str">
        <f>'203'!E12</f>
        <v>M</v>
      </c>
      <c r="C103" s="228"/>
      <c r="D103" s="24"/>
      <c r="E103" s="229"/>
    </row>
    <row r="104">
      <c r="B104" s="227" t="str">
        <f>'203'!E13</f>
        <v/>
      </c>
      <c r="C104" s="228"/>
      <c r="D104" s="24"/>
      <c r="E104" s="229"/>
    </row>
    <row r="105">
      <c r="B105" s="227" t="str">
        <f>'203'!E14</f>
        <v/>
      </c>
      <c r="C105" s="228"/>
      <c r="D105" s="24"/>
      <c r="E105" s="229"/>
    </row>
    <row r="106">
      <c r="B106" s="227" t="str">
        <f>'203'!E15</f>
        <v>II</v>
      </c>
      <c r="C106" s="228"/>
      <c r="D106" s="24"/>
      <c r="E106" s="229"/>
    </row>
    <row r="107">
      <c r="B107" s="227" t="str">
        <f>'203'!E16</f>
        <v/>
      </c>
      <c r="C107" s="228"/>
      <c r="D107" s="24"/>
      <c r="E107" s="229"/>
    </row>
    <row r="108">
      <c r="B108" s="227" t="str">
        <f>'203'!E17</f>
        <v/>
      </c>
      <c r="C108" s="228"/>
      <c r="D108" s="24"/>
      <c r="E108" s="229"/>
    </row>
    <row r="109">
      <c r="B109" s="227" t="str">
        <f>'203'!E18</f>
        <v/>
      </c>
      <c r="C109" s="228"/>
      <c r="D109" s="24"/>
      <c r="E109" s="229"/>
    </row>
    <row r="110">
      <c r="B110" s="227" t="str">
        <f>'203'!E19</f>
        <v/>
      </c>
      <c r="C110" s="228"/>
      <c r="D110" s="24"/>
      <c r="E110" s="229"/>
    </row>
    <row r="111">
      <c r="B111" s="227" t="str">
        <f>'203'!E20</f>
        <v/>
      </c>
      <c r="C111" s="228"/>
      <c r="D111" s="24"/>
      <c r="E111" s="229"/>
    </row>
    <row r="112">
      <c r="B112" s="227" t="str">
        <f>'203'!E21</f>
        <v>III</v>
      </c>
      <c r="C112" s="228"/>
      <c r="D112" s="24"/>
      <c r="E112" s="229"/>
    </row>
    <row r="113">
      <c r="B113" s="227" t="str">
        <f>'203'!E22</f>
        <v/>
      </c>
      <c r="C113" s="228"/>
      <c r="D113" s="24"/>
      <c r="E113" s="229"/>
    </row>
    <row r="114">
      <c r="B114" s="227" t="str">
        <f>'203'!E23</f>
        <v/>
      </c>
      <c r="C114" s="228"/>
      <c r="D114" s="24"/>
      <c r="E114" s="229"/>
    </row>
    <row r="115">
      <c r="B115" s="227" t="str">
        <f>'203'!E24</f>
        <v/>
      </c>
      <c r="C115" s="228"/>
      <c r="D115" s="24"/>
      <c r="E115" s="229"/>
    </row>
    <row r="116">
      <c r="B116" s="227" t="str">
        <f>'203'!E25</f>
        <v/>
      </c>
      <c r="C116" s="228"/>
      <c r="D116" s="24"/>
      <c r="E116" s="229"/>
    </row>
    <row r="117">
      <c r="B117" s="227" t="str">
        <f>'203'!E26</f>
        <v/>
      </c>
      <c r="C117" s="228"/>
      <c r="D117" s="24"/>
      <c r="E117" s="229"/>
    </row>
    <row r="118">
      <c r="B118" s="227" t="str">
        <f>'203'!E27</f>
        <v>IV</v>
      </c>
      <c r="C118" s="228"/>
      <c r="D118" s="24"/>
      <c r="E118" s="229"/>
    </row>
    <row r="119">
      <c r="B119" s="227" t="str">
        <f>'203'!E28</f>
        <v/>
      </c>
      <c r="C119" s="228"/>
      <c r="D119" s="24"/>
      <c r="E119" s="229"/>
    </row>
    <row r="120">
      <c r="B120" s="227" t="str">
        <f>'203'!E29</f>
        <v/>
      </c>
      <c r="C120" s="228"/>
      <c r="D120" s="24"/>
      <c r="E120" s="229"/>
    </row>
    <row r="121">
      <c r="B121" s="227" t="str">
        <f>'203'!E30</f>
        <v/>
      </c>
      <c r="C121" s="228"/>
      <c r="D121" s="24"/>
      <c r="E121" s="229"/>
    </row>
    <row r="122">
      <c r="B122" s="227" t="str">
        <f>'203'!E31</f>
        <v/>
      </c>
      <c r="C122" s="228"/>
      <c r="D122" s="24"/>
      <c r="E122" s="229"/>
    </row>
    <row r="123">
      <c r="B123" s="227" t="str">
        <f>'203'!E32</f>
        <v/>
      </c>
      <c r="C123" s="228"/>
      <c r="D123" s="24"/>
      <c r="E123" s="229"/>
    </row>
    <row r="124">
      <c r="B124" s="227" t="str">
        <f>'203'!E33</f>
        <v>V</v>
      </c>
      <c r="C124" s="228"/>
      <c r="D124" s="24"/>
      <c r="E124" s="229"/>
    </row>
    <row r="125">
      <c r="B125" s="227" t="str">
        <f>'203'!E34</f>
        <v/>
      </c>
      <c r="C125" s="228"/>
      <c r="D125" s="24"/>
      <c r="E125" s="229"/>
    </row>
    <row r="126">
      <c r="B126" s="227" t="str">
        <f>'203'!E35</f>
        <v/>
      </c>
      <c r="C126" s="228"/>
      <c r="D126" s="24"/>
      <c r="E126" s="229"/>
    </row>
    <row r="127">
      <c r="B127" s="227" t="str">
        <f>'203'!E36</f>
        <v/>
      </c>
      <c r="C127" s="228"/>
      <c r="D127" s="24"/>
      <c r="E127" s="229"/>
    </row>
    <row r="128">
      <c r="B128" s="227" t="str">
        <f>'203'!E37</f>
        <v/>
      </c>
      <c r="C128" s="228"/>
      <c r="D128" s="24"/>
      <c r="E128" s="229"/>
    </row>
    <row r="129">
      <c r="B129" s="227" t="str">
        <f>'203'!E38</f>
        <v/>
      </c>
      <c r="C129" s="228"/>
      <c r="D129" s="24"/>
      <c r="E129" s="229"/>
    </row>
    <row r="130">
      <c r="B130" s="227" t="str">
        <f>'203A'!B9</f>
        <v>VI</v>
      </c>
      <c r="C130" s="228"/>
      <c r="D130" s="24"/>
      <c r="E130" s="229"/>
    </row>
    <row r="131">
      <c r="B131" s="227" t="str">
        <f>'203A'!B10</f>
        <v/>
      </c>
      <c r="C131" s="228"/>
      <c r="D131" s="24"/>
      <c r="E131" s="229"/>
    </row>
    <row r="132">
      <c r="B132" s="227" t="str">
        <f>'203A'!B11</f>
        <v/>
      </c>
      <c r="C132" s="228"/>
      <c r="D132" s="24"/>
      <c r="E132" s="229"/>
    </row>
    <row r="133">
      <c r="B133" s="227" t="str">
        <f>'203A'!B12</f>
        <v/>
      </c>
      <c r="C133" s="228"/>
      <c r="D133" s="24"/>
      <c r="E133" s="229"/>
    </row>
    <row r="134">
      <c r="B134" s="227" t="str">
        <f>'203A'!B13</f>
        <v/>
      </c>
      <c r="C134" s="228"/>
      <c r="D134" s="24"/>
      <c r="E134" s="229"/>
    </row>
    <row r="135">
      <c r="B135" s="227" t="str">
        <f>'203A'!B14</f>
        <v/>
      </c>
      <c r="C135" s="228"/>
      <c r="D135" s="24"/>
      <c r="E135" s="229"/>
    </row>
    <row r="136">
      <c r="B136" s="227" t="str">
        <f>'203A'!B15</f>
        <v/>
      </c>
      <c r="C136" s="228"/>
      <c r="D136" s="24"/>
      <c r="E136" s="229"/>
    </row>
    <row r="137">
      <c r="B137" s="227" t="str">
        <f>'203A'!B16</f>
        <v>VII</v>
      </c>
      <c r="C137" s="228"/>
      <c r="D137" s="24"/>
      <c r="E137" s="229"/>
    </row>
    <row r="138">
      <c r="B138" s="227" t="str">
        <f>'203A'!B17</f>
        <v/>
      </c>
      <c r="C138" s="228"/>
      <c r="D138" s="24"/>
      <c r="E138" s="229"/>
    </row>
    <row r="139">
      <c r="B139" s="227" t="str">
        <f>'203A'!B18</f>
        <v/>
      </c>
      <c r="C139" s="228"/>
      <c r="D139" s="24"/>
      <c r="E139" s="229"/>
    </row>
    <row r="140">
      <c r="B140" s="227" t="str">
        <f>'203A'!B19</f>
        <v/>
      </c>
      <c r="C140" s="228"/>
      <c r="D140" s="24"/>
      <c r="E140" s="229"/>
    </row>
    <row r="141">
      <c r="B141" s="227" t="str">
        <f>'203A'!B20</f>
        <v/>
      </c>
      <c r="C141" s="228"/>
      <c r="D141" s="24"/>
      <c r="E141" s="229"/>
    </row>
    <row r="142">
      <c r="B142" s="227" t="str">
        <f>'203A'!B21</f>
        <v/>
      </c>
      <c r="C142" s="228"/>
      <c r="D142" s="24"/>
      <c r="E142" s="229"/>
    </row>
    <row r="143">
      <c r="B143" s="227" t="str">
        <f>'203A'!B22</f>
        <v/>
      </c>
      <c r="C143" s="228"/>
      <c r="D143" s="24"/>
      <c r="E143" s="229"/>
    </row>
    <row r="144">
      <c r="B144" s="227" t="str">
        <f>'203A'!B23</f>
        <v>VIII</v>
      </c>
      <c r="C144" s="228"/>
      <c r="D144" s="24"/>
      <c r="E144" s="229"/>
    </row>
    <row r="145">
      <c r="B145" s="227" t="str">
        <f>'203A'!B24</f>
        <v/>
      </c>
      <c r="C145" s="228"/>
      <c r="D145" s="24"/>
      <c r="E145" s="229"/>
    </row>
    <row r="146">
      <c r="B146" s="227" t="str">
        <f>'203A'!B25</f>
        <v/>
      </c>
      <c r="C146" s="228"/>
      <c r="D146" s="24"/>
      <c r="E146" s="229"/>
    </row>
    <row r="147">
      <c r="B147" s="227" t="str">
        <f>'203A'!B26</f>
        <v/>
      </c>
      <c r="C147" s="228"/>
      <c r="D147" s="24"/>
      <c r="E147" s="229"/>
    </row>
    <row r="148">
      <c r="B148" s="227" t="str">
        <f>'203A'!B27</f>
        <v/>
      </c>
      <c r="C148" s="228"/>
      <c r="D148" s="24"/>
      <c r="E148" s="229"/>
    </row>
    <row r="149">
      <c r="B149" s="227" t="str">
        <f>'203A'!B28</f>
        <v/>
      </c>
      <c r="C149" s="228"/>
      <c r="D149" s="24"/>
      <c r="E149" s="229"/>
    </row>
    <row r="150">
      <c r="B150" s="227" t="str">
        <f>'203A'!B29</f>
        <v/>
      </c>
      <c r="C150" s="228"/>
      <c r="D150" s="24"/>
      <c r="E150" s="229"/>
    </row>
    <row r="151">
      <c r="B151" s="227" t="str">
        <f>'203A'!B30</f>
        <v>IX</v>
      </c>
      <c r="C151" s="228"/>
      <c r="D151" s="24"/>
      <c r="E151" s="229"/>
    </row>
    <row r="152">
      <c r="B152" s="227" t="str">
        <f>'203A'!B31</f>
        <v/>
      </c>
      <c r="C152" s="228"/>
      <c r="D152" s="24"/>
      <c r="E152" s="229"/>
    </row>
    <row r="153">
      <c r="B153" s="227" t="str">
        <f>'203A'!B32</f>
        <v/>
      </c>
      <c r="C153" s="228"/>
      <c r="D153" s="24"/>
      <c r="E153" s="229"/>
    </row>
    <row r="154">
      <c r="B154" s="227" t="str">
        <f>'203A'!B33</f>
        <v/>
      </c>
      <c r="C154" s="228"/>
      <c r="D154" s="24"/>
      <c r="E154" s="229"/>
    </row>
    <row r="155">
      <c r="B155" s="227" t="str">
        <f>'203A'!B34</f>
        <v/>
      </c>
      <c r="C155" s="228"/>
      <c r="D155" s="24"/>
      <c r="E155" s="229"/>
    </row>
    <row r="156">
      <c r="B156" s="227" t="str">
        <f>'203A'!B35</f>
        <v/>
      </c>
      <c r="C156" s="228"/>
      <c r="D156" s="24"/>
      <c r="E156" s="229"/>
    </row>
    <row r="157">
      <c r="B157" s="227" t="str">
        <f>'203A'!B36</f>
        <v/>
      </c>
      <c r="C157" s="228"/>
      <c r="D157" s="24"/>
      <c r="E157" s="229"/>
    </row>
    <row r="158">
      <c r="B158" s="227" t="str">
        <f>'203A'!B37</f>
        <v>X</v>
      </c>
      <c r="C158" s="228"/>
      <c r="D158" s="24"/>
      <c r="E158" s="229"/>
    </row>
    <row r="159">
      <c r="B159" s="227" t="str">
        <f>'203A'!B38</f>
        <v/>
      </c>
      <c r="C159" s="228"/>
      <c r="D159" s="24"/>
      <c r="E159" s="229"/>
    </row>
    <row r="160">
      <c r="B160" s="227" t="str">
        <f>'203A'!B39</f>
        <v/>
      </c>
      <c r="C160" s="228"/>
      <c r="D160" s="24"/>
      <c r="E160" s="229"/>
    </row>
    <row r="161">
      <c r="B161" s="227" t="str">
        <f>'203A'!B40</f>
        <v/>
      </c>
      <c r="C161" s="228"/>
      <c r="D161" s="24"/>
      <c r="E161" s="229"/>
    </row>
    <row r="162">
      <c r="B162" s="227" t="str">
        <f>'203A'!B41</f>
        <v/>
      </c>
      <c r="C162" s="228"/>
      <c r="D162" s="24"/>
      <c r="E162" s="229"/>
    </row>
    <row r="163">
      <c r="B163" s="227" t="str">
        <f>'203A'!B42</f>
        <v/>
      </c>
      <c r="C163" s="228"/>
      <c r="D163" s="24"/>
      <c r="E163" s="229"/>
    </row>
    <row r="164">
      <c r="B164" s="227" t="str">
        <f>'203A'!B43</f>
        <v/>
      </c>
      <c r="C164" s="228"/>
      <c r="D164" s="24"/>
      <c r="E164" s="229"/>
    </row>
    <row r="165">
      <c r="B165" s="227" t="str">
        <f>'203A'!B44</f>
        <v>XI</v>
      </c>
      <c r="C165" s="228"/>
      <c r="D165" s="24"/>
      <c r="E165" s="229"/>
    </row>
    <row r="166">
      <c r="B166" s="227" t="str">
        <f>'203A'!B45</f>
        <v/>
      </c>
      <c r="C166" s="228"/>
      <c r="D166" s="24"/>
      <c r="E166" s="229"/>
    </row>
    <row r="167">
      <c r="B167" s="227" t="str">
        <f>'203A'!B46</f>
        <v/>
      </c>
      <c r="C167" s="228"/>
      <c r="D167" s="24"/>
      <c r="E167" s="229"/>
    </row>
    <row r="168">
      <c r="B168" s="227" t="str">
        <f>'203A'!B47</f>
        <v/>
      </c>
      <c r="C168" s="228"/>
      <c r="D168" s="24"/>
      <c r="E168" s="229"/>
    </row>
    <row r="169">
      <c r="B169" s="227" t="str">
        <f>'203A'!B48</f>
        <v/>
      </c>
      <c r="C169" s="228"/>
      <c r="D169" s="24"/>
      <c r="E169" s="229"/>
    </row>
    <row r="170">
      <c r="B170" s="227" t="str">
        <f>'203A'!B49</f>
        <v/>
      </c>
      <c r="C170" s="228"/>
      <c r="D170" s="24"/>
      <c r="E170" s="229"/>
    </row>
    <row r="171">
      <c r="B171" s="227" t="str">
        <f>'203A'!G9</f>
        <v>XII</v>
      </c>
      <c r="C171" s="228"/>
      <c r="D171" s="24"/>
      <c r="E171" s="229"/>
    </row>
    <row r="172">
      <c r="B172" s="227" t="str">
        <f>'203A'!G10</f>
        <v/>
      </c>
      <c r="C172" s="228"/>
      <c r="D172" s="24"/>
      <c r="E172" s="229"/>
    </row>
    <row r="173">
      <c r="B173" s="227" t="str">
        <f>'203A'!G11</f>
        <v/>
      </c>
      <c r="C173" s="228"/>
      <c r="D173" s="24"/>
      <c r="E173" s="229"/>
    </row>
    <row r="174">
      <c r="B174" s="227" t="str">
        <f>'203A'!G12</f>
        <v/>
      </c>
      <c r="C174" s="228"/>
      <c r="D174" s="24"/>
      <c r="E174" s="229"/>
    </row>
    <row r="175">
      <c r="B175" s="227" t="str">
        <f>'203A'!G13</f>
        <v/>
      </c>
      <c r="C175" s="228"/>
      <c r="D175" s="24"/>
      <c r="E175" s="229"/>
    </row>
    <row r="176">
      <c r="B176" s="227" t="str">
        <f>'203A'!G14</f>
        <v/>
      </c>
      <c r="C176" s="228"/>
      <c r="D176" s="24"/>
      <c r="E176" s="229"/>
    </row>
    <row r="177">
      <c r="B177" s="227" t="str">
        <f>'203A'!G15</f>
        <v/>
      </c>
      <c r="C177" s="228"/>
      <c r="D177" s="24"/>
      <c r="E177" s="229"/>
    </row>
    <row r="178">
      <c r="B178" s="227" t="str">
        <f>'203A'!G16</f>
        <v>XIII</v>
      </c>
      <c r="C178" s="228"/>
      <c r="D178" s="24"/>
      <c r="E178" s="229"/>
    </row>
    <row r="179">
      <c r="B179" s="227" t="str">
        <f>'203A'!G17</f>
        <v/>
      </c>
      <c r="C179" s="228"/>
      <c r="D179" s="24"/>
      <c r="E179" s="229"/>
    </row>
    <row r="180">
      <c r="B180" s="227" t="str">
        <f>'203A'!G18</f>
        <v/>
      </c>
      <c r="C180" s="228"/>
      <c r="D180" s="24"/>
      <c r="E180" s="229"/>
    </row>
    <row r="181">
      <c r="B181" s="227" t="str">
        <f>'203A'!G19</f>
        <v/>
      </c>
      <c r="C181" s="228"/>
      <c r="D181" s="24"/>
      <c r="E181" s="229"/>
    </row>
    <row r="182">
      <c r="B182" s="227" t="str">
        <f>'203A'!G20</f>
        <v/>
      </c>
      <c r="C182" s="228"/>
      <c r="D182" s="24"/>
      <c r="E182" s="229"/>
    </row>
    <row r="183">
      <c r="B183" s="227" t="str">
        <f>'203A'!G21</f>
        <v/>
      </c>
      <c r="C183" s="228"/>
      <c r="D183" s="24"/>
      <c r="E183" s="229"/>
    </row>
    <row r="184">
      <c r="B184" s="227" t="str">
        <f>'203A'!G22</f>
        <v/>
      </c>
      <c r="C184" s="228"/>
      <c r="D184" s="24"/>
      <c r="E184" s="229"/>
    </row>
    <row r="185">
      <c r="B185" s="227" t="str">
        <f>'203A'!G23</f>
        <v>XIV</v>
      </c>
      <c r="C185" s="228"/>
      <c r="D185" s="24"/>
      <c r="E185" s="229"/>
    </row>
    <row r="186">
      <c r="B186" s="227" t="str">
        <f>'203A'!G24</f>
        <v/>
      </c>
      <c r="C186" s="228"/>
      <c r="D186" s="24"/>
      <c r="E186" s="229"/>
    </row>
    <row r="187">
      <c r="B187" s="227" t="str">
        <f>'203A'!G25</f>
        <v/>
      </c>
      <c r="C187" s="228"/>
      <c r="D187" s="24"/>
      <c r="E187" s="229"/>
    </row>
    <row r="188">
      <c r="B188" s="227" t="str">
        <f>'203A'!G26</f>
        <v/>
      </c>
      <c r="C188" s="228"/>
      <c r="D188" s="24"/>
      <c r="E188" s="229"/>
    </row>
    <row r="189">
      <c r="B189" s="227" t="str">
        <f>'203A'!G27</f>
        <v/>
      </c>
      <c r="C189" s="228"/>
      <c r="D189" s="24"/>
      <c r="E189" s="229"/>
    </row>
    <row r="190">
      <c r="B190" s="227" t="str">
        <f>'203A'!G28</f>
        <v/>
      </c>
      <c r="C190" s="228"/>
      <c r="D190" s="24"/>
      <c r="E190" s="229"/>
    </row>
    <row r="191">
      <c r="B191" s="227" t="str">
        <f>'203A'!G29</f>
        <v/>
      </c>
      <c r="C191" s="228"/>
      <c r="D191" s="24"/>
      <c r="E191" s="229"/>
    </row>
    <row r="192">
      <c r="B192" s="227" t="str">
        <f>'203A'!G30</f>
        <v>XV</v>
      </c>
      <c r="C192" s="228"/>
      <c r="D192" s="24"/>
      <c r="E192" s="229"/>
    </row>
    <row r="193">
      <c r="B193" s="227" t="str">
        <f>'203A'!G31</f>
        <v/>
      </c>
      <c r="C193" s="228"/>
      <c r="D193" s="24"/>
      <c r="E193" s="229"/>
    </row>
    <row r="194">
      <c r="B194" s="227" t="str">
        <f>'203A'!G32</f>
        <v/>
      </c>
      <c r="C194" s="228"/>
      <c r="D194" s="24"/>
      <c r="E194" s="229"/>
    </row>
    <row r="195">
      <c r="B195" s="227" t="str">
        <f>'203A'!G33</f>
        <v/>
      </c>
      <c r="C195" s="228"/>
      <c r="D195" s="24"/>
      <c r="E195" s="229"/>
    </row>
    <row r="196">
      <c r="B196" s="227" t="str">
        <f>'203A'!G34</f>
        <v/>
      </c>
      <c r="C196" s="228"/>
      <c r="D196" s="24"/>
      <c r="E196" s="229"/>
    </row>
    <row r="197">
      <c r="B197" s="227" t="str">
        <f>'203A'!G35</f>
        <v/>
      </c>
      <c r="C197" s="228"/>
      <c r="D197" s="24"/>
      <c r="E197" s="229"/>
    </row>
    <row r="198">
      <c r="B198" s="227" t="str">
        <f>'203A'!G36</f>
        <v/>
      </c>
      <c r="C198" s="228"/>
      <c r="D198" s="24"/>
      <c r="E198" s="229"/>
    </row>
    <row r="199">
      <c r="B199" s="227" t="str">
        <f>'203A'!G37</f>
        <v>XVI</v>
      </c>
      <c r="C199" s="228"/>
      <c r="D199" s="24"/>
      <c r="E199" s="229"/>
    </row>
    <row r="200">
      <c r="B200" s="227" t="str">
        <f>'203A'!G38</f>
        <v/>
      </c>
      <c r="C200" s="228"/>
      <c r="D200" s="24"/>
      <c r="E200" s="229"/>
    </row>
    <row r="201">
      <c r="B201" s="227" t="str">
        <f>'203A'!G39</f>
        <v/>
      </c>
      <c r="C201" s="228"/>
      <c r="D201" s="24"/>
      <c r="E201" s="229"/>
    </row>
    <row r="202">
      <c r="B202" s="227" t="str">
        <f>'203A'!G40</f>
        <v/>
      </c>
      <c r="C202" s="228"/>
      <c r="D202" s="24"/>
      <c r="E202" s="229"/>
    </row>
    <row r="203">
      <c r="B203" s="227" t="str">
        <f>'203A'!G41</f>
        <v/>
      </c>
      <c r="C203" s="228"/>
      <c r="D203" s="24"/>
      <c r="E203" s="229"/>
    </row>
    <row r="204">
      <c r="B204" s="227" t="str">
        <f>'203A'!G42</f>
        <v/>
      </c>
      <c r="C204" s="228"/>
      <c r="D204" s="24"/>
      <c r="E204" s="229"/>
    </row>
    <row r="205">
      <c r="B205" s="227" t="str">
        <f>'203A'!G43</f>
        <v/>
      </c>
      <c r="C205" s="228"/>
      <c r="D205" s="24"/>
      <c r="E205" s="229"/>
    </row>
    <row r="206">
      <c r="B206" s="227" t="str">
        <f>'203A'!G44</f>
        <v>XVII</v>
      </c>
      <c r="C206" s="228"/>
      <c r="D206" s="24"/>
      <c r="E206" s="229"/>
    </row>
    <row r="207">
      <c r="B207" s="227" t="str">
        <f>'203A'!G45</f>
        <v/>
      </c>
      <c r="C207" s="228"/>
      <c r="D207" s="24"/>
      <c r="E207" s="229"/>
    </row>
    <row r="208">
      <c r="B208" s="227" t="str">
        <f>'203A'!G46</f>
        <v/>
      </c>
      <c r="C208" s="228"/>
      <c r="D208" s="24"/>
      <c r="E208" s="229"/>
    </row>
    <row r="209">
      <c r="B209" s="227" t="str">
        <f>'203A'!G47</f>
        <v/>
      </c>
      <c r="C209" s="228"/>
      <c r="D209" s="24"/>
      <c r="E209" s="229"/>
    </row>
    <row r="210">
      <c r="B210" s="227" t="str">
        <f>'203A'!G48</f>
        <v/>
      </c>
      <c r="C210" s="228"/>
      <c r="D210" s="24"/>
      <c r="E210" s="229"/>
    </row>
    <row r="211">
      <c r="B211" s="227" t="str">
        <f>'203A'!G49</f>
        <v/>
      </c>
      <c r="C211" s="228"/>
      <c r="D211" s="24"/>
      <c r="E211" s="229"/>
    </row>
    <row r="212">
      <c r="B212" s="227"/>
      <c r="C212" s="228"/>
      <c r="D212" s="24"/>
      <c r="E212" s="229"/>
    </row>
    <row r="213">
      <c r="B213" s="230" t="s">
        <v>259</v>
      </c>
      <c r="C213" s="228"/>
      <c r="D213" s="24"/>
      <c r="E213" s="229"/>
    </row>
  </sheetData>
  <mergeCells count="64">
    <mergeCell ref="F41:H41"/>
    <mergeCell ref="F42:H42"/>
    <mergeCell ref="F47:H47"/>
    <mergeCell ref="F48:H48"/>
    <mergeCell ref="F49:H49"/>
    <mergeCell ref="F50:H50"/>
    <mergeCell ref="F51:H51"/>
    <mergeCell ref="E52:F52"/>
    <mergeCell ref="E54:G54"/>
    <mergeCell ref="E93:F93"/>
    <mergeCell ref="G93:H93"/>
    <mergeCell ref="D95:G95"/>
    <mergeCell ref="E55:H59"/>
    <mergeCell ref="B89:H89"/>
    <mergeCell ref="E90:F90"/>
    <mergeCell ref="G90:H90"/>
    <mergeCell ref="B91:C93"/>
    <mergeCell ref="E91:F91"/>
    <mergeCell ref="G91:H91"/>
    <mergeCell ref="H1:H6"/>
    <mergeCell ref="C2:D2"/>
    <mergeCell ref="C4:D4"/>
    <mergeCell ref="C5:D5"/>
    <mergeCell ref="C6:D6"/>
    <mergeCell ref="C7:D7"/>
    <mergeCell ref="B8:C8"/>
    <mergeCell ref="B10:C10"/>
    <mergeCell ref="B11:C11"/>
    <mergeCell ref="G11:H11"/>
    <mergeCell ref="C12:H12"/>
    <mergeCell ref="C13:H13"/>
    <mergeCell ref="C14:H14"/>
    <mergeCell ref="C15:H15"/>
    <mergeCell ref="B16:H16"/>
    <mergeCell ref="B17:F17"/>
    <mergeCell ref="G17:H17"/>
    <mergeCell ref="C18:E18"/>
    <mergeCell ref="C19:E19"/>
    <mergeCell ref="D20:E21"/>
    <mergeCell ref="C23:G23"/>
    <mergeCell ref="C27:E27"/>
    <mergeCell ref="B36:G36"/>
    <mergeCell ref="B39:C39"/>
    <mergeCell ref="D39:G39"/>
    <mergeCell ref="B40:C40"/>
    <mergeCell ref="F40:H40"/>
    <mergeCell ref="B41:D41"/>
    <mergeCell ref="B46:D46"/>
    <mergeCell ref="B47:D47"/>
    <mergeCell ref="B48:D48"/>
    <mergeCell ref="B49:D49"/>
    <mergeCell ref="B50:D50"/>
    <mergeCell ref="B51:D51"/>
    <mergeCell ref="B52:D52"/>
    <mergeCell ref="B58:C58"/>
    <mergeCell ref="B43:D43"/>
    <mergeCell ref="F43:H43"/>
    <mergeCell ref="B44:D44"/>
    <mergeCell ref="F44:H44"/>
    <mergeCell ref="B45:D45"/>
    <mergeCell ref="F45:H45"/>
    <mergeCell ref="F46:H46"/>
    <mergeCell ref="E92:F92"/>
    <mergeCell ref="G92:H92"/>
  </mergeCells>
  <conditionalFormatting sqref="C19:E19">
    <cfRule type="containsText" dxfId="0" priority="1" operator="containsText" text="Press">
      <formula>NOT(ISERROR(SEARCH(("Press"),(C19))))</formula>
    </cfRule>
  </conditionalFormatting>
  <dataValidations>
    <dataValidation type="list" allowBlank="1" sqref="D34">
      <formula1>"☑ Yes,☐ No"</formula1>
    </dataValidation>
    <dataValidation type="list" allowBlank="1" sqref="C6">
      <formula1>"OPERATIONAL PERIOD,DAY SHIFT,NIGHT SHIFT,...or anything you want to put in here."</formula1>
    </dataValidation>
    <dataValidation type="list" allowBlank="1" sqref="E51">
      <formula1>"Fed IIMT,Cal Fire"</formula1>
    </dataValidation>
  </dataValidations>
  <hyperlinks>
    <hyperlink r:id="rId2" ref="G11"/>
    <hyperlink r:id="rId3" ref="C12"/>
  </hyperlinks>
  <printOptions horizontalCentered="1"/>
  <pageMargins bottom="0.75" footer="0.0" header="0.0" left="0.25" right="0.25" top="0.75"/>
  <pageSetup orientation="portrait" pageOrder="overThenDown"/>
  <drawing r:id="rId4"/>
  <legacy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25"/>
    <col customWidth="1" min="2" max="2" width="20.25"/>
    <col customWidth="1" min="3" max="3" width="17.5"/>
    <col customWidth="1" min="4" max="4" width="19.63"/>
    <col customWidth="1" min="5" max="5" width="17.5"/>
    <col customWidth="1" min="6" max="6" width="25.5"/>
    <col customWidth="1" min="7" max="7" width="23.0"/>
  </cols>
  <sheetData>
    <row r="1">
      <c r="A1" s="231" t="s">
        <v>260</v>
      </c>
      <c r="B1" s="232"/>
      <c r="C1" s="233" t="s">
        <v>261</v>
      </c>
      <c r="D1" s="234"/>
      <c r="E1" s="233"/>
      <c r="F1" s="234"/>
    </row>
    <row r="2">
      <c r="A2" s="235" t="s">
        <v>262</v>
      </c>
      <c r="B2" s="236">
        <f>'101 General Info'!D8</f>
        <v>43893</v>
      </c>
      <c r="C2" s="237" t="s">
        <v>147</v>
      </c>
      <c r="D2" s="238">
        <f>'101 General Info'!G21</f>
        <v>38.0127006</v>
      </c>
      <c r="E2" s="237" t="s">
        <v>148</v>
      </c>
      <c r="F2" s="239">
        <f>'101 General Info'!H21</f>
        <v>-122.645261</v>
      </c>
      <c r="G2" s="41" t="s">
        <v>145</v>
      </c>
    </row>
    <row r="3">
      <c r="A3" s="225" t="s">
        <v>263</v>
      </c>
      <c r="B3" s="240" t="s">
        <v>264</v>
      </c>
      <c r="C3" s="241"/>
      <c r="D3" s="241"/>
      <c r="E3" s="241"/>
      <c r="F3" s="241"/>
      <c r="G3" s="67"/>
      <c r="H3" s="67"/>
      <c r="I3" s="67"/>
      <c r="J3" s="67"/>
      <c r="K3" s="67"/>
      <c r="L3" s="67"/>
    </row>
    <row r="4">
      <c r="A4" s="242"/>
      <c r="B4" s="243" t="s">
        <v>265</v>
      </c>
      <c r="C4" s="243" t="s">
        <v>266</v>
      </c>
      <c r="D4" s="244" t="s">
        <v>267</v>
      </c>
      <c r="E4" s="244" t="s">
        <v>268</v>
      </c>
      <c r="F4" s="24"/>
    </row>
    <row r="5">
      <c r="A5" s="242"/>
      <c r="B5" s="245" t="str">
        <f>MID(B3,24,8)</f>
        <v>2:36:47 </v>
      </c>
      <c r="C5" s="245" t="str">
        <f>MID(B3,search("sunset",B3)+9,8)</f>
        <v>2:07:50 </v>
      </c>
      <c r="D5" s="246" t="str">
        <f>MID(B3,search("solar_noon", B3) + 13,8)</f>
        <v>8:22:19 </v>
      </c>
      <c r="E5" s="246" t="str">
        <f>MID(B3,Search("day_length", B3) +13,8)</f>
        <v>11:31:03</v>
      </c>
      <c r="F5" s="24"/>
    </row>
    <row r="6">
      <c r="A6" s="247"/>
      <c r="B6" s="243" t="s">
        <v>269</v>
      </c>
      <c r="C6" s="243" t="s">
        <v>269</v>
      </c>
      <c r="D6" s="248" t="s">
        <v>269</v>
      </c>
      <c r="E6" s="241"/>
      <c r="F6" s="24" t="str">
        <f>if(timevalue(B5) &gt; timevalue("11:00:00"),"Y","N")</f>
        <v>N</v>
      </c>
    </row>
    <row r="7">
      <c r="A7" s="242"/>
      <c r="B7" s="249">
        <f>ABS(B15)/86400</f>
        <v>0.2916666667</v>
      </c>
      <c r="C7" s="249">
        <f t="shared" ref="C7:D7" si="1">B7</f>
        <v>0.2916666667</v>
      </c>
      <c r="D7" s="250">
        <f t="shared" si="1"/>
        <v>0.2916666667</v>
      </c>
      <c r="E7" s="241"/>
      <c r="F7" s="24"/>
    </row>
    <row r="8">
      <c r="A8" s="242"/>
      <c r="B8" s="243" t="s">
        <v>270</v>
      </c>
      <c r="C8" s="243" t="s">
        <v>271</v>
      </c>
      <c r="D8" s="251" t="s">
        <v>272</v>
      </c>
      <c r="E8" s="244" t="s">
        <v>268</v>
      </c>
      <c r="F8" s="24"/>
    </row>
    <row r="9">
      <c r="A9" s="242"/>
      <c r="B9" s="250">
        <f>if(timevalue(B5) &gt; timevalue("06:00:00"),(timevalue(B5) + timevalue("00:00:00")) - TIMEVALUE(B7),(timevalue(B5) + timevalue("12:00:00")) - TIMEVALUE(B7))</f>
        <v>0.3172106481</v>
      </c>
      <c r="C9" s="252">
        <f>B9+E5</f>
        <v>0.7971064815</v>
      </c>
      <c r="D9" s="250">
        <f>D5-D7</f>
        <v>0.05716435185</v>
      </c>
      <c r="E9" s="246" t="str">
        <f>E5</f>
        <v>11:31:03</v>
      </c>
      <c r="F9" s="24"/>
    </row>
    <row r="10">
      <c r="A10" s="24"/>
      <c r="B10" s="253" t="s">
        <v>273</v>
      </c>
      <c r="C10" s="254">
        <v>43893.0</v>
      </c>
      <c r="D10" s="24"/>
      <c r="E10" s="24"/>
      <c r="F10" s="24"/>
    </row>
    <row r="11">
      <c r="A11" s="242"/>
      <c r="B11" s="255" t="s">
        <v>274</v>
      </c>
      <c r="C11" s="24"/>
      <c r="D11" s="256" t="s">
        <v>275</v>
      </c>
      <c r="E11" s="74"/>
      <c r="F11" s="45"/>
    </row>
    <row r="12">
      <c r="A12" s="242"/>
      <c r="B12" s="257" t="s">
        <v>158</v>
      </c>
      <c r="C12" s="24"/>
      <c r="D12" s="258" t="str">
        <f>IFERROR(__xludf.DUMMYFUNCTION("Split(D11,""&gt;,&lt;"",True)"),"?xml version=""1.0"" encoding=""UTF-8""?")</f>
        <v>?xml version="1.0" encoding="UTF-8"?</v>
      </c>
      <c r="E12" s="74"/>
      <c r="F12" s="45"/>
      <c r="G12" t="str">
        <f>IFERROR(__xludf.DUMMYFUNCTION("""COMPUTED_VALUE"""),"
 ")</f>
        <v>
 </v>
      </c>
      <c r="H12" t="str">
        <f>IFERROR(__xludf.DUMMYFUNCTION("""COMPUTED_VALUE"""),"status")</f>
        <v>status</v>
      </c>
      <c r="I12" t="str">
        <f>IFERROR(__xludf.DUMMYFUNCTION("""COMPUTED_VALUE"""),"OK")</f>
        <v>OK</v>
      </c>
      <c r="J12" t="str">
        <f>IFERROR(__xludf.DUMMYFUNCTION("""COMPUTED_VALUE"""),"/status")</f>
        <v>/status</v>
      </c>
      <c r="K12" t="str">
        <f>IFERROR(__xludf.DUMMYFUNCTION("""COMPUTED_VALUE"""),"
 ")</f>
        <v>
 </v>
      </c>
      <c r="L12" t="str">
        <f>IFERROR(__xludf.DUMMYFUNCTION("""COMPUTED_VALUE"""),"raw_offset")</f>
        <v>raw_offset</v>
      </c>
      <c r="M12">
        <f>IFERROR(__xludf.DUMMYFUNCTION("""COMPUTED_VALUE"""),-28800.0)</f>
        <v>-28800</v>
      </c>
      <c r="N12" t="str">
        <f>IFERROR(__xludf.DUMMYFUNCTION("""COMPUTED_VALUE"""),"/raw_offset")</f>
        <v>/raw_offset</v>
      </c>
      <c r="O12" t="str">
        <f>IFERROR(__xludf.DUMMYFUNCTION("""COMPUTED_VALUE"""),"
 ")</f>
        <v>
 </v>
      </c>
      <c r="P12" t="str">
        <f>IFERROR(__xludf.DUMMYFUNCTION("""COMPUTED_VALUE"""),"dst_offset")</f>
        <v>dst_offset</v>
      </c>
      <c r="Q12">
        <f>IFERROR(__xludf.DUMMYFUNCTION("""COMPUTED_VALUE"""),3600.0)</f>
        <v>3600</v>
      </c>
      <c r="R12" t="str">
        <f>IFERROR(__xludf.DUMMYFUNCTION("""COMPUTED_VALUE"""),"/dst_offset")</f>
        <v>/dst_offset</v>
      </c>
      <c r="S12" t="str">
        <f>IFERROR(__xludf.DUMMYFUNCTION("""COMPUTED_VALUE"""),"
 ")</f>
        <v>
 </v>
      </c>
      <c r="T12" t="str">
        <f>IFERROR(__xludf.DUMMYFUNCTION("""COMPUTED_VALUE"""),"time_zone_id")</f>
        <v>time_zone_id</v>
      </c>
      <c r="U12" t="str">
        <f>IFERROR(__xludf.DUMMYFUNCTION("""COMPUTED_VALUE"""),"America/Los_Angeles")</f>
        <v>America/Los_Angeles</v>
      </c>
      <c r="V12" t="str">
        <f>IFERROR(__xludf.DUMMYFUNCTION("""COMPUTED_VALUE"""),"/time_zone_id")</f>
        <v>/time_zone_id</v>
      </c>
      <c r="W12" t="str">
        <f>IFERROR(__xludf.DUMMYFUNCTION("""COMPUTED_VALUE"""),"
 ")</f>
        <v>
 </v>
      </c>
      <c r="X12" t="str">
        <f>IFERROR(__xludf.DUMMYFUNCTION("""COMPUTED_VALUE"""),"time_zone_name")</f>
        <v>time_zone_name</v>
      </c>
      <c r="Y12" t="str">
        <f>IFERROR(__xludf.DUMMYFUNCTION("""COMPUTED_VALUE"""),"Pacific Daylight Time")</f>
        <v>Pacific Daylight Time</v>
      </c>
      <c r="Z12" t="str">
        <f>IFERROR(__xludf.DUMMYFUNCTION("""COMPUTED_VALUE"""),"/time_zone_name")</f>
        <v>/time_zone_name</v>
      </c>
      <c r="AA12" t="str">
        <f>IFERROR(__xludf.DUMMYFUNCTION("""COMPUTED_VALUE"""),"
")</f>
        <v>
</v>
      </c>
      <c r="AB12" t="str">
        <f>IFERROR(__xludf.DUMMYFUNCTION("""COMPUTED_VALUE"""),"/TimeZoneResponse")</f>
        <v>/TimeZoneResponse</v>
      </c>
      <c r="AC12" t="str">
        <f>IFERROR(__xludf.DUMMYFUNCTION("""COMPUTED_VALUE"""),"
 -a")</f>
        <v>
 -a</v>
      </c>
    </row>
    <row r="13">
      <c r="A13" s="242"/>
      <c r="B13" s="259" t="str">
        <f>D13</f>
        <v>Pacific Daylight Time</v>
      </c>
      <c r="C13" s="24"/>
      <c r="D13" s="260" t="str">
        <f>Mid(D11,search("&lt;time_zone_name&gt;",D11)+16,search("&lt;/time_zone_name&gt;",D11) - (search("&lt;time_zone_name&gt;",D11) + 16))</f>
        <v>Pacific Daylight Time</v>
      </c>
      <c r="E13" s="74"/>
      <c r="F13" s="45"/>
    </row>
    <row r="14">
      <c r="A14" s="242"/>
      <c r="B14" s="257" t="s">
        <v>276</v>
      </c>
      <c r="C14" s="261" t="str">
        <f t="shared" ref="C14:C15" si="2">D14</f>
        <v>-28800.00</v>
      </c>
      <c r="D14" s="260" t="str">
        <f>Mid(D11,search("&lt;raw_offset&gt;",D11)+12,9)</f>
        <v>-28800.00</v>
      </c>
      <c r="E14" s="74"/>
      <c r="F14" s="45"/>
    </row>
    <row r="15">
      <c r="A15" s="242"/>
      <c r="B15" s="262">
        <f>C14+C15</f>
        <v>-25200</v>
      </c>
      <c r="C15" s="261" t="str">
        <f t="shared" si="2"/>
        <v>3600.0000</v>
      </c>
      <c r="D15" s="258" t="str">
        <f>Mid(D11,search("&lt;dst_offset&gt;",D11)+12,9)</f>
        <v>3600.0000</v>
      </c>
      <c r="E15" s="74"/>
      <c r="F15" s="45"/>
    </row>
    <row r="16">
      <c r="A16" s="242"/>
      <c r="B16" s="257" t="s">
        <v>277</v>
      </c>
      <c r="C16" s="24"/>
      <c r="D16" s="258"/>
      <c r="E16" s="74"/>
      <c r="F16" s="45"/>
    </row>
    <row r="17">
      <c r="A17" s="242"/>
      <c r="B17" s="263">
        <f>ABS(B15)/86400</f>
        <v>0.2916666667</v>
      </c>
      <c r="C17" s="24"/>
      <c r="D17" s="258"/>
      <c r="E17" s="74"/>
      <c r="F17" s="45"/>
    </row>
    <row r="18">
      <c r="A18" s="24"/>
      <c r="B18" s="24"/>
      <c r="C18" s="24"/>
      <c r="D18" s="258"/>
      <c r="E18" s="74"/>
      <c r="F18" s="45"/>
    </row>
    <row r="22">
      <c r="B22" s="41" t="s">
        <v>278</v>
      </c>
    </row>
    <row r="23">
      <c r="B23">
        <f>isGraphic(B22)</f>
        <v>1</v>
      </c>
    </row>
  </sheetData>
  <mergeCells count="9">
    <mergeCell ref="D17:F17"/>
    <mergeCell ref="D18:F18"/>
    <mergeCell ref="G2:H2"/>
    <mergeCell ref="D11:F11"/>
    <mergeCell ref="D12:F12"/>
    <mergeCell ref="D13:F13"/>
    <mergeCell ref="D14:F14"/>
    <mergeCell ref="D15:F15"/>
    <mergeCell ref="D16:F16"/>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9.13"/>
    <col customWidth="1" min="3" max="3" width="11.13"/>
    <col customWidth="1" min="4" max="4" width="22.25"/>
    <col customWidth="1" min="5" max="5" width="20.5"/>
    <col customWidth="1" min="6" max="6" width="8.0"/>
    <col customWidth="1" min="8" max="8" width="8.25"/>
  </cols>
  <sheetData>
    <row r="1">
      <c r="B1" s="264" t="s">
        <v>279</v>
      </c>
    </row>
    <row r="2" ht="67.5" customHeight="1">
      <c r="B2" s="265" t="str">
        <f>upper(IncName) &amp; If('101 General Info'!E2 = TRUE, " INCIDENT","")</f>
        <v>NO NAME INCIDENT</v>
      </c>
    </row>
    <row r="3" ht="39.0" customHeight="1">
      <c r="B3" s="266" t="str">
        <f>'101 General Info'!C4</f>
        <v/>
      </c>
    </row>
    <row r="4" ht="25.5" customHeight="1">
      <c r="B4" s="267"/>
      <c r="C4" s="268" t="str">
        <f>'101 General Info'!C5</f>
        <v/>
      </c>
      <c r="G4" s="267"/>
    </row>
    <row r="6">
      <c r="B6" s="267"/>
      <c r="C6" s="267"/>
      <c r="D6" s="267"/>
      <c r="E6" s="267"/>
      <c r="F6" s="267"/>
      <c r="G6" s="267"/>
    </row>
    <row r="7">
      <c r="B7" s="269" t="str">
        <f>If('101 General Info'!C12 = "","",image('101 General Info'!C12))</f>
        <v/>
      </c>
    </row>
    <row r="12">
      <c r="A12" s="270" t="str">
        <f>if('101 General Info'!D10 = TRUE,OpDate,"")</f>
        <v/>
      </c>
    </row>
    <row r="27">
      <c r="C27" s="41"/>
    </row>
    <row r="28">
      <c r="B28" s="271" t="str">
        <f>'101 General Info'!C6</f>
        <v>OPERATIONAL PERIOD</v>
      </c>
    </row>
    <row r="29">
      <c r="B29" s="272"/>
      <c r="C29" s="272"/>
      <c r="D29" s="272"/>
      <c r="E29" s="272"/>
      <c r="F29" s="273" t="str">
        <f>If('101 General Info'!C14 = "","",if(isGraphic('101 General Info'!C14) = 1,image('101 General Info'!C14),image("https://chart.googleapis.com/chart?chs=150x150&amp;cht=qr&amp;chl="&amp;'101 General Info'!C14)))</f>
        <v/>
      </c>
    </row>
    <row r="30">
      <c r="A30" s="274" t="str">
        <f>If('101 General Info'!C13 = "","",image('101 General Info'!C13))</f>
        <v/>
      </c>
      <c r="D30" s="275">
        <f>'101 General Info'!D8</f>
        <v>43893</v>
      </c>
      <c r="E30" s="276" t="str">
        <f>'101 General Info'!D9</f>
        <v>0700</v>
      </c>
    </row>
    <row r="31" ht="8.25" customHeight="1">
      <c r="D31" s="271"/>
      <c r="E31" s="277"/>
    </row>
    <row r="32">
      <c r="D32" s="271" t="s">
        <v>280</v>
      </c>
    </row>
    <row r="33" ht="31.5" customHeight="1">
      <c r="D33" s="278">
        <f>'101 General Info'!F8</f>
        <v>43894</v>
      </c>
      <c r="E33" s="276" t="str">
        <f>'101 General Info'!F9</f>
        <v>0700</v>
      </c>
    </row>
    <row r="34">
      <c r="D34" s="267"/>
      <c r="E34" s="267"/>
    </row>
    <row r="35">
      <c r="B35" s="267"/>
      <c r="C35" s="267"/>
      <c r="D35" s="267"/>
      <c r="E35" s="267"/>
    </row>
    <row r="36">
      <c r="B36" s="267"/>
      <c r="C36" s="279" t="str">
        <f>'101 General Info'!C7</f>
        <v/>
      </c>
      <c r="G36" s="267"/>
    </row>
  </sheetData>
  <mergeCells count="11">
    <mergeCell ref="F29:H35"/>
    <mergeCell ref="A30:C34"/>
    <mergeCell ref="D32:E32"/>
    <mergeCell ref="C36:F36"/>
    <mergeCell ref="B1:G1"/>
    <mergeCell ref="B2:G2"/>
    <mergeCell ref="B3:G3"/>
    <mergeCell ref="C4:F4"/>
    <mergeCell ref="B7:G25"/>
    <mergeCell ref="A12:A23"/>
    <mergeCell ref="B28:G28"/>
  </mergeCells>
  <printOptions horizontalCentered="1"/>
  <pageMargins bottom="0.75" footer="0.0" header="0.0" left="0.25" right="0.25" top="0.75"/>
  <pageSetup orientation="portrait" pageOrder="overThenDown"/>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2.0"/>
    <col customWidth="1" min="2" max="2" width="3.75"/>
    <col customWidth="1" min="3" max="3" width="11.38"/>
    <col customWidth="1" min="4" max="4" width="5.13"/>
    <col customWidth="1" min="5" max="5" width="15.38"/>
    <col customWidth="1" min="6" max="6" width="5.25"/>
    <col customWidth="1" min="7" max="7" width="16.13"/>
    <col customWidth="1" min="8" max="8" width="5.75"/>
    <col customWidth="1" min="9" max="9" width="6.5"/>
    <col customWidth="1" min="10" max="10" width="10.13"/>
    <col customWidth="1" min="11" max="11" width="8.5"/>
    <col customWidth="1" min="12" max="12" width="8.25"/>
  </cols>
  <sheetData>
    <row r="1">
      <c r="A1" s="280"/>
      <c r="B1" s="281"/>
      <c r="C1" s="281"/>
      <c r="D1" s="281"/>
      <c r="E1" s="282" t="s">
        <v>281</v>
      </c>
      <c r="F1" s="283"/>
      <c r="G1" s="281"/>
      <c r="H1" s="281"/>
      <c r="I1" s="281"/>
      <c r="J1" s="281"/>
      <c r="K1" s="281"/>
      <c r="L1" s="281"/>
    </row>
    <row r="2">
      <c r="A2" s="284" t="s">
        <v>282</v>
      </c>
      <c r="B2" s="165"/>
      <c r="C2" s="165"/>
      <c r="D2" s="285"/>
      <c r="E2" s="210"/>
      <c r="F2" s="284" t="s">
        <v>283</v>
      </c>
      <c r="G2" s="165"/>
      <c r="H2" s="286" t="s">
        <v>284</v>
      </c>
      <c r="I2" s="165"/>
      <c r="J2" s="287">
        <f>OpDate</f>
        <v>43893</v>
      </c>
      <c r="K2" s="286" t="s">
        <v>130</v>
      </c>
      <c r="L2" s="288">
        <f>OpDateTo</f>
        <v>43894</v>
      </c>
    </row>
    <row r="3">
      <c r="A3" s="289" t="str">
        <f>IncName</f>
        <v>NO NAME</v>
      </c>
      <c r="B3" s="77"/>
      <c r="C3" s="77"/>
      <c r="D3" s="77"/>
      <c r="E3" s="55"/>
      <c r="F3" s="290"/>
      <c r="G3" s="281"/>
      <c r="H3" s="281" t="s">
        <v>131</v>
      </c>
      <c r="I3" s="77"/>
      <c r="J3" s="291" t="str">
        <f>OpStart</f>
        <v>0700</v>
      </c>
      <c r="K3" s="281" t="s">
        <v>133</v>
      </c>
      <c r="L3" s="292" t="str">
        <f>OpEnd</f>
        <v>0700</v>
      </c>
    </row>
    <row r="4">
      <c r="A4" s="293" t="s">
        <v>285</v>
      </c>
      <c r="D4" s="294"/>
      <c r="E4" s="280"/>
      <c r="F4" s="280"/>
      <c r="G4" s="280"/>
      <c r="H4" s="280"/>
      <c r="I4" s="280"/>
      <c r="J4" s="280"/>
      <c r="K4" s="280"/>
      <c r="L4" s="295"/>
    </row>
    <row r="5" ht="21.75" customHeight="1">
      <c r="A5" s="296" t="s">
        <v>286</v>
      </c>
      <c r="B5" s="165"/>
      <c r="C5" s="165"/>
      <c r="D5" s="165"/>
      <c r="E5" s="165"/>
      <c r="F5" s="165"/>
      <c r="G5" s="165"/>
      <c r="H5" s="165"/>
      <c r="I5" s="165"/>
      <c r="J5" s="165"/>
      <c r="K5" s="165"/>
      <c r="L5" s="210"/>
    </row>
    <row r="6" ht="20.25" customHeight="1">
      <c r="A6" s="297" t="s">
        <v>287</v>
      </c>
      <c r="B6" s="298" t="s">
        <v>288</v>
      </c>
      <c r="L6" s="94"/>
    </row>
    <row r="7" ht="20.25" customHeight="1">
      <c r="A7" s="297" t="s">
        <v>287</v>
      </c>
      <c r="B7" s="298" t="s">
        <v>289</v>
      </c>
      <c r="L7" s="94"/>
    </row>
    <row r="8" ht="20.25" customHeight="1">
      <c r="A8" s="297" t="s">
        <v>287</v>
      </c>
      <c r="B8" s="298" t="s">
        <v>290</v>
      </c>
      <c r="L8" s="94"/>
    </row>
    <row r="9" ht="20.25" hidden="1" customHeight="1">
      <c r="A9" s="297"/>
      <c r="B9" s="298"/>
      <c r="L9" s="94"/>
    </row>
    <row r="10" ht="20.25" customHeight="1">
      <c r="A10" s="297" t="s">
        <v>287</v>
      </c>
      <c r="B10" s="298" t="s">
        <v>291</v>
      </c>
      <c r="L10" s="94"/>
    </row>
    <row r="11" ht="20.25" customHeight="1">
      <c r="A11" s="297" t="s">
        <v>287</v>
      </c>
      <c r="B11" s="298" t="s">
        <v>292</v>
      </c>
      <c r="L11" s="94"/>
    </row>
    <row r="12" ht="20.25" customHeight="1">
      <c r="A12" s="297" t="s">
        <v>287</v>
      </c>
      <c r="B12" s="298" t="s">
        <v>293</v>
      </c>
      <c r="L12" s="94"/>
    </row>
    <row r="13" ht="20.25" customHeight="1">
      <c r="A13" s="299" t="s">
        <v>287</v>
      </c>
      <c r="B13" s="300" t="s">
        <v>294</v>
      </c>
      <c r="C13" s="77"/>
      <c r="D13" s="77"/>
      <c r="E13" s="77"/>
      <c r="F13" s="77"/>
      <c r="G13" s="77"/>
      <c r="H13" s="77"/>
      <c r="I13" s="77"/>
      <c r="J13" s="77"/>
      <c r="K13" s="77"/>
      <c r="L13" s="55"/>
    </row>
    <row r="14" ht="19.5" customHeight="1">
      <c r="A14" s="301" t="s">
        <v>295</v>
      </c>
      <c r="L14" s="94"/>
    </row>
    <row r="15" ht="19.5" customHeight="1">
      <c r="A15" s="297" t="s">
        <v>287</v>
      </c>
      <c r="B15" s="302" t="s">
        <v>296</v>
      </c>
      <c r="L15" s="94"/>
    </row>
    <row r="16" ht="19.5" customHeight="1">
      <c r="A16" s="297" t="s">
        <v>287</v>
      </c>
      <c r="B16" s="302" t="s">
        <v>297</v>
      </c>
      <c r="L16" s="94"/>
    </row>
    <row r="17" ht="19.5" customHeight="1">
      <c r="A17" s="297" t="s">
        <v>287</v>
      </c>
      <c r="B17" s="302" t="s">
        <v>298</v>
      </c>
      <c r="L17" s="94"/>
    </row>
    <row r="18" ht="19.5" customHeight="1">
      <c r="A18" s="297" t="s">
        <v>287</v>
      </c>
      <c r="B18" s="302" t="s">
        <v>299</v>
      </c>
      <c r="L18" s="94"/>
    </row>
    <row r="19" ht="19.5" customHeight="1">
      <c r="A19" s="297"/>
      <c r="B19" s="302"/>
      <c r="L19" s="94"/>
    </row>
    <row r="20">
      <c r="A20" s="297"/>
      <c r="B20" s="302"/>
      <c r="L20" s="94"/>
    </row>
    <row r="21">
      <c r="A21" s="299"/>
      <c r="B21" s="303"/>
      <c r="C21" s="77"/>
      <c r="D21" s="77"/>
      <c r="E21" s="77"/>
      <c r="F21" s="77"/>
      <c r="G21" s="77"/>
      <c r="H21" s="77"/>
      <c r="I21" s="77"/>
      <c r="J21" s="77"/>
      <c r="K21" s="77"/>
      <c r="L21" s="55"/>
    </row>
    <row r="22" ht="22.5" customHeight="1">
      <c r="A22" s="304" t="s">
        <v>300</v>
      </c>
      <c r="B22" s="165"/>
      <c r="C22" s="165"/>
      <c r="D22" s="165"/>
      <c r="E22" s="165"/>
      <c r="F22" s="165"/>
      <c r="G22" s="165"/>
      <c r="H22" s="165"/>
      <c r="I22" s="165"/>
      <c r="J22" s="165"/>
      <c r="K22" s="165"/>
      <c r="L22" s="210"/>
    </row>
    <row r="23" ht="19.5" customHeight="1">
      <c r="A23" s="297"/>
      <c r="B23" s="305" t="s">
        <v>301</v>
      </c>
      <c r="L23" s="94"/>
    </row>
    <row r="24" ht="19.5" customHeight="1">
      <c r="A24" s="297"/>
      <c r="B24" s="306"/>
      <c r="L24" s="94"/>
    </row>
    <row r="25" ht="19.5" customHeight="1">
      <c r="A25" s="297"/>
      <c r="B25" s="306" t="s">
        <v>302</v>
      </c>
      <c r="L25" s="94"/>
    </row>
    <row r="26" ht="19.5" customHeight="1">
      <c r="A26" s="297"/>
      <c r="B26" s="306" t="s">
        <v>303</v>
      </c>
      <c r="L26" s="94"/>
    </row>
    <row r="27" ht="19.5" customHeight="1">
      <c r="A27" s="297"/>
      <c r="B27" s="306"/>
      <c r="L27" s="94"/>
    </row>
    <row r="28">
      <c r="A28" s="297"/>
      <c r="B28" s="306" t="s">
        <v>304</v>
      </c>
      <c r="L28" s="94"/>
    </row>
    <row r="29">
      <c r="A29" s="299"/>
      <c r="B29" s="307"/>
      <c r="C29" s="77"/>
      <c r="D29" s="77"/>
      <c r="E29" s="77"/>
      <c r="F29" s="77"/>
      <c r="G29" s="77"/>
      <c r="H29" s="77"/>
      <c r="I29" s="77"/>
      <c r="J29" s="77"/>
      <c r="K29" s="77"/>
      <c r="L29" s="55"/>
    </row>
    <row r="30">
      <c r="A30" s="293" t="s">
        <v>305</v>
      </c>
      <c r="F30" s="308" t="s">
        <v>306</v>
      </c>
      <c r="H30" s="308"/>
      <c r="L30" s="94"/>
    </row>
    <row r="31">
      <c r="A31" s="309" t="s">
        <v>307</v>
      </c>
      <c r="B31" s="77"/>
      <c r="C31" s="77"/>
      <c r="D31" s="77"/>
      <c r="E31" s="77"/>
      <c r="F31" s="281"/>
      <c r="G31" s="77"/>
      <c r="H31" s="77"/>
      <c r="I31" s="77"/>
      <c r="J31" s="77"/>
      <c r="K31" s="77"/>
      <c r="L31" s="55"/>
    </row>
    <row r="32">
      <c r="A32" s="284" t="s">
        <v>308</v>
      </c>
      <c r="B32" s="165"/>
      <c r="C32" s="165"/>
      <c r="D32" s="165"/>
      <c r="E32" s="286"/>
      <c r="F32" s="286"/>
      <c r="G32" s="286"/>
      <c r="H32" s="286"/>
      <c r="I32" s="286"/>
      <c r="J32" s="286"/>
      <c r="K32" s="286"/>
      <c r="L32" s="310"/>
    </row>
    <row r="33">
      <c r="A33" s="311" t="b">
        <v>1</v>
      </c>
      <c r="C33" s="225" t="s">
        <v>309</v>
      </c>
      <c r="D33" s="41" t="b">
        <v>1</v>
      </c>
      <c r="E33" s="308" t="s">
        <v>310</v>
      </c>
      <c r="F33" s="41" t="b">
        <v>0</v>
      </c>
      <c r="G33" s="308" t="s">
        <v>311</v>
      </c>
      <c r="H33" s="41" t="b">
        <v>0</v>
      </c>
      <c r="I33" s="312"/>
      <c r="J33" s="313"/>
      <c r="K33" s="313"/>
      <c r="L33" s="295"/>
    </row>
    <row r="34">
      <c r="A34" s="311" t="b">
        <v>1</v>
      </c>
      <c r="C34" s="225" t="s">
        <v>312</v>
      </c>
      <c r="D34" s="41" t="b">
        <v>1</v>
      </c>
      <c r="E34" s="308" t="s">
        <v>313</v>
      </c>
      <c r="F34" s="41" t="b">
        <v>0</v>
      </c>
      <c r="G34" s="312" t="s">
        <v>314</v>
      </c>
      <c r="H34" s="41" t="b">
        <v>0</v>
      </c>
      <c r="I34" s="312"/>
      <c r="L34" s="295"/>
    </row>
    <row r="35">
      <c r="A35" s="311" t="b">
        <v>1</v>
      </c>
      <c r="C35" s="225" t="s">
        <v>315</v>
      </c>
      <c r="D35" s="41" t="b">
        <v>0</v>
      </c>
      <c r="E35" s="308" t="s">
        <v>316</v>
      </c>
      <c r="F35" s="41" t="b">
        <v>1</v>
      </c>
      <c r="G35" s="312" t="s">
        <v>317</v>
      </c>
      <c r="H35" s="41" t="b">
        <v>0</v>
      </c>
      <c r="I35" s="312"/>
      <c r="L35" s="295"/>
    </row>
    <row r="36">
      <c r="A36" s="311" t="b">
        <v>1</v>
      </c>
      <c r="C36" s="225" t="s">
        <v>318</v>
      </c>
      <c r="D36" s="41" t="b">
        <v>1</v>
      </c>
      <c r="E36" s="308" t="s">
        <v>319</v>
      </c>
      <c r="F36" s="41" t="b">
        <v>1</v>
      </c>
      <c r="G36" s="312" t="s">
        <v>320</v>
      </c>
      <c r="H36" s="41" t="b">
        <v>1</v>
      </c>
      <c r="I36" s="312" t="s">
        <v>321</v>
      </c>
      <c r="L36" s="295"/>
    </row>
    <row r="37">
      <c r="A37" s="314" t="b">
        <v>1</v>
      </c>
      <c r="B37" s="77"/>
      <c r="C37" s="315" t="s">
        <v>322</v>
      </c>
      <c r="D37" s="316" t="b">
        <v>1</v>
      </c>
      <c r="E37" s="317" t="s">
        <v>323</v>
      </c>
      <c r="F37" s="316" t="b">
        <v>1</v>
      </c>
      <c r="G37" s="317" t="s">
        <v>324</v>
      </c>
      <c r="H37" s="316" t="b">
        <v>1</v>
      </c>
      <c r="I37" s="318" t="s">
        <v>325</v>
      </c>
      <c r="J37" s="77"/>
      <c r="K37" s="77"/>
      <c r="L37" s="319"/>
    </row>
    <row r="38">
      <c r="A38" s="284" t="s">
        <v>326</v>
      </c>
      <c r="B38" s="165"/>
      <c r="C38" s="165"/>
      <c r="D38" s="320" t="str">
        <f> '101 General Info'!C28</f>
        <v/>
      </c>
      <c r="E38" s="165"/>
      <c r="F38" s="286" t="str">
        <f> "Position/Title: " &amp; '101 General Info'!D28</f>
        <v>Position/Title: PSC</v>
      </c>
      <c r="G38" s="165"/>
      <c r="H38" s="286" t="s">
        <v>327</v>
      </c>
      <c r="I38" s="165"/>
      <c r="J38" s="286" t="s">
        <v>328</v>
      </c>
      <c r="K38" s="165"/>
      <c r="L38" s="210"/>
    </row>
    <row r="39">
      <c r="A39" s="293" t="s">
        <v>329</v>
      </c>
      <c r="F39" s="308" t="str">
        <f>'101 General Info'!C29</f>
        <v/>
      </c>
      <c r="H39" s="280" t="s">
        <v>327</v>
      </c>
      <c r="J39" s="280" t="s">
        <v>328</v>
      </c>
      <c r="L39" s="94"/>
    </row>
    <row r="40">
      <c r="A40" s="321" t="s">
        <v>330</v>
      </c>
      <c r="B40" s="77"/>
      <c r="C40" s="77"/>
      <c r="D40" s="322"/>
      <c r="E40" s="323" t="s">
        <v>331</v>
      </c>
      <c r="F40" s="323"/>
      <c r="G40" s="281"/>
      <c r="H40" s="281"/>
      <c r="I40" s="281"/>
      <c r="J40" s="281"/>
      <c r="K40" s="281"/>
      <c r="L40" s="324" t="s">
        <v>332</v>
      </c>
    </row>
  </sheetData>
  <mergeCells count="56">
    <mergeCell ref="A39:E39"/>
    <mergeCell ref="F39:G39"/>
    <mergeCell ref="H39:I39"/>
    <mergeCell ref="J39:L39"/>
    <mergeCell ref="A40:C40"/>
    <mergeCell ref="A37:B37"/>
    <mergeCell ref="I37:K37"/>
    <mergeCell ref="A38:C38"/>
    <mergeCell ref="D38:E38"/>
    <mergeCell ref="F38:G38"/>
    <mergeCell ref="H38:I38"/>
    <mergeCell ref="J38:L38"/>
    <mergeCell ref="A2:C2"/>
    <mergeCell ref="F2:G2"/>
    <mergeCell ref="H2:I2"/>
    <mergeCell ref="A3:E3"/>
    <mergeCell ref="H3:I3"/>
    <mergeCell ref="A4:C4"/>
    <mergeCell ref="A5:L5"/>
    <mergeCell ref="B6:L6"/>
    <mergeCell ref="B7:L7"/>
    <mergeCell ref="B8:L8"/>
    <mergeCell ref="B9:L9"/>
    <mergeCell ref="B10:L10"/>
    <mergeCell ref="B11:L11"/>
    <mergeCell ref="B12:L12"/>
    <mergeCell ref="B13:L13"/>
    <mergeCell ref="A14:L14"/>
    <mergeCell ref="B15:L15"/>
    <mergeCell ref="B16:L16"/>
    <mergeCell ref="B17:L17"/>
    <mergeCell ref="B18:L18"/>
    <mergeCell ref="B19:L19"/>
    <mergeCell ref="B20:L20"/>
    <mergeCell ref="B21:L21"/>
    <mergeCell ref="A22:L22"/>
    <mergeCell ref="B23:L23"/>
    <mergeCell ref="B24:L24"/>
    <mergeCell ref="B25:L25"/>
    <mergeCell ref="B26:L26"/>
    <mergeCell ref="B27:L27"/>
    <mergeCell ref="B28:L28"/>
    <mergeCell ref="B29:L29"/>
    <mergeCell ref="A30:E30"/>
    <mergeCell ref="F30:G30"/>
    <mergeCell ref="H30:L30"/>
    <mergeCell ref="F31:L31"/>
    <mergeCell ref="I35:K35"/>
    <mergeCell ref="I36:K36"/>
    <mergeCell ref="A31:E31"/>
    <mergeCell ref="A32:D32"/>
    <mergeCell ref="A33:B33"/>
    <mergeCell ref="A34:B34"/>
    <mergeCell ref="I34:K34"/>
    <mergeCell ref="A35:B35"/>
    <mergeCell ref="A36:B36"/>
  </mergeCells>
  <conditionalFormatting sqref="H33">
    <cfRule type="colorScale" priority="1">
      <colorScale>
        <cfvo type="min"/>
        <cfvo type="max"/>
        <color rgb="FF57BB8A"/>
        <color rgb="FFFFFFFF"/>
      </colorScale>
    </cfRule>
  </conditionalFormatting>
  <dataValidations>
    <dataValidation type="list" allowBlank="1" sqref="F30">
      <formula1>"Yes ☐  No ☑,Yes ☑ No  ☐"</formula1>
    </dataValidation>
  </dataValidations>
  <printOptions horizontalCentered="1"/>
  <pageMargins bottom="0.75" footer="0.0" header="0.0" left="0.25" right="0.25" top="0.75"/>
  <pageSetup orientation="portrait" pageOrder="overThenDown"/>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17.75"/>
    <col customWidth="1" min="2" max="2" width="15.0"/>
    <col customWidth="1" min="3" max="3" width="12.75"/>
    <col customWidth="1" min="4" max="4" width="14.38"/>
    <col customWidth="1" min="5" max="5" width="13.75"/>
    <col customWidth="1" min="6" max="6" width="8.88"/>
    <col customWidth="1" min="7" max="7" width="18.0"/>
  </cols>
  <sheetData>
    <row r="1" ht="13.5" customHeight="1">
      <c r="A1" s="325" t="s">
        <v>333</v>
      </c>
      <c r="B1" s="77"/>
      <c r="C1" s="77"/>
      <c r="D1" s="77"/>
      <c r="E1" s="77"/>
      <c r="F1" s="77"/>
      <c r="G1" s="77"/>
    </row>
    <row r="2" ht="13.5" customHeight="1">
      <c r="A2" s="326" t="s">
        <v>282</v>
      </c>
      <c r="B2" s="210"/>
      <c r="C2" s="327" t="s">
        <v>334</v>
      </c>
      <c r="E2" s="328">
        <f>OpDate</f>
        <v>43893</v>
      </c>
      <c r="F2" s="280" t="s">
        <v>130</v>
      </c>
      <c r="G2" s="329">
        <f>OpDateTo</f>
        <v>43894</v>
      </c>
    </row>
    <row r="3" ht="13.5" customHeight="1">
      <c r="A3" s="330" t="str">
        <f>IncName</f>
        <v>NO NAME</v>
      </c>
      <c r="B3" s="55"/>
      <c r="C3" s="281"/>
      <c r="D3" s="331" t="s">
        <v>131</v>
      </c>
      <c r="E3" s="332" t="str">
        <f>OpStart</f>
        <v>0700</v>
      </c>
      <c r="F3" s="281" t="s">
        <v>133</v>
      </c>
      <c r="G3" s="333" t="str">
        <f>OpEnd</f>
        <v>0700</v>
      </c>
    </row>
    <row r="4" ht="13.5" customHeight="1">
      <c r="A4" s="334" t="s">
        <v>335</v>
      </c>
      <c r="B4" s="77"/>
      <c r="C4" s="55"/>
      <c r="D4" s="335" t="s">
        <v>336</v>
      </c>
      <c r="E4" s="77"/>
      <c r="F4" s="77"/>
      <c r="G4" s="55"/>
    </row>
    <row r="5" ht="13.5" customHeight="1">
      <c r="A5" s="336" t="s">
        <v>337</v>
      </c>
      <c r="B5" s="337"/>
      <c r="C5" s="45"/>
      <c r="D5" s="338" t="s">
        <v>338</v>
      </c>
      <c r="E5" s="317"/>
      <c r="F5" s="77"/>
      <c r="G5" s="55"/>
    </row>
    <row r="6" ht="13.5" customHeight="1">
      <c r="A6" s="339" t="s">
        <v>339</v>
      </c>
      <c r="B6" s="340"/>
      <c r="C6" s="45"/>
      <c r="D6" s="338" t="s">
        <v>340</v>
      </c>
      <c r="E6" s="317"/>
      <c r="F6" s="77"/>
      <c r="G6" s="55"/>
    </row>
    <row r="7" ht="13.5" customHeight="1">
      <c r="A7" s="339" t="s">
        <v>341</v>
      </c>
      <c r="B7" s="340"/>
      <c r="C7" s="45"/>
      <c r="D7" s="338" t="s">
        <v>342</v>
      </c>
      <c r="E7" s="317"/>
      <c r="F7" s="77"/>
      <c r="G7" s="55"/>
    </row>
    <row r="8" ht="13.5" customHeight="1">
      <c r="A8" s="341" t="s">
        <v>343</v>
      </c>
      <c r="B8" s="342"/>
      <c r="C8" s="45"/>
      <c r="D8" s="343" t="s">
        <v>344</v>
      </c>
      <c r="E8" s="344"/>
      <c r="F8" s="345"/>
      <c r="G8" s="45"/>
    </row>
    <row r="9" ht="13.5" customHeight="1">
      <c r="A9" s="336" t="s">
        <v>345</v>
      </c>
      <c r="B9" s="342"/>
      <c r="C9" s="45"/>
      <c r="D9" s="346" t="s">
        <v>196</v>
      </c>
      <c r="E9" s="347" t="s">
        <v>198</v>
      </c>
      <c r="F9" s="348" t="s">
        <v>346</v>
      </c>
      <c r="G9" s="45"/>
    </row>
    <row r="10" ht="13.5" customHeight="1">
      <c r="A10" s="334" t="s">
        <v>347</v>
      </c>
      <c r="B10" s="77"/>
      <c r="C10" s="55"/>
      <c r="D10" s="338" t="s">
        <v>348</v>
      </c>
      <c r="E10" s="349" t="s">
        <v>349</v>
      </c>
      <c r="F10" s="350" t="s">
        <v>350</v>
      </c>
      <c r="G10" s="55"/>
    </row>
    <row r="11" ht="13.5" customHeight="1">
      <c r="A11" s="351" t="s">
        <v>351</v>
      </c>
      <c r="B11" s="352" t="s">
        <v>352</v>
      </c>
      <c r="C11" s="55"/>
      <c r="D11" s="338" t="s">
        <v>348</v>
      </c>
      <c r="E11" s="349" t="s">
        <v>353</v>
      </c>
      <c r="F11" s="350" t="s">
        <v>354</v>
      </c>
      <c r="G11" s="55"/>
    </row>
    <row r="12" ht="13.5" customHeight="1">
      <c r="A12" s="353"/>
      <c r="B12" s="317"/>
      <c r="C12" s="55"/>
      <c r="D12" s="338" t="s">
        <v>348</v>
      </c>
      <c r="E12" s="349" t="s">
        <v>355</v>
      </c>
      <c r="F12" s="350"/>
      <c r="G12" s="55"/>
    </row>
    <row r="13" ht="13.5" customHeight="1">
      <c r="A13" s="353"/>
      <c r="B13" s="354"/>
      <c r="C13" s="45"/>
      <c r="D13" s="338" t="s">
        <v>348</v>
      </c>
      <c r="E13" s="349"/>
      <c r="F13" s="355"/>
      <c r="G13" s="45"/>
    </row>
    <row r="14" ht="13.5" customHeight="1">
      <c r="A14" s="353"/>
      <c r="B14" s="354"/>
      <c r="C14" s="74"/>
      <c r="D14" s="346" t="s">
        <v>348</v>
      </c>
      <c r="E14" s="349"/>
      <c r="F14" s="356"/>
      <c r="G14" s="45"/>
    </row>
    <row r="15" ht="13.5" customHeight="1">
      <c r="A15" s="353"/>
      <c r="B15" s="357"/>
      <c r="C15" s="74"/>
      <c r="D15" s="346" t="s">
        <v>196</v>
      </c>
      <c r="E15" s="349" t="s">
        <v>356</v>
      </c>
      <c r="F15" s="358"/>
      <c r="G15" s="55"/>
    </row>
    <row r="16" ht="13.5" customHeight="1">
      <c r="A16" s="353"/>
      <c r="B16" s="359"/>
      <c r="C16" s="165"/>
      <c r="D16" s="346" t="s">
        <v>348</v>
      </c>
      <c r="E16" s="347"/>
      <c r="F16" s="358"/>
      <c r="G16" s="55"/>
    </row>
    <row r="17" ht="13.5" customHeight="1">
      <c r="A17" s="360"/>
      <c r="B17" s="354"/>
      <c r="C17" s="45"/>
      <c r="D17" s="361" t="s">
        <v>348</v>
      </c>
      <c r="E17" s="362"/>
      <c r="F17" s="356"/>
      <c r="G17" s="45"/>
    </row>
    <row r="18" ht="13.5" customHeight="1">
      <c r="A18" s="360"/>
      <c r="B18" s="354"/>
      <c r="C18" s="45"/>
      <c r="D18" s="346" t="s">
        <v>348</v>
      </c>
      <c r="E18" s="344"/>
      <c r="F18" s="356"/>
      <c r="G18" s="45"/>
    </row>
    <row r="19" ht="13.5" customHeight="1">
      <c r="A19" s="353"/>
      <c r="B19" s="354"/>
      <c r="C19" s="74"/>
      <c r="D19" s="363" t="s">
        <v>348</v>
      </c>
      <c r="E19" s="347"/>
      <c r="F19" s="356"/>
      <c r="G19" s="45"/>
    </row>
    <row r="20" ht="13.5" customHeight="1">
      <c r="A20" s="185"/>
      <c r="B20" s="345"/>
      <c r="C20" s="74"/>
      <c r="D20" s="346" t="s">
        <v>348</v>
      </c>
      <c r="E20" s="349"/>
      <c r="F20" s="356"/>
      <c r="G20" s="45"/>
    </row>
    <row r="21" ht="13.5" customHeight="1">
      <c r="A21" s="185"/>
      <c r="B21" s="345"/>
      <c r="C21" s="74"/>
      <c r="D21" s="346" t="s">
        <v>196</v>
      </c>
      <c r="E21" s="349" t="s">
        <v>357</v>
      </c>
      <c r="F21" s="364"/>
      <c r="G21" s="55"/>
    </row>
    <row r="22" ht="13.5" customHeight="1">
      <c r="A22" s="185"/>
      <c r="B22" s="345"/>
      <c r="C22" s="74"/>
      <c r="D22" s="346" t="s">
        <v>348</v>
      </c>
      <c r="E22" s="365"/>
      <c r="F22" s="350"/>
      <c r="G22" s="55"/>
    </row>
    <row r="23" ht="13.5" customHeight="1">
      <c r="A23" s="185"/>
      <c r="B23" s="345"/>
      <c r="C23" s="74"/>
      <c r="D23" s="346" t="s">
        <v>348</v>
      </c>
      <c r="E23" s="349"/>
      <c r="F23" s="213"/>
      <c r="G23" s="45"/>
    </row>
    <row r="24" ht="13.5" customHeight="1">
      <c r="A24" s="185"/>
      <c r="B24" s="345"/>
      <c r="C24" s="74"/>
      <c r="D24" s="363" t="s">
        <v>348</v>
      </c>
      <c r="E24" s="344"/>
      <c r="F24" s="356" t="s">
        <v>331</v>
      </c>
      <c r="G24" s="45"/>
    </row>
    <row r="25" ht="13.5" customHeight="1">
      <c r="A25" s="185"/>
      <c r="B25" s="345"/>
      <c r="C25" s="74"/>
      <c r="D25" s="346" t="s">
        <v>348</v>
      </c>
      <c r="E25" s="344"/>
      <c r="F25" s="356"/>
      <c r="G25" s="45"/>
    </row>
    <row r="26" ht="13.5" customHeight="1">
      <c r="A26" s="185"/>
      <c r="B26" s="345"/>
      <c r="C26" s="74"/>
      <c r="D26" s="346" t="s">
        <v>348</v>
      </c>
      <c r="E26" s="349"/>
      <c r="F26" s="356"/>
      <c r="G26" s="45"/>
    </row>
    <row r="27" ht="13.5" customHeight="1">
      <c r="A27" s="185"/>
      <c r="B27" s="345"/>
      <c r="C27" s="74"/>
      <c r="D27" s="346" t="s">
        <v>196</v>
      </c>
      <c r="E27" s="349" t="s">
        <v>358</v>
      </c>
      <c r="F27" s="342"/>
      <c r="G27" s="45"/>
    </row>
    <row r="28" ht="13.5" customHeight="1">
      <c r="A28" s="185"/>
      <c r="B28" s="345"/>
      <c r="C28" s="74"/>
      <c r="D28" s="346" t="s">
        <v>348</v>
      </c>
      <c r="E28" s="365"/>
      <c r="F28" s="213"/>
      <c r="G28" s="45"/>
    </row>
    <row r="29" ht="13.5" customHeight="1">
      <c r="A29" s="366" t="s">
        <v>359</v>
      </c>
      <c r="B29" s="74"/>
      <c r="C29" s="74"/>
      <c r="D29" s="363" t="s">
        <v>348</v>
      </c>
      <c r="E29" s="344"/>
      <c r="F29" s="213"/>
      <c r="G29" s="45"/>
    </row>
    <row r="30" ht="13.5" customHeight="1">
      <c r="A30" s="367" t="s">
        <v>360</v>
      </c>
      <c r="B30" s="317"/>
      <c r="C30" s="77"/>
      <c r="D30" s="346" t="s">
        <v>348</v>
      </c>
      <c r="E30" s="344"/>
      <c r="F30" s="213"/>
      <c r="G30" s="45"/>
    </row>
    <row r="31" ht="13.5" customHeight="1">
      <c r="A31" s="368" t="s">
        <v>339</v>
      </c>
      <c r="B31" s="354"/>
      <c r="C31" s="74"/>
      <c r="D31" s="346" t="s">
        <v>348</v>
      </c>
      <c r="E31" s="344"/>
      <c r="F31" s="213"/>
      <c r="G31" s="45"/>
    </row>
    <row r="32" ht="13.5" customHeight="1">
      <c r="A32" s="368" t="s">
        <v>361</v>
      </c>
      <c r="B32" s="369"/>
      <c r="C32" s="77"/>
      <c r="D32" s="346" t="s">
        <v>348</v>
      </c>
      <c r="E32" s="344"/>
      <c r="F32" s="213"/>
      <c r="G32" s="45"/>
    </row>
    <row r="33" ht="13.5" customHeight="1">
      <c r="A33" s="368" t="s">
        <v>362</v>
      </c>
      <c r="B33" s="354"/>
      <c r="C33" s="74"/>
      <c r="D33" s="346" t="s">
        <v>196</v>
      </c>
      <c r="E33" s="349" t="s">
        <v>363</v>
      </c>
      <c r="F33" s="342"/>
      <c r="G33" s="45"/>
    </row>
    <row r="34" ht="13.5" customHeight="1">
      <c r="A34" s="368" t="s">
        <v>364</v>
      </c>
      <c r="B34" s="354"/>
      <c r="C34" s="74"/>
      <c r="D34" s="363" t="s">
        <v>348</v>
      </c>
      <c r="E34" s="344"/>
      <c r="F34" s="213"/>
      <c r="G34" s="45"/>
    </row>
    <row r="35" ht="13.5" customHeight="1">
      <c r="A35" s="368" t="s">
        <v>365</v>
      </c>
      <c r="B35" s="354"/>
      <c r="C35" s="74"/>
      <c r="D35" s="363" t="s">
        <v>348</v>
      </c>
      <c r="E35" s="344"/>
      <c r="F35" s="213"/>
      <c r="G35" s="45"/>
    </row>
    <row r="36" ht="13.5" customHeight="1">
      <c r="A36" s="368" t="s">
        <v>366</v>
      </c>
      <c r="B36" s="354"/>
      <c r="C36" s="74"/>
      <c r="D36" s="363" t="s">
        <v>348</v>
      </c>
      <c r="E36" s="344"/>
      <c r="F36" s="213"/>
      <c r="G36" s="45"/>
    </row>
    <row r="37" ht="13.5" customHeight="1">
      <c r="A37" s="368" t="s">
        <v>367</v>
      </c>
      <c r="B37" s="213"/>
      <c r="C37" s="45"/>
      <c r="D37" s="363" t="s">
        <v>348</v>
      </c>
      <c r="E37" s="344"/>
      <c r="F37" s="213"/>
      <c r="G37" s="45"/>
    </row>
    <row r="38" ht="13.5" customHeight="1">
      <c r="A38" s="368" t="s">
        <v>368</v>
      </c>
      <c r="B38" s="213"/>
      <c r="C38" s="45"/>
      <c r="D38" s="346" t="s">
        <v>348</v>
      </c>
      <c r="E38" s="344"/>
      <c r="F38" s="213"/>
      <c r="G38" s="45"/>
    </row>
    <row r="39" ht="13.5" customHeight="1">
      <c r="A39" s="368" t="s">
        <v>369</v>
      </c>
      <c r="B39" s="213"/>
      <c r="C39" s="45"/>
      <c r="D39" s="334" t="s">
        <v>370</v>
      </c>
      <c r="E39" s="77"/>
      <c r="F39" s="370" t="s">
        <v>371</v>
      </c>
      <c r="G39" s="370"/>
    </row>
    <row r="40" ht="13.5" customHeight="1">
      <c r="A40" s="368"/>
      <c r="B40" s="354"/>
      <c r="C40" s="74"/>
      <c r="D40" s="371" t="s">
        <v>372</v>
      </c>
      <c r="E40" s="45"/>
      <c r="F40" s="213"/>
      <c r="G40" s="45"/>
    </row>
    <row r="41" ht="13.5" customHeight="1">
      <c r="A41" s="372"/>
      <c r="B41" s="373"/>
      <c r="C41" s="74"/>
      <c r="D41" s="374" t="s">
        <v>373</v>
      </c>
      <c r="E41" s="55"/>
      <c r="F41" s="213"/>
      <c r="G41" s="45"/>
    </row>
    <row r="42" ht="13.5" customHeight="1">
      <c r="A42" s="375" t="s">
        <v>374</v>
      </c>
      <c r="B42" s="74"/>
      <c r="C42" s="74"/>
      <c r="D42" s="376" t="s">
        <v>375</v>
      </c>
      <c r="E42" s="55"/>
      <c r="F42" s="213"/>
      <c r="G42" s="45"/>
    </row>
    <row r="43" ht="13.5" customHeight="1">
      <c r="A43" s="336" t="s">
        <v>360</v>
      </c>
      <c r="B43" s="317"/>
      <c r="C43" s="77"/>
      <c r="D43" s="377"/>
      <c r="E43" s="55"/>
      <c r="F43" s="378"/>
      <c r="G43" s="45"/>
    </row>
    <row r="44" ht="13.5" customHeight="1">
      <c r="A44" s="336" t="s">
        <v>376</v>
      </c>
      <c r="B44" s="317"/>
      <c r="C44" s="77"/>
      <c r="D44" s="366" t="s">
        <v>377</v>
      </c>
      <c r="E44" s="74"/>
      <c r="F44" s="74"/>
      <c r="G44" s="45"/>
    </row>
    <row r="45" ht="13.5" customHeight="1">
      <c r="A45" s="336" t="s">
        <v>378</v>
      </c>
      <c r="B45" s="354"/>
      <c r="C45" s="74"/>
      <c r="D45" s="336" t="s">
        <v>360</v>
      </c>
      <c r="E45" s="379"/>
      <c r="F45" s="74"/>
      <c r="G45" s="45"/>
    </row>
    <row r="46" ht="13.5" customHeight="1">
      <c r="A46" s="336" t="s">
        <v>379</v>
      </c>
      <c r="B46" s="356"/>
      <c r="C46" s="74"/>
      <c r="D46" s="336" t="s">
        <v>380</v>
      </c>
      <c r="E46" s="379"/>
      <c r="F46" s="74"/>
      <c r="G46" s="45"/>
    </row>
    <row r="47" ht="13.5" customHeight="1">
      <c r="A47" s="336" t="s">
        <v>381</v>
      </c>
      <c r="B47" s="354"/>
      <c r="C47" s="74"/>
      <c r="D47" s="363" t="s">
        <v>382</v>
      </c>
      <c r="E47" s="379"/>
      <c r="F47" s="74"/>
      <c r="G47" s="45"/>
    </row>
    <row r="48" ht="13.5" customHeight="1">
      <c r="A48" s="336" t="s">
        <v>383</v>
      </c>
      <c r="B48" s="342"/>
      <c r="C48" s="74"/>
      <c r="D48" s="363" t="s">
        <v>384</v>
      </c>
      <c r="E48" s="379"/>
      <c r="F48" s="74"/>
      <c r="G48" s="45"/>
    </row>
    <row r="49" ht="13.5" customHeight="1">
      <c r="A49" s="346"/>
      <c r="B49" s="342"/>
      <c r="C49" s="45"/>
      <c r="D49" s="363" t="s">
        <v>385</v>
      </c>
      <c r="E49" s="379"/>
      <c r="F49" s="74"/>
      <c r="G49" s="45"/>
    </row>
    <row r="50" ht="13.5" customHeight="1">
      <c r="A50" s="346"/>
      <c r="B50" s="342"/>
      <c r="C50" s="45"/>
      <c r="D50" s="363"/>
      <c r="E50" s="356"/>
      <c r="F50" s="74"/>
      <c r="G50" s="45"/>
    </row>
    <row r="51" ht="13.5" customHeight="1">
      <c r="A51" s="380" t="s">
        <v>386</v>
      </c>
      <c r="B51" s="381" t="str">
        <f>'101 General Info'!C31</f>
        <v/>
      </c>
      <c r="C51" s="308" t="s">
        <v>387</v>
      </c>
      <c r="D51" s="308" t="str">
        <f>'101 General Info'!D31</f>
        <v>PSC</v>
      </c>
      <c r="E51" s="382" t="s">
        <v>388</v>
      </c>
      <c r="G51" s="94"/>
    </row>
    <row r="52" ht="13.5" customHeight="1">
      <c r="A52" s="383" t="s">
        <v>309</v>
      </c>
      <c r="B52" s="384"/>
      <c r="C52" s="385" t="s">
        <v>389</v>
      </c>
      <c r="D52" s="386">
        <f>E2-1</f>
        <v>43892</v>
      </c>
      <c r="E52" s="387" t="s">
        <v>390</v>
      </c>
      <c r="F52" s="388"/>
      <c r="G52" s="389" t="s">
        <v>332</v>
      </c>
    </row>
  </sheetData>
  <mergeCells count="102">
    <mergeCell ref="F25:G25"/>
    <mergeCell ref="F26:G26"/>
    <mergeCell ref="F18:G18"/>
    <mergeCell ref="F19:G19"/>
    <mergeCell ref="F20:G20"/>
    <mergeCell ref="F21:G21"/>
    <mergeCell ref="F22:G22"/>
    <mergeCell ref="F23:G23"/>
    <mergeCell ref="F24:G24"/>
    <mergeCell ref="F28:G28"/>
    <mergeCell ref="F29:G29"/>
    <mergeCell ref="B24:C24"/>
    <mergeCell ref="B25:C25"/>
    <mergeCell ref="B26:C26"/>
    <mergeCell ref="B27:C27"/>
    <mergeCell ref="F27:G27"/>
    <mergeCell ref="B28:C28"/>
    <mergeCell ref="A29:C29"/>
    <mergeCell ref="B30:C30"/>
    <mergeCell ref="F30:G30"/>
    <mergeCell ref="B31:C31"/>
    <mergeCell ref="F31:G31"/>
    <mergeCell ref="B32:C32"/>
    <mergeCell ref="F32:G32"/>
    <mergeCell ref="F33:G33"/>
    <mergeCell ref="F37:G37"/>
    <mergeCell ref="F38:G38"/>
    <mergeCell ref="B33:C33"/>
    <mergeCell ref="B34:C34"/>
    <mergeCell ref="B35:C35"/>
    <mergeCell ref="B36:C36"/>
    <mergeCell ref="F36:G36"/>
    <mergeCell ref="B37:C37"/>
    <mergeCell ref="B38:C38"/>
    <mergeCell ref="B39:C39"/>
    <mergeCell ref="D39:E39"/>
    <mergeCell ref="B40:C40"/>
    <mergeCell ref="D40:E40"/>
    <mergeCell ref="F40:G40"/>
    <mergeCell ref="D41:E41"/>
    <mergeCell ref="F41:G41"/>
    <mergeCell ref="B41:C41"/>
    <mergeCell ref="A42:C42"/>
    <mergeCell ref="D42:E42"/>
    <mergeCell ref="F42:G42"/>
    <mergeCell ref="B43:C43"/>
    <mergeCell ref="D43:E43"/>
    <mergeCell ref="F43:G43"/>
    <mergeCell ref="B47:C47"/>
    <mergeCell ref="B48:C48"/>
    <mergeCell ref="B49:C49"/>
    <mergeCell ref="B50:C50"/>
    <mergeCell ref="E48:G48"/>
    <mergeCell ref="E49:G49"/>
    <mergeCell ref="E50:G50"/>
    <mergeCell ref="E51:G51"/>
    <mergeCell ref="B44:C44"/>
    <mergeCell ref="D44:G44"/>
    <mergeCell ref="B45:C45"/>
    <mergeCell ref="E45:G45"/>
    <mergeCell ref="B46:C46"/>
    <mergeCell ref="E46:G46"/>
    <mergeCell ref="E47:G47"/>
    <mergeCell ref="E5:G5"/>
    <mergeCell ref="E6:G6"/>
    <mergeCell ref="A1:G1"/>
    <mergeCell ref="C2:D2"/>
    <mergeCell ref="A3:B3"/>
    <mergeCell ref="A4:C4"/>
    <mergeCell ref="D4:G4"/>
    <mergeCell ref="B5:C5"/>
    <mergeCell ref="B6:C6"/>
    <mergeCell ref="B7:C7"/>
    <mergeCell ref="E7:G7"/>
    <mergeCell ref="B8:C8"/>
    <mergeCell ref="F8:G8"/>
    <mergeCell ref="B9:C9"/>
    <mergeCell ref="F9:G9"/>
    <mergeCell ref="F10:G10"/>
    <mergeCell ref="A10:C10"/>
    <mergeCell ref="B11:C11"/>
    <mergeCell ref="B12:C12"/>
    <mergeCell ref="B13:C13"/>
    <mergeCell ref="B14:C14"/>
    <mergeCell ref="B15:C15"/>
    <mergeCell ref="B16:C16"/>
    <mergeCell ref="F11:G11"/>
    <mergeCell ref="F12:G12"/>
    <mergeCell ref="F13:G13"/>
    <mergeCell ref="F14:G14"/>
    <mergeCell ref="F15:G15"/>
    <mergeCell ref="F16:G16"/>
    <mergeCell ref="F17:G17"/>
    <mergeCell ref="B17:C17"/>
    <mergeCell ref="B18:C18"/>
    <mergeCell ref="B19:C19"/>
    <mergeCell ref="B20:C20"/>
    <mergeCell ref="B21:C21"/>
    <mergeCell ref="B22:C22"/>
    <mergeCell ref="B23:C23"/>
    <mergeCell ref="F34:G34"/>
    <mergeCell ref="F35:G35"/>
  </mergeCells>
  <conditionalFormatting sqref="D9:G38">
    <cfRule type="expression" dxfId="1" priority="1">
      <formula> (Search("Branch",$D9,1))</formula>
    </cfRule>
  </conditionalFormatting>
  <conditionalFormatting sqref="G38">
    <cfRule type="expression" dxfId="2" priority="2">
      <formula> (Search("Zone",$D9,1))</formula>
    </cfRule>
  </conditionalFormatting>
  <conditionalFormatting sqref="D9:G38">
    <cfRule type="expression" dxfId="3" priority="3">
      <formula> (Search("Zone",$D9,1))</formula>
    </cfRule>
  </conditionalFormatting>
  <dataValidations>
    <dataValidation type="list" allowBlank="1" sqref="D9:D38">
      <formula1>"Branch,Division/Group,Staging Area,Zone"</formula1>
    </dataValidation>
  </dataValidations>
  <printOptions gridLines="1" horizontalCentered="1"/>
  <pageMargins bottom="0.75" footer="0.0" header="0.0" left="0.7" right="0.7" top="0.75"/>
  <pageSetup fitToHeight="0" cellComments="atEnd" orientation="portrait"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2" width="12.75"/>
    <col customWidth="1" min="3" max="3" width="8.25"/>
    <col customWidth="1" min="4" max="4" width="18.63"/>
    <col customWidth="1" min="5" max="5" width="0.63"/>
    <col customWidth="1" min="6" max="6" width="14.38"/>
    <col customWidth="1" min="7" max="7" width="14.63"/>
    <col customWidth="1" min="8" max="8" width="8.88"/>
    <col customWidth="1" min="9" max="9" width="24.0"/>
  </cols>
  <sheetData>
    <row r="1" ht="13.5" customHeight="1">
      <c r="A1" s="390" t="s">
        <v>391</v>
      </c>
      <c r="B1" s="77"/>
      <c r="C1" s="77"/>
      <c r="D1" s="77"/>
      <c r="E1" s="77"/>
      <c r="F1" s="77"/>
      <c r="G1" s="77"/>
      <c r="H1" s="77"/>
      <c r="I1" s="77"/>
    </row>
    <row r="2" ht="13.5" customHeight="1">
      <c r="A2" s="326" t="s">
        <v>282</v>
      </c>
      <c r="B2" s="391"/>
      <c r="C2" s="210"/>
      <c r="D2" s="327" t="s">
        <v>334</v>
      </c>
      <c r="G2" s="328">
        <f>OpDate</f>
        <v>43893</v>
      </c>
      <c r="H2" s="280" t="s">
        <v>130</v>
      </c>
      <c r="I2" s="329" t="str">
        <f>OpEnd</f>
        <v>0700</v>
      </c>
    </row>
    <row r="3" ht="13.5" customHeight="1">
      <c r="A3" s="330" t="str">
        <f>IncName</f>
        <v>NO NAME</v>
      </c>
      <c r="B3" s="77"/>
      <c r="C3" s="55"/>
      <c r="D3" s="281"/>
      <c r="E3" s="331"/>
      <c r="F3" s="331" t="s">
        <v>131</v>
      </c>
      <c r="G3" s="332" t="str">
        <f>OpStart</f>
        <v>0700</v>
      </c>
      <c r="H3" s="281" t="s">
        <v>133</v>
      </c>
      <c r="I3" s="333" t="str">
        <f>OpEnd</f>
        <v>0700</v>
      </c>
    </row>
    <row r="4" ht="13.5" customHeight="1">
      <c r="A4" s="334" t="s">
        <v>336</v>
      </c>
      <c r="B4" s="77"/>
      <c r="C4" s="77"/>
      <c r="D4" s="77"/>
      <c r="E4" s="77"/>
      <c r="F4" s="77"/>
      <c r="G4" s="77"/>
      <c r="H4" s="77"/>
      <c r="I4" s="55"/>
    </row>
    <row r="5" ht="13.5" customHeight="1">
      <c r="A5" s="336" t="s">
        <v>360</v>
      </c>
      <c r="B5" s="260" t="str">
        <f>'203'!E5</f>
        <v/>
      </c>
      <c r="C5" s="74"/>
      <c r="D5" s="45"/>
      <c r="E5" s="392"/>
      <c r="F5" s="343"/>
      <c r="G5" s="349"/>
      <c r="H5" s="350"/>
      <c r="I5" s="55"/>
    </row>
    <row r="6" ht="13.5" customHeight="1">
      <c r="A6" s="336" t="s">
        <v>339</v>
      </c>
      <c r="B6" s="364" t="str">
        <f>'203'!E6</f>
        <v/>
      </c>
      <c r="C6" s="77"/>
      <c r="D6" s="55"/>
      <c r="E6" s="392"/>
      <c r="F6" s="343"/>
      <c r="G6" s="349"/>
      <c r="H6" s="350"/>
      <c r="I6" s="55"/>
    </row>
    <row r="7" ht="13.5" customHeight="1">
      <c r="A7" s="341"/>
      <c r="B7" s="317"/>
      <c r="C7" s="77"/>
      <c r="D7" s="55"/>
      <c r="E7" s="392"/>
      <c r="F7" s="343"/>
      <c r="G7" s="349"/>
      <c r="H7" s="350"/>
      <c r="I7" s="55"/>
    </row>
    <row r="8" ht="13.5" customHeight="1">
      <c r="A8" s="341" t="s">
        <v>344</v>
      </c>
      <c r="B8" s="185"/>
      <c r="C8" s="345"/>
      <c r="D8" s="45"/>
      <c r="E8" s="392"/>
      <c r="F8" s="336" t="s">
        <v>344</v>
      </c>
      <c r="G8" s="185"/>
      <c r="H8" s="345"/>
      <c r="I8" s="45"/>
    </row>
    <row r="9" ht="13.5" customHeight="1">
      <c r="A9" s="346" t="s">
        <v>196</v>
      </c>
      <c r="B9" s="365" t="s">
        <v>392</v>
      </c>
      <c r="C9" s="260"/>
      <c r="D9" s="45"/>
      <c r="E9" s="393"/>
      <c r="F9" s="363" t="s">
        <v>196</v>
      </c>
      <c r="G9" s="365" t="s">
        <v>393</v>
      </c>
      <c r="H9" s="260"/>
      <c r="I9" s="45"/>
    </row>
    <row r="10" ht="13.5" customHeight="1">
      <c r="A10" s="336" t="s">
        <v>348</v>
      </c>
      <c r="B10" s="349"/>
      <c r="C10" s="350"/>
      <c r="D10" s="55"/>
      <c r="E10" s="392"/>
      <c r="F10" s="343" t="s">
        <v>348</v>
      </c>
      <c r="G10" s="349"/>
      <c r="H10" s="350"/>
      <c r="I10" s="55"/>
    </row>
    <row r="11" ht="13.5" customHeight="1">
      <c r="A11" s="341" t="s">
        <v>348</v>
      </c>
      <c r="B11" s="349"/>
      <c r="C11" s="350"/>
      <c r="D11" s="55"/>
      <c r="E11" s="392"/>
      <c r="F11" s="343" t="s">
        <v>348</v>
      </c>
      <c r="G11" s="349"/>
      <c r="H11" s="350"/>
      <c r="I11" s="55"/>
    </row>
    <row r="12" ht="13.5" customHeight="1">
      <c r="A12" s="341" t="s">
        <v>348</v>
      </c>
      <c r="B12" s="349"/>
      <c r="C12" s="350"/>
      <c r="D12" s="55"/>
      <c r="E12" s="392"/>
      <c r="F12" s="343" t="s">
        <v>348</v>
      </c>
      <c r="G12" s="349"/>
      <c r="H12" s="350"/>
      <c r="I12" s="55"/>
    </row>
    <row r="13" ht="13.5" customHeight="1">
      <c r="A13" s="336" t="s">
        <v>348</v>
      </c>
      <c r="B13" s="349"/>
      <c r="C13" s="355"/>
      <c r="D13" s="45"/>
      <c r="E13" s="392"/>
      <c r="F13" s="343" t="s">
        <v>348</v>
      </c>
      <c r="G13" s="349"/>
      <c r="H13" s="355"/>
      <c r="I13" s="45"/>
    </row>
    <row r="14" ht="13.5" customHeight="1">
      <c r="A14" s="363" t="s">
        <v>348</v>
      </c>
      <c r="B14" s="349"/>
      <c r="C14" s="356"/>
      <c r="D14" s="74"/>
      <c r="E14" s="394"/>
      <c r="F14" s="363" t="s">
        <v>348</v>
      </c>
      <c r="G14" s="349"/>
      <c r="H14" s="356"/>
      <c r="I14" s="45"/>
    </row>
    <row r="15" ht="13.5" customHeight="1">
      <c r="A15" s="363" t="s">
        <v>348</v>
      </c>
      <c r="B15" s="349"/>
      <c r="C15" s="356"/>
      <c r="D15" s="74"/>
      <c r="E15" s="394"/>
      <c r="F15" s="363" t="s">
        <v>348</v>
      </c>
      <c r="G15" s="349"/>
      <c r="H15" s="356"/>
      <c r="I15" s="45"/>
    </row>
    <row r="16" ht="13.5" customHeight="1">
      <c r="A16" s="363" t="s">
        <v>196</v>
      </c>
      <c r="B16" s="365" t="s">
        <v>394</v>
      </c>
      <c r="C16" s="260"/>
      <c r="D16" s="45"/>
      <c r="E16" s="393"/>
      <c r="F16" s="363" t="s">
        <v>196</v>
      </c>
      <c r="G16" s="365" t="s">
        <v>395</v>
      </c>
      <c r="H16" s="260"/>
      <c r="I16" s="45"/>
    </row>
    <row r="17" ht="13.5" customHeight="1">
      <c r="A17" s="363" t="s">
        <v>348</v>
      </c>
      <c r="B17" s="349"/>
      <c r="C17" s="356"/>
      <c r="D17" s="45"/>
      <c r="E17" s="393"/>
      <c r="F17" s="363" t="s">
        <v>348</v>
      </c>
      <c r="G17" s="349"/>
      <c r="H17" s="356"/>
      <c r="I17" s="45"/>
    </row>
    <row r="18" ht="13.5" customHeight="1">
      <c r="A18" s="363" t="s">
        <v>348</v>
      </c>
      <c r="B18" s="349"/>
      <c r="C18" s="356"/>
      <c r="D18" s="45"/>
      <c r="E18" s="393"/>
      <c r="F18" s="363" t="s">
        <v>348</v>
      </c>
      <c r="G18" s="349"/>
      <c r="H18" s="356"/>
      <c r="I18" s="45"/>
    </row>
    <row r="19" ht="13.5" customHeight="1">
      <c r="A19" s="363" t="s">
        <v>348</v>
      </c>
      <c r="B19" s="349"/>
      <c r="C19" s="356"/>
      <c r="D19" s="45"/>
      <c r="E19" s="393"/>
      <c r="F19" s="363" t="s">
        <v>348</v>
      </c>
      <c r="G19" s="349"/>
      <c r="H19" s="356"/>
      <c r="I19" s="45"/>
    </row>
    <row r="20" ht="13.5" customHeight="1">
      <c r="A20" s="363" t="s">
        <v>348</v>
      </c>
      <c r="B20" s="349"/>
      <c r="C20" s="356"/>
      <c r="D20" s="45"/>
      <c r="E20" s="393"/>
      <c r="F20" s="363" t="s">
        <v>348</v>
      </c>
      <c r="G20" s="349"/>
      <c r="H20" s="356"/>
      <c r="I20" s="45"/>
    </row>
    <row r="21" ht="13.5" customHeight="1">
      <c r="A21" s="363" t="s">
        <v>348</v>
      </c>
      <c r="B21" s="349"/>
      <c r="C21" s="356"/>
      <c r="D21" s="45"/>
      <c r="E21" s="393"/>
      <c r="F21" s="363" t="s">
        <v>348</v>
      </c>
      <c r="G21" s="349"/>
      <c r="H21" s="356"/>
      <c r="I21" s="45"/>
    </row>
    <row r="22" ht="13.5" customHeight="1">
      <c r="A22" s="363" t="s">
        <v>348</v>
      </c>
      <c r="B22" s="349"/>
      <c r="C22" s="350"/>
      <c r="D22" s="55"/>
      <c r="E22" s="395"/>
      <c r="F22" s="363" t="s">
        <v>348</v>
      </c>
      <c r="G22" s="349"/>
      <c r="H22" s="350"/>
      <c r="I22" s="55"/>
    </row>
    <row r="23" ht="13.5" customHeight="1">
      <c r="A23" s="363" t="s">
        <v>196</v>
      </c>
      <c r="B23" s="365" t="s">
        <v>396</v>
      </c>
      <c r="C23" s="260"/>
      <c r="D23" s="45"/>
      <c r="E23" s="393"/>
      <c r="F23" s="363" t="s">
        <v>196</v>
      </c>
      <c r="G23" s="365" t="s">
        <v>397</v>
      </c>
      <c r="H23" s="260"/>
      <c r="I23" s="45"/>
    </row>
    <row r="24" ht="13.5" customHeight="1">
      <c r="A24" s="363" t="s">
        <v>348</v>
      </c>
      <c r="B24" s="349"/>
      <c r="C24" s="356"/>
      <c r="D24" s="45"/>
      <c r="E24" s="393"/>
      <c r="F24" s="363" t="s">
        <v>348</v>
      </c>
      <c r="G24" s="396"/>
      <c r="H24" s="356"/>
      <c r="I24" s="45"/>
    </row>
    <row r="25" ht="13.5" customHeight="1">
      <c r="A25" s="363" t="s">
        <v>348</v>
      </c>
      <c r="B25" s="349"/>
      <c r="C25" s="356"/>
      <c r="D25" s="45"/>
      <c r="E25" s="393"/>
      <c r="F25" s="363" t="s">
        <v>348</v>
      </c>
      <c r="G25" s="396"/>
      <c r="H25" s="356"/>
      <c r="I25" s="45"/>
    </row>
    <row r="26" ht="13.5" customHeight="1">
      <c r="A26" s="363" t="s">
        <v>348</v>
      </c>
      <c r="B26" s="349"/>
      <c r="C26" s="356"/>
      <c r="D26" s="45"/>
      <c r="E26" s="393"/>
      <c r="F26" s="363" t="s">
        <v>348</v>
      </c>
      <c r="G26" s="396"/>
      <c r="H26" s="356"/>
      <c r="I26" s="45"/>
    </row>
    <row r="27" ht="13.5" customHeight="1">
      <c r="A27" s="363" t="s">
        <v>348</v>
      </c>
      <c r="B27" s="349"/>
      <c r="C27" s="356"/>
      <c r="D27" s="45"/>
      <c r="E27" s="393"/>
      <c r="F27" s="363" t="s">
        <v>348</v>
      </c>
      <c r="G27" s="396"/>
      <c r="H27" s="356"/>
      <c r="I27" s="45"/>
    </row>
    <row r="28" ht="13.5" customHeight="1">
      <c r="A28" s="363" t="s">
        <v>348</v>
      </c>
      <c r="B28" s="344"/>
      <c r="C28" s="213"/>
      <c r="D28" s="45"/>
      <c r="E28" s="393"/>
      <c r="F28" s="363" t="s">
        <v>348</v>
      </c>
      <c r="G28" s="185"/>
      <c r="H28" s="213"/>
      <c r="I28" s="45"/>
    </row>
    <row r="29" ht="13.5" customHeight="1">
      <c r="A29" s="363" t="s">
        <v>348</v>
      </c>
      <c r="B29" s="344"/>
      <c r="C29" s="213"/>
      <c r="D29" s="45"/>
      <c r="E29" s="393"/>
      <c r="F29" s="363" t="s">
        <v>348</v>
      </c>
      <c r="G29" s="185"/>
      <c r="H29" s="213"/>
      <c r="I29" s="45"/>
    </row>
    <row r="30" ht="13.5" customHeight="1">
      <c r="A30" s="363" t="s">
        <v>196</v>
      </c>
      <c r="B30" s="365" t="s">
        <v>398</v>
      </c>
      <c r="C30" s="260"/>
      <c r="D30" s="45"/>
      <c r="E30" s="393"/>
      <c r="F30" s="363" t="s">
        <v>196</v>
      </c>
      <c r="G30" s="365" t="s">
        <v>399</v>
      </c>
      <c r="H30" s="260"/>
      <c r="I30" s="45"/>
    </row>
    <row r="31" ht="13.5" customHeight="1">
      <c r="A31" s="363" t="s">
        <v>348</v>
      </c>
      <c r="B31" s="344"/>
      <c r="C31" s="213"/>
      <c r="D31" s="45"/>
      <c r="E31" s="393"/>
      <c r="F31" s="363" t="s">
        <v>348</v>
      </c>
      <c r="G31" s="185"/>
      <c r="H31" s="213"/>
      <c r="I31" s="45"/>
    </row>
    <row r="32" ht="13.5" customHeight="1">
      <c r="A32" s="363" t="s">
        <v>348</v>
      </c>
      <c r="B32" s="344"/>
      <c r="C32" s="213"/>
      <c r="D32" s="45"/>
      <c r="E32" s="393"/>
      <c r="F32" s="363" t="s">
        <v>348</v>
      </c>
      <c r="G32" s="185"/>
      <c r="H32" s="213"/>
      <c r="I32" s="45"/>
    </row>
    <row r="33" ht="13.5" customHeight="1">
      <c r="A33" s="363" t="s">
        <v>348</v>
      </c>
      <c r="B33" s="344"/>
      <c r="C33" s="213"/>
      <c r="D33" s="74"/>
      <c r="E33" s="394"/>
      <c r="F33" s="363" t="s">
        <v>348</v>
      </c>
      <c r="G33" s="185"/>
      <c r="H33" s="213"/>
      <c r="I33" s="45"/>
    </row>
    <row r="34" ht="13.5" customHeight="1">
      <c r="A34" s="363" t="s">
        <v>348</v>
      </c>
      <c r="B34" s="344"/>
      <c r="C34" s="213"/>
      <c r="D34" s="74"/>
      <c r="E34" s="394"/>
      <c r="F34" s="363" t="s">
        <v>348</v>
      </c>
      <c r="G34" s="185"/>
      <c r="H34" s="213"/>
      <c r="I34" s="45"/>
    </row>
    <row r="35" ht="13.5" customHeight="1">
      <c r="A35" s="363" t="s">
        <v>348</v>
      </c>
      <c r="B35" s="344"/>
      <c r="C35" s="213"/>
      <c r="D35" s="74"/>
      <c r="E35" s="394"/>
      <c r="F35" s="363" t="s">
        <v>348</v>
      </c>
      <c r="G35" s="185"/>
      <c r="H35" s="213"/>
      <c r="I35" s="45"/>
    </row>
    <row r="36" ht="13.5" customHeight="1">
      <c r="A36" s="363" t="s">
        <v>348</v>
      </c>
      <c r="B36" s="344"/>
      <c r="C36" s="213"/>
      <c r="D36" s="74"/>
      <c r="E36" s="394"/>
      <c r="F36" s="363" t="s">
        <v>348</v>
      </c>
      <c r="G36" s="185"/>
      <c r="H36" s="213"/>
      <c r="I36" s="45"/>
    </row>
    <row r="37" ht="13.5" customHeight="1">
      <c r="A37" s="363" t="s">
        <v>196</v>
      </c>
      <c r="B37" s="365" t="s">
        <v>400</v>
      </c>
      <c r="C37" s="260"/>
      <c r="D37" s="45"/>
      <c r="E37" s="393"/>
      <c r="F37" s="363" t="s">
        <v>196</v>
      </c>
      <c r="G37" s="365" t="s">
        <v>401</v>
      </c>
      <c r="H37" s="260"/>
      <c r="I37" s="45"/>
    </row>
    <row r="38" ht="13.5" customHeight="1">
      <c r="A38" s="363" t="s">
        <v>348</v>
      </c>
      <c r="B38" s="344"/>
      <c r="C38" s="213"/>
      <c r="D38" s="74"/>
      <c r="E38" s="394"/>
      <c r="F38" s="363" t="s">
        <v>348</v>
      </c>
      <c r="G38" s="185"/>
      <c r="H38" s="213"/>
      <c r="I38" s="45"/>
    </row>
    <row r="39" ht="13.5" customHeight="1">
      <c r="A39" s="363" t="s">
        <v>348</v>
      </c>
      <c r="B39" s="344"/>
      <c r="C39" s="213"/>
      <c r="D39" s="74"/>
      <c r="E39" s="394"/>
      <c r="F39" s="363" t="s">
        <v>348</v>
      </c>
      <c r="G39" s="185"/>
      <c r="H39" s="213"/>
      <c r="I39" s="45"/>
    </row>
    <row r="40" ht="13.5" customHeight="1">
      <c r="A40" s="363" t="s">
        <v>348</v>
      </c>
      <c r="B40" s="344"/>
      <c r="C40" s="213"/>
      <c r="D40" s="74"/>
      <c r="E40" s="394"/>
      <c r="F40" s="363" t="s">
        <v>348</v>
      </c>
      <c r="G40" s="185"/>
      <c r="H40" s="213"/>
      <c r="I40" s="45"/>
    </row>
    <row r="41" ht="13.5" customHeight="1">
      <c r="A41" s="363" t="s">
        <v>348</v>
      </c>
      <c r="B41" s="344"/>
      <c r="C41" s="213"/>
      <c r="D41" s="74"/>
      <c r="E41" s="394"/>
      <c r="F41" s="346" t="s">
        <v>348</v>
      </c>
      <c r="G41" s="185"/>
      <c r="H41" s="213"/>
      <c r="I41" s="45"/>
    </row>
    <row r="42" ht="13.5" customHeight="1">
      <c r="A42" s="363" t="s">
        <v>348</v>
      </c>
      <c r="B42" s="344"/>
      <c r="C42" s="213"/>
      <c r="D42" s="45"/>
      <c r="E42" s="393"/>
      <c r="F42" s="363" t="s">
        <v>348</v>
      </c>
      <c r="G42" s="185"/>
      <c r="H42" s="213"/>
      <c r="I42" s="45"/>
    </row>
    <row r="43" ht="13.5" customHeight="1">
      <c r="A43" s="363" t="s">
        <v>348</v>
      </c>
      <c r="B43" s="344"/>
      <c r="C43" s="213"/>
      <c r="D43" s="45"/>
      <c r="E43" s="393"/>
      <c r="F43" s="363" t="s">
        <v>348</v>
      </c>
      <c r="G43" s="185"/>
      <c r="H43" s="213"/>
      <c r="I43" s="45"/>
    </row>
    <row r="44" ht="13.5" customHeight="1">
      <c r="A44" s="346" t="s">
        <v>196</v>
      </c>
      <c r="B44" s="365" t="s">
        <v>402</v>
      </c>
      <c r="C44" s="260"/>
      <c r="D44" s="45"/>
      <c r="E44" s="393"/>
      <c r="F44" s="363" t="s">
        <v>196</v>
      </c>
      <c r="G44" s="365" t="s">
        <v>403</v>
      </c>
      <c r="H44" s="260"/>
      <c r="I44" s="45"/>
    </row>
    <row r="45" ht="13.5" customHeight="1">
      <c r="A45" s="363" t="s">
        <v>348</v>
      </c>
      <c r="B45" s="344"/>
      <c r="C45" s="213"/>
      <c r="D45" s="74"/>
      <c r="E45" s="394"/>
      <c r="F45" s="363" t="s">
        <v>348</v>
      </c>
      <c r="G45" s="185"/>
      <c r="H45" s="213"/>
      <c r="I45" s="45"/>
    </row>
    <row r="46" ht="13.5" customHeight="1">
      <c r="A46" s="363" t="s">
        <v>348</v>
      </c>
      <c r="B46" s="344"/>
      <c r="C46" s="213"/>
      <c r="D46" s="74"/>
      <c r="E46" s="394"/>
      <c r="F46" s="363" t="s">
        <v>348</v>
      </c>
      <c r="G46" s="185"/>
      <c r="H46" s="213"/>
      <c r="I46" s="45"/>
    </row>
    <row r="47" ht="13.5" customHeight="1">
      <c r="A47" s="363" t="s">
        <v>348</v>
      </c>
      <c r="B47" s="344"/>
      <c r="C47" s="213"/>
      <c r="D47" s="74"/>
      <c r="E47" s="394"/>
      <c r="F47" s="363" t="s">
        <v>348</v>
      </c>
      <c r="G47" s="185"/>
      <c r="H47" s="213"/>
      <c r="I47" s="45"/>
    </row>
    <row r="48" ht="13.5" customHeight="1">
      <c r="A48" s="363" t="s">
        <v>348</v>
      </c>
      <c r="B48" s="344"/>
      <c r="C48" s="213"/>
      <c r="D48" s="74"/>
      <c r="E48" s="394"/>
      <c r="F48" s="363" t="s">
        <v>348</v>
      </c>
      <c r="G48" s="185"/>
      <c r="H48" s="213"/>
      <c r="I48" s="45"/>
    </row>
    <row r="49" ht="13.5" customHeight="1">
      <c r="A49" s="363" t="s">
        <v>348</v>
      </c>
      <c r="B49" s="344"/>
      <c r="C49" s="213"/>
      <c r="D49" s="45"/>
      <c r="E49" s="393"/>
      <c r="F49" s="346" t="s">
        <v>348</v>
      </c>
      <c r="G49" s="185"/>
      <c r="H49" s="213"/>
      <c r="I49" s="45"/>
    </row>
    <row r="50" ht="13.5" customHeight="1">
      <c r="A50" s="397" t="s">
        <v>404</v>
      </c>
      <c r="B50" s="398" t="str">
        <f> '101 General Info'!C28</f>
        <v/>
      </c>
      <c r="D50" s="308" t="str">
        <f> "Position/Title: " &amp; '101 General Info'!D28</f>
        <v>Position/Title: PSC</v>
      </c>
      <c r="G50" s="382" t="s">
        <v>388</v>
      </c>
      <c r="I50" s="94"/>
    </row>
    <row r="51" ht="13.5" customHeight="1">
      <c r="A51" s="321" t="s">
        <v>405</v>
      </c>
      <c r="B51" s="384"/>
      <c r="C51" s="384"/>
      <c r="D51" s="385" t="s">
        <v>389</v>
      </c>
      <c r="E51" s="386"/>
      <c r="F51" s="386">
        <f>G2-1</f>
        <v>43892</v>
      </c>
      <c r="G51" s="387" t="s">
        <v>390</v>
      </c>
      <c r="H51" s="388"/>
      <c r="I51" s="389" t="s">
        <v>332</v>
      </c>
    </row>
  </sheetData>
  <mergeCells count="97">
    <mergeCell ref="H28:I28"/>
    <mergeCell ref="H29:I29"/>
    <mergeCell ref="H21:I21"/>
    <mergeCell ref="H22:I22"/>
    <mergeCell ref="H23:I23"/>
    <mergeCell ref="H24:I24"/>
    <mergeCell ref="H25:I25"/>
    <mergeCell ref="H26:I26"/>
    <mergeCell ref="H27:I27"/>
    <mergeCell ref="H31:I31"/>
    <mergeCell ref="H32:I32"/>
    <mergeCell ref="C27:D27"/>
    <mergeCell ref="C28:D28"/>
    <mergeCell ref="C29:D29"/>
    <mergeCell ref="C30:D30"/>
    <mergeCell ref="H30:I30"/>
    <mergeCell ref="C31:D31"/>
    <mergeCell ref="C32:D32"/>
    <mergeCell ref="C33:D33"/>
    <mergeCell ref="H33:I33"/>
    <mergeCell ref="C34:D34"/>
    <mergeCell ref="H34:I34"/>
    <mergeCell ref="C35:D35"/>
    <mergeCell ref="H35:I35"/>
    <mergeCell ref="H36:I36"/>
    <mergeCell ref="H40:I40"/>
    <mergeCell ref="H41:I41"/>
    <mergeCell ref="C36:D36"/>
    <mergeCell ref="C37:D37"/>
    <mergeCell ref="C38:D38"/>
    <mergeCell ref="C39:D39"/>
    <mergeCell ref="H39:I39"/>
    <mergeCell ref="C40:D40"/>
    <mergeCell ref="C41:D41"/>
    <mergeCell ref="C45:D45"/>
    <mergeCell ref="C46:D46"/>
    <mergeCell ref="C47:D47"/>
    <mergeCell ref="C48:D48"/>
    <mergeCell ref="C49:D49"/>
    <mergeCell ref="B50:C50"/>
    <mergeCell ref="D50:F50"/>
    <mergeCell ref="H46:I46"/>
    <mergeCell ref="H47:I47"/>
    <mergeCell ref="H48:I48"/>
    <mergeCell ref="H49:I49"/>
    <mergeCell ref="G50:I50"/>
    <mergeCell ref="C42:D42"/>
    <mergeCell ref="H42:I42"/>
    <mergeCell ref="C43:D43"/>
    <mergeCell ref="H43:I43"/>
    <mergeCell ref="C44:D44"/>
    <mergeCell ref="H44:I44"/>
    <mergeCell ref="H45:I45"/>
    <mergeCell ref="A1:I1"/>
    <mergeCell ref="D2:F2"/>
    <mergeCell ref="A3:C3"/>
    <mergeCell ref="A4:I4"/>
    <mergeCell ref="B5:D5"/>
    <mergeCell ref="H5:I5"/>
    <mergeCell ref="H6:I6"/>
    <mergeCell ref="B6:D6"/>
    <mergeCell ref="B7:D7"/>
    <mergeCell ref="C8:D8"/>
    <mergeCell ref="C9:D9"/>
    <mergeCell ref="C10:D10"/>
    <mergeCell ref="C11:D11"/>
    <mergeCell ref="C12:D12"/>
    <mergeCell ref="H7:I7"/>
    <mergeCell ref="H8:I8"/>
    <mergeCell ref="H9:I9"/>
    <mergeCell ref="H10:I10"/>
    <mergeCell ref="H11:I11"/>
    <mergeCell ref="H12:I12"/>
    <mergeCell ref="H13:I13"/>
    <mergeCell ref="C13:D13"/>
    <mergeCell ref="C14:D14"/>
    <mergeCell ref="C15:D15"/>
    <mergeCell ref="C16:D16"/>
    <mergeCell ref="C17:D17"/>
    <mergeCell ref="C18:D18"/>
    <mergeCell ref="C19:D19"/>
    <mergeCell ref="H14:I14"/>
    <mergeCell ref="H15:I15"/>
    <mergeCell ref="H16:I16"/>
    <mergeCell ref="H17:I17"/>
    <mergeCell ref="H18:I18"/>
    <mergeCell ref="H19:I19"/>
    <mergeCell ref="H20:I20"/>
    <mergeCell ref="C20:D20"/>
    <mergeCell ref="C21:D21"/>
    <mergeCell ref="C22:D22"/>
    <mergeCell ref="C23:D23"/>
    <mergeCell ref="C24:D24"/>
    <mergeCell ref="C25:D25"/>
    <mergeCell ref="C26:D26"/>
    <mergeCell ref="H37:I37"/>
    <mergeCell ref="H38:I38"/>
  </mergeCells>
  <conditionalFormatting sqref="A8:E49">
    <cfRule type="expression" dxfId="4" priority="1">
      <formula> (Search("Branch",$A8,1))</formula>
    </cfRule>
  </conditionalFormatting>
  <conditionalFormatting sqref="A8:E49">
    <cfRule type="expression" dxfId="5" priority="2">
      <formula> (Search("Zone",$A8,1))</formula>
    </cfRule>
  </conditionalFormatting>
  <conditionalFormatting sqref="E8:I49">
    <cfRule type="expression" dxfId="4" priority="3">
      <formula> (Search("Branch",$F8,1))</formula>
    </cfRule>
  </conditionalFormatting>
  <conditionalFormatting sqref="E8:I49">
    <cfRule type="expression" dxfId="5" priority="4">
      <formula> (Search("Zone",$F8,1))</formula>
    </cfRule>
  </conditionalFormatting>
  <dataValidations>
    <dataValidation type="list" allowBlank="1" sqref="A8">
      <formula1>"Branch,Division/Group,Staging Area"</formula1>
    </dataValidation>
    <dataValidation type="list" allowBlank="1" sqref="A9:A49 E8:F49">
      <formula1>"Branch,Division/Group,Staging Area,Zone"</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9.13"/>
    <col customWidth="1" min="3" max="3" width="26.0"/>
    <col customWidth="1" min="4" max="4" width="28.25"/>
    <col customWidth="1" min="5" max="5" width="10.13"/>
    <col customWidth="1" min="6" max="6" width="9.0"/>
    <col customWidth="1" min="7" max="7" width="9.13"/>
    <col customWidth="1" min="8" max="8" width="8.5"/>
  </cols>
  <sheetData>
    <row r="1">
      <c r="A1" s="399" t="s">
        <v>282</v>
      </c>
      <c r="B1" s="165"/>
      <c r="C1" s="400">
        <f>'101 General Info'!D8</f>
        <v>43893</v>
      </c>
      <c r="D1" s="401">
        <f>'101 General Info'!F8</f>
        <v>43894</v>
      </c>
      <c r="E1" s="402"/>
      <c r="F1" s="403">
        <f>IFERROR(__xludf.DUMMYFUNCTION("DAY(TO_Date(C$1))"),3.0)</f>
        <v>3</v>
      </c>
      <c r="G1" s="403"/>
      <c r="H1" s="403"/>
    </row>
    <row r="2">
      <c r="A2" s="404" t="str">
        <f>IncName</f>
        <v>NO NAME</v>
      </c>
      <c r="C2" s="405" t="str">
        <f>'101 General Info'!D9</f>
        <v>0700</v>
      </c>
      <c r="D2" s="406" t="str">
        <f>'101 General Info'!F9</f>
        <v>0700</v>
      </c>
      <c r="E2" s="313"/>
      <c r="F2" s="407"/>
      <c r="G2" s="408"/>
      <c r="H2" s="407"/>
    </row>
    <row r="3">
      <c r="A3" s="104"/>
      <c r="B3" s="77"/>
      <c r="C3" s="409" t="s">
        <v>406</v>
      </c>
      <c r="D3" s="45"/>
      <c r="E3" s="313"/>
      <c r="F3" s="410"/>
      <c r="G3" s="408"/>
      <c r="H3" s="410"/>
    </row>
    <row r="4">
      <c r="A4" s="411" t="s">
        <v>407</v>
      </c>
      <c r="B4" s="67"/>
      <c r="C4" s="412" t="s">
        <v>408</v>
      </c>
      <c r="D4" s="412" t="s">
        <v>409</v>
      </c>
    </row>
    <row r="5">
      <c r="A5" s="43" t="s">
        <v>196</v>
      </c>
      <c r="B5" s="413" t="s">
        <v>410</v>
      </c>
      <c r="C5" s="414" t="s">
        <v>411</v>
      </c>
      <c r="D5" s="45"/>
    </row>
    <row r="6">
      <c r="A6" s="415" t="s">
        <v>198</v>
      </c>
      <c r="B6" s="185" t="str">
        <f t="shared" ref="B6:B20" si="1">IF(isodd(DAY(C$1)),C6,D6)</f>
        <v/>
      </c>
      <c r="C6" s="415"/>
      <c r="D6" s="415"/>
      <c r="E6" s="41"/>
    </row>
    <row r="7">
      <c r="A7" s="415" t="s">
        <v>356</v>
      </c>
      <c r="B7" s="185" t="str">
        <f t="shared" si="1"/>
        <v/>
      </c>
      <c r="C7" s="415"/>
      <c r="D7" s="416"/>
    </row>
    <row r="8">
      <c r="A8" s="415" t="s">
        <v>357</v>
      </c>
      <c r="B8" s="185" t="str">
        <f t="shared" si="1"/>
        <v/>
      </c>
      <c r="C8" s="415"/>
      <c r="D8" s="416"/>
    </row>
    <row r="9">
      <c r="A9" s="415" t="s">
        <v>358</v>
      </c>
      <c r="B9" s="185" t="str">
        <f t="shared" si="1"/>
        <v/>
      </c>
      <c r="C9" s="415"/>
      <c r="D9" s="416"/>
    </row>
    <row r="10">
      <c r="A10" s="415" t="s">
        <v>363</v>
      </c>
      <c r="B10" s="185" t="str">
        <f t="shared" si="1"/>
        <v/>
      </c>
      <c r="C10" s="415"/>
      <c r="D10" s="415"/>
    </row>
    <row r="11">
      <c r="A11" s="415" t="s">
        <v>392</v>
      </c>
      <c r="B11" s="185" t="str">
        <f t="shared" si="1"/>
        <v/>
      </c>
      <c r="C11" s="416"/>
      <c r="D11" s="416"/>
    </row>
    <row r="12">
      <c r="A12" s="415" t="s">
        <v>394</v>
      </c>
      <c r="B12" s="185" t="str">
        <f t="shared" si="1"/>
        <v/>
      </c>
      <c r="C12" s="416"/>
      <c r="D12" s="416"/>
    </row>
    <row r="13">
      <c r="A13" s="415" t="s">
        <v>396</v>
      </c>
      <c r="B13" s="185" t="str">
        <f t="shared" si="1"/>
        <v/>
      </c>
      <c r="C13" s="416"/>
      <c r="D13" s="416"/>
    </row>
    <row r="14">
      <c r="A14" s="415" t="s">
        <v>398</v>
      </c>
      <c r="B14" s="185" t="str">
        <f t="shared" si="1"/>
        <v/>
      </c>
      <c r="C14" s="416"/>
      <c r="D14" s="416"/>
    </row>
    <row r="15">
      <c r="A15" s="415" t="s">
        <v>400</v>
      </c>
      <c r="B15" s="185" t="str">
        <f t="shared" si="1"/>
        <v/>
      </c>
      <c r="C15" s="416"/>
      <c r="D15" s="416"/>
    </row>
    <row r="16">
      <c r="A16" s="415" t="s">
        <v>402</v>
      </c>
      <c r="B16" s="185" t="str">
        <f t="shared" si="1"/>
        <v/>
      </c>
      <c r="C16" s="416"/>
      <c r="D16" s="416"/>
    </row>
    <row r="17">
      <c r="A17" s="415" t="s">
        <v>393</v>
      </c>
      <c r="B17" s="185" t="str">
        <f t="shared" si="1"/>
        <v/>
      </c>
      <c r="C17" s="416"/>
      <c r="D17" s="416"/>
    </row>
    <row r="18">
      <c r="A18" s="415" t="s">
        <v>395</v>
      </c>
      <c r="B18" s="185" t="str">
        <f t="shared" si="1"/>
        <v/>
      </c>
      <c r="C18" s="416"/>
      <c r="D18" s="416"/>
    </row>
    <row r="19">
      <c r="A19" s="415" t="s">
        <v>397</v>
      </c>
      <c r="B19" s="185" t="str">
        <f t="shared" si="1"/>
        <v/>
      </c>
      <c r="C19" s="416"/>
      <c r="D19" s="416"/>
    </row>
    <row r="20">
      <c r="A20" s="415" t="s">
        <v>399</v>
      </c>
      <c r="B20" s="185" t="str">
        <f t="shared" si="1"/>
        <v/>
      </c>
      <c r="C20" s="416"/>
      <c r="D20" s="416"/>
    </row>
  </sheetData>
  <mergeCells count="5">
    <mergeCell ref="A1:B1"/>
    <mergeCell ref="A2:B2"/>
    <mergeCell ref="A3:B3"/>
    <mergeCell ref="C3:D3"/>
    <mergeCell ref="C5:D5"/>
  </mergeCells>
  <dataValidations>
    <dataValidation type="list" allowBlank="1" sqref="A6:A20">
      <formula1>DivBrnch</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9.38"/>
    <col customWidth="1" min="2" max="2" width="12.13"/>
    <col customWidth="1" min="3" max="3" width="5.13"/>
    <col customWidth="1" min="4" max="4" width="4.88"/>
    <col customWidth="1" min="5" max="5" width="10.13"/>
    <col customWidth="1" min="6" max="6" width="9.63"/>
    <col customWidth="1" min="7" max="7" width="10.13"/>
    <col customWidth="1" min="8" max="8" width="12.88"/>
    <col customWidth="1" min="9" max="9" width="10.63"/>
    <col customWidth="1" min="10" max="10" width="16.88"/>
    <col customWidth="1" min="11" max="11" width="2.75"/>
  </cols>
  <sheetData>
    <row r="1" ht="13.5" customHeight="1">
      <c r="A1" s="417" t="s">
        <v>412</v>
      </c>
      <c r="B1" s="77"/>
      <c r="C1" s="418"/>
      <c r="D1" s="418"/>
      <c r="E1" s="419" t="s">
        <v>413</v>
      </c>
      <c r="F1" s="77"/>
      <c r="G1" s="77"/>
      <c r="H1" s="77"/>
      <c r="I1" s="420" t="s">
        <v>414</v>
      </c>
      <c r="J1" s="77"/>
      <c r="K1" s="77"/>
    </row>
    <row r="2" ht="13.5" customHeight="1">
      <c r="A2" s="399" t="s">
        <v>282</v>
      </c>
      <c r="B2" s="165"/>
      <c r="C2" s="165"/>
      <c r="D2" s="210"/>
      <c r="E2" s="399" t="s">
        <v>283</v>
      </c>
      <c r="F2" s="165"/>
      <c r="G2" s="165"/>
      <c r="H2" s="210"/>
      <c r="I2" s="421" t="s">
        <v>415</v>
      </c>
      <c r="K2" s="94"/>
    </row>
    <row r="3" ht="13.5" customHeight="1">
      <c r="A3" s="422" t="str">
        <f>IncName</f>
        <v>NO NAME</v>
      </c>
      <c r="D3" s="94"/>
      <c r="E3" s="423" t="s">
        <v>284</v>
      </c>
      <c r="F3" s="424">
        <f>OpDate</f>
        <v>43893</v>
      </c>
      <c r="G3" s="425" t="s">
        <v>130</v>
      </c>
      <c r="H3" s="426">
        <f>OpDateTo</f>
        <v>43894</v>
      </c>
      <c r="K3" s="94"/>
    </row>
    <row r="4" ht="13.5" customHeight="1">
      <c r="A4" s="104"/>
      <c r="B4" s="77"/>
      <c r="C4" s="77"/>
      <c r="D4" s="55"/>
      <c r="E4" s="427" t="s">
        <v>131</v>
      </c>
      <c r="F4" s="428" t="str">
        <f>OpStart</f>
        <v>0700</v>
      </c>
      <c r="G4" s="429" t="s">
        <v>133</v>
      </c>
      <c r="H4" s="430" t="str">
        <f>OpEnd</f>
        <v>0700</v>
      </c>
      <c r="I4" s="312" t="s">
        <v>416</v>
      </c>
      <c r="J4" s="431" t="str">
        <f>'203'!E9</f>
        <v>I</v>
      </c>
      <c r="K4" s="94"/>
    </row>
    <row r="5" ht="13.5" customHeight="1">
      <c r="A5" s="432" t="s">
        <v>417</v>
      </c>
      <c r="B5" s="165"/>
      <c r="C5" s="165"/>
      <c r="D5" s="433"/>
      <c r="E5" s="165"/>
      <c r="F5" s="165"/>
      <c r="G5" s="165"/>
      <c r="H5" s="434"/>
      <c r="I5" s="435" t="s">
        <v>418</v>
      </c>
      <c r="J5" s="436" t="str">
        <f>'203'!E10</f>
        <v>A - FEMA</v>
      </c>
      <c r="K5" s="94"/>
    </row>
    <row r="6" ht="13.5" customHeight="1">
      <c r="A6" s="437" t="s">
        <v>419</v>
      </c>
      <c r="C6" s="438" t="str">
        <f>IF('203'!E7 = "",'203'!E5,'203'!E5 &amp; "     Night Ops: " &amp; '203'!E7)</f>
        <v/>
      </c>
      <c r="H6" s="94"/>
      <c r="K6" s="94"/>
    </row>
    <row r="7" ht="13.5" customHeight="1">
      <c r="A7" s="437" t="s">
        <v>420</v>
      </c>
      <c r="C7" s="438" t="str">
        <f>'203'!G9</f>
        <v/>
      </c>
      <c r="G7" s="439" t="str">
        <f> IF(vlookup(J4,SafetyOfficers,2,False) = "","",Concatenate("Branch Safety: ", vlookup(J4,SafetyOfficers,2,False)))</f>
        <v/>
      </c>
      <c r="H7" s="94"/>
      <c r="I7" s="313"/>
      <c r="J7" s="440" t="str">
        <f>if(LEN(J5) = 3,IFERROR(vlookup(Left(J5,1),PhonicAlphabet!A:B,2,FALSE)) &amp; "/" &amp; IFERROR(vlookup(MID(J5,3,1),PhonicAlphabet!A:B,2,FALSE)),IFERROR(vlookup(J5,PhonicAlphabet!A:B,2,FALSE), ""))</f>
        <v/>
      </c>
      <c r="K7" s="94"/>
    </row>
    <row r="8" ht="13.5" customHeight="1">
      <c r="A8" s="441" t="s">
        <v>421</v>
      </c>
      <c r="B8" s="77"/>
      <c r="C8" s="442" t="str">
        <f>'203'!F10</f>
        <v>Tim Braun (Example)</v>
      </c>
      <c r="D8" s="77"/>
      <c r="E8" s="77"/>
      <c r="F8" s="77"/>
      <c r="G8" s="77"/>
      <c r="H8" s="55"/>
      <c r="I8" s="77"/>
      <c r="J8" s="443" t="s">
        <v>422</v>
      </c>
      <c r="K8" s="55"/>
    </row>
    <row r="9" ht="13.5" customHeight="1">
      <c r="A9" s="444" t="s">
        <v>423</v>
      </c>
      <c r="B9" s="74"/>
      <c r="C9" s="445" t="str">
        <f>'101 General Info'!D39</f>
        <v>** Resources Below in Bold are 12 Hour **</v>
      </c>
      <c r="D9" s="74"/>
      <c r="E9" s="74"/>
      <c r="F9" s="74"/>
      <c r="G9" s="74"/>
      <c r="H9" s="45"/>
      <c r="I9" s="446" t="s">
        <v>424</v>
      </c>
      <c r="J9" s="165"/>
      <c r="K9" s="210"/>
    </row>
    <row r="10" ht="13.5" customHeight="1">
      <c r="A10" s="377" t="s">
        <v>425</v>
      </c>
      <c r="B10" s="77"/>
      <c r="C10" s="77"/>
      <c r="D10" s="55"/>
      <c r="E10" s="447" t="s">
        <v>426</v>
      </c>
      <c r="F10" s="55"/>
      <c r="G10" s="448" t="s">
        <v>427</v>
      </c>
      <c r="H10" s="449" t="s">
        <v>428</v>
      </c>
      <c r="I10" s="104"/>
      <c r="J10" s="77"/>
      <c r="K10" s="55"/>
    </row>
    <row r="11" ht="13.5" customHeight="1">
      <c r="A11" s="355" t="str">
        <f>IF(_xlfn.isformula(H11), "", VLOOKUP(H11,Indirect(ResDataAll),2,False))</f>
        <v/>
      </c>
      <c r="B11" s="74"/>
      <c r="C11" s="74"/>
      <c r="D11" s="74"/>
      <c r="E11" s="450" t="str">
        <f> IFERROR(vlookup(A11,Indirect(ResData),2, FALSE), "")</f>
        <v/>
      </c>
      <c r="F11" s="74"/>
      <c r="G11" s="451" t="str">
        <f> IFERROR(vlookup(A11,Indirect(ResData),3, FALSE), "")</f>
        <v/>
      </c>
      <c r="H11" s="414" t="str">
        <f t="array" ref="H11"> IFERROR(vlookup(A11,{Indirect(ResID),Indirect(ResDataAll)},2, FALSE), "")</f>
        <v/>
      </c>
      <c r="I11" s="452" t="str">
        <f> IFERROR(vlookup(A11,Indirect(ResData),4, FALSE), "")</f>
        <v/>
      </c>
      <c r="J11" s="453"/>
      <c r="K11" s="45"/>
    </row>
    <row r="12" ht="13.5" customHeight="1">
      <c r="A12" s="355" t="str">
        <f>IF(_xlfn.isformula(H12), "", VLOOKUP(H12,Indirect(ResDataAll),2,False))</f>
        <v/>
      </c>
      <c r="B12" s="74"/>
      <c r="C12" s="74"/>
      <c r="D12" s="74"/>
      <c r="E12" s="450" t="str">
        <f> IFERROR(vlookup(A12,Indirect(ResData),2, FALSE), "")</f>
        <v/>
      </c>
      <c r="F12" s="74"/>
      <c r="G12" s="451" t="str">
        <f> IFERROR(vlookup(A12,Indirect(ResData),3, FALSE), "")</f>
        <v/>
      </c>
      <c r="H12" s="414" t="str">
        <f t="array" ref="H12"> IFERROR(vlookup(A12,{Indirect(ResID),Indirect(ResDataAll)},2, FALSE), "")</f>
        <v/>
      </c>
      <c r="I12" s="452" t="str">
        <f> IFERROR(vlookup(A12,Indirect(ResData),4, FALSE), "")</f>
        <v/>
      </c>
      <c r="J12" s="454" t="str">
        <f t="shared" ref="J12:J28" si="1"> IF(A12 = "","",J11)</f>
        <v/>
      </c>
      <c r="K12" s="45"/>
    </row>
    <row r="13" ht="13.5" customHeight="1">
      <c r="A13" s="355" t="str">
        <f>IF(_xlfn.isformula(H13), "", VLOOKUP(H13,Indirect(ResDataAll),2,False))</f>
        <v/>
      </c>
      <c r="B13" s="74"/>
      <c r="C13" s="74"/>
      <c r="D13" s="74"/>
      <c r="E13" s="450" t="str">
        <f> IFERROR(vlookup(A13,Indirect(ResData),2, FALSE), "")</f>
        <v/>
      </c>
      <c r="F13" s="74"/>
      <c r="G13" s="451" t="str">
        <f> IFERROR(vlookup(A13,Indirect(ResData),3, FALSE), "")</f>
        <v/>
      </c>
      <c r="H13" s="414" t="str">
        <f t="array" ref="H13"> IFERROR(vlookup(A13,{Indirect(ResID),Indirect(ResDataAll)},2, FALSE), "")</f>
        <v/>
      </c>
      <c r="I13" s="452" t="str">
        <f> IFERROR(vlookup(A13,Indirect(ResData),4, FALSE), "")</f>
        <v/>
      </c>
      <c r="J13" s="454" t="str">
        <f t="shared" si="1"/>
        <v/>
      </c>
      <c r="K13" s="45"/>
    </row>
    <row r="14" ht="13.5" customHeight="1">
      <c r="A14" s="355" t="str">
        <f>IF(_xlfn.isformula(H14), "", VLOOKUP(H14,Indirect(ResDataAll),2,False))</f>
        <v/>
      </c>
      <c r="B14" s="74"/>
      <c r="C14" s="74"/>
      <c r="D14" s="74"/>
      <c r="E14" s="450" t="str">
        <f> IFERROR(vlookup(A14,Indirect(ResData),2, FALSE), "")</f>
        <v/>
      </c>
      <c r="F14" s="74"/>
      <c r="G14" s="451" t="str">
        <f> IFERROR(vlookup(A14,Indirect(ResData),3, FALSE), "")</f>
        <v/>
      </c>
      <c r="H14" s="414" t="str">
        <f t="array" ref="H14"> IFERROR(vlookup(A14,{Indirect(ResID),Indirect(ResDataAll)},2, FALSE), "")</f>
        <v/>
      </c>
      <c r="I14" s="452" t="str">
        <f> IFERROR(vlookup(A14,Indirect(ResData),4, FALSE), "")</f>
        <v/>
      </c>
      <c r="J14" s="454" t="str">
        <f t="shared" si="1"/>
        <v/>
      </c>
      <c r="K14" s="45"/>
    </row>
    <row r="15" ht="13.5" customHeight="1">
      <c r="A15" s="355" t="str">
        <f>IF(_xlfn.isformula(H15), "", VLOOKUP(H15,Indirect(ResDataAll),2,False))</f>
        <v/>
      </c>
      <c r="B15" s="74"/>
      <c r="C15" s="74"/>
      <c r="D15" s="74"/>
      <c r="E15" s="450" t="str">
        <f> IFERROR(vlookup(A15,Indirect(ResData),2, FALSE), "")</f>
        <v/>
      </c>
      <c r="F15" s="74"/>
      <c r="G15" s="451" t="str">
        <f> IFERROR(vlookup(A15,Indirect(ResData),3, FALSE), "")</f>
        <v/>
      </c>
      <c r="H15" s="414" t="str">
        <f t="array" ref="H15"> IFERROR(vlookup(A15,{Indirect(ResID),Indirect(ResDataAll)},2, FALSE), "")</f>
        <v/>
      </c>
      <c r="I15" s="452" t="str">
        <f> IFERROR(vlookup(A15,Indirect(ResData),4, FALSE), "")</f>
        <v/>
      </c>
      <c r="J15" s="454" t="str">
        <f t="shared" si="1"/>
        <v/>
      </c>
      <c r="K15" s="45"/>
    </row>
    <row r="16" ht="13.5" customHeight="1">
      <c r="A16" s="355" t="str">
        <f>IF(_xlfn.isformula(H16), "", VLOOKUP(H16,Indirect(ResDataAll),2,False))</f>
        <v/>
      </c>
      <c r="B16" s="74"/>
      <c r="C16" s="74"/>
      <c r="D16" s="74"/>
      <c r="E16" s="450" t="str">
        <f> IFERROR(vlookup(A16,Indirect(ResData),2, FALSE), "")</f>
        <v/>
      </c>
      <c r="F16" s="74"/>
      <c r="G16" s="451" t="str">
        <f> IFERROR(vlookup(A16,Indirect(ResData),3, FALSE), "")</f>
        <v/>
      </c>
      <c r="H16" s="414" t="str">
        <f t="array" ref="H16"> IFERROR(vlookup(A16,{Indirect(ResID),Indirect(ResDataAll)},2, FALSE), "")</f>
        <v/>
      </c>
      <c r="I16" s="452" t="str">
        <f> IFERROR(vlookup(A16,Indirect(ResData),4, FALSE), "")</f>
        <v/>
      </c>
      <c r="J16" s="454" t="str">
        <f t="shared" si="1"/>
        <v/>
      </c>
      <c r="K16" s="45"/>
    </row>
    <row r="17" ht="13.5" customHeight="1">
      <c r="A17" s="355" t="str">
        <f>IF(_xlfn.isformula(H17), "", VLOOKUP(H17,Indirect(ResDataAll),2,False))</f>
        <v/>
      </c>
      <c r="B17" s="74"/>
      <c r="C17" s="74"/>
      <c r="D17" s="74"/>
      <c r="E17" s="450" t="str">
        <f> IFERROR(vlookup(A17,Indirect(ResData),2, FALSE), "")</f>
        <v/>
      </c>
      <c r="F17" s="74"/>
      <c r="G17" s="451" t="str">
        <f> IFERROR(vlookup(A17,Indirect(ResData),3, FALSE), "")</f>
        <v/>
      </c>
      <c r="H17" s="414" t="str">
        <f t="array" ref="H17"> IFERROR(vlookup(A17,{Indirect(ResID),Indirect(ResDataAll)},2, FALSE), "")</f>
        <v/>
      </c>
      <c r="I17" s="452" t="str">
        <f> IFERROR(vlookup(A17,Indirect(ResData),4, FALSE), "")</f>
        <v/>
      </c>
      <c r="J17" s="454" t="str">
        <f t="shared" si="1"/>
        <v/>
      </c>
      <c r="K17" s="45"/>
    </row>
    <row r="18" ht="13.5" customHeight="1">
      <c r="A18" s="355" t="str">
        <f>IF(_xlfn.isformula(H18), "", VLOOKUP(H18,Indirect(ResDataAll),2,False))</f>
        <v/>
      </c>
      <c r="B18" s="74"/>
      <c r="C18" s="74"/>
      <c r="D18" s="74"/>
      <c r="E18" s="450" t="str">
        <f> IFERROR(vlookup(A18,Indirect(ResData),2, FALSE), "")</f>
        <v/>
      </c>
      <c r="F18" s="74"/>
      <c r="G18" s="451" t="str">
        <f> IFERROR(vlookup(A18,Indirect(ResData),3, FALSE), "")</f>
        <v/>
      </c>
      <c r="H18" s="414" t="str">
        <f t="array" ref="H18"> IFERROR(vlookup(A18,{Indirect(ResID),Indirect(ResDataAll)},2, FALSE), "")</f>
        <v/>
      </c>
      <c r="I18" s="452" t="str">
        <f> IFERROR(vlookup(A18,Indirect(ResData),4, FALSE), "")</f>
        <v/>
      </c>
      <c r="J18" s="454" t="str">
        <f t="shared" si="1"/>
        <v/>
      </c>
      <c r="K18" s="45"/>
    </row>
    <row r="19" ht="13.5" customHeight="1">
      <c r="A19" s="355" t="str">
        <f>IF(_xlfn.isformula(H19), "", VLOOKUP(H19,Indirect(ResDataAll),2,False))</f>
        <v/>
      </c>
      <c r="B19" s="74"/>
      <c r="C19" s="74"/>
      <c r="D19" s="74"/>
      <c r="E19" s="450" t="str">
        <f> IFERROR(vlookup(A19,Indirect(ResData),2, FALSE), "")</f>
        <v/>
      </c>
      <c r="F19" s="74"/>
      <c r="G19" s="451" t="str">
        <f> IFERROR(vlookup(A19,Indirect(ResData),3, FALSE), "")</f>
        <v/>
      </c>
      <c r="H19" s="414" t="str">
        <f t="array" ref="H19"> IFERROR(vlookup(A19,{Indirect(ResID),Indirect(ResDataAll)},2, FALSE), "")</f>
        <v/>
      </c>
      <c r="I19" s="452" t="str">
        <f> IFERROR(vlookup(A19,Indirect(ResData),4, FALSE), "")</f>
        <v/>
      </c>
      <c r="J19" s="454" t="str">
        <f t="shared" si="1"/>
        <v/>
      </c>
      <c r="K19" s="45"/>
    </row>
    <row r="20" ht="13.5" customHeight="1">
      <c r="A20" s="355" t="str">
        <f>IF(_xlfn.isformula(H20), "", VLOOKUP(H20,Indirect(ResDataAll),2,False))</f>
        <v/>
      </c>
      <c r="B20" s="74"/>
      <c r="C20" s="74"/>
      <c r="D20" s="74"/>
      <c r="E20" s="450" t="str">
        <f> IFERROR(vlookup(A20,Indirect(ResData),2, FALSE), "")</f>
        <v/>
      </c>
      <c r="F20" s="74"/>
      <c r="G20" s="451" t="str">
        <f> IFERROR(vlookup(A20,Indirect(ResData),3, FALSE), "")</f>
        <v/>
      </c>
      <c r="H20" s="414" t="str">
        <f t="array" ref="H20"> IFERROR(vlookup(A20,{Indirect(ResID),Indirect(ResDataAll)},2, FALSE), "")</f>
        <v/>
      </c>
      <c r="I20" s="452" t="str">
        <f> IFERROR(vlookup(A20,Indirect(ResData),4, FALSE), "")</f>
        <v/>
      </c>
      <c r="J20" s="454" t="str">
        <f t="shared" si="1"/>
        <v/>
      </c>
      <c r="K20" s="45"/>
    </row>
    <row r="21" ht="13.5" customHeight="1">
      <c r="A21" s="355" t="str">
        <f>IF(_xlfn.isformula(H21), "", VLOOKUP(H21,Indirect(ResDataAll),2,False))</f>
        <v/>
      </c>
      <c r="B21" s="74"/>
      <c r="C21" s="74"/>
      <c r="D21" s="74"/>
      <c r="E21" s="450" t="str">
        <f> IFERROR(vlookup(A21,Indirect(ResData),2, FALSE), "")</f>
        <v/>
      </c>
      <c r="F21" s="74"/>
      <c r="G21" s="451" t="str">
        <f> IFERROR(vlookup(A21,Indirect(ResData),3, FALSE), "")</f>
        <v/>
      </c>
      <c r="H21" s="414" t="str">
        <f t="array" ref="H21"> IFERROR(vlookup(A21,{Indirect(ResID),Indirect(ResDataAll)},2, FALSE), "")</f>
        <v/>
      </c>
      <c r="I21" s="452" t="str">
        <f> IFERROR(vlookup(A21,Indirect(ResData),4, FALSE), "")</f>
        <v/>
      </c>
      <c r="J21" s="454" t="str">
        <f t="shared" si="1"/>
        <v/>
      </c>
      <c r="K21" s="45"/>
    </row>
    <row r="22" ht="13.5" customHeight="1">
      <c r="A22" s="355" t="str">
        <f>IF(_xlfn.isformula(H22), "", VLOOKUP(H22,Indirect(ResDataAll),2,False))</f>
        <v/>
      </c>
      <c r="B22" s="74"/>
      <c r="C22" s="74"/>
      <c r="D22" s="74"/>
      <c r="E22" s="450" t="str">
        <f> IFERROR(vlookup(A22,Indirect(ResData),2, FALSE), "")</f>
        <v/>
      </c>
      <c r="F22" s="74"/>
      <c r="G22" s="451" t="str">
        <f> IFERROR(vlookup(A22,Indirect(ResData),3, FALSE), "")</f>
        <v/>
      </c>
      <c r="H22" s="414" t="str">
        <f t="array" ref="H22"> IFERROR(vlookup(A22,{Indirect(ResID),Indirect(ResDataAll)},2, FALSE), "")</f>
        <v/>
      </c>
      <c r="I22" s="452" t="str">
        <f> IFERROR(vlookup(A22,Indirect(ResData),4, FALSE), "")</f>
        <v/>
      </c>
      <c r="J22" s="454" t="str">
        <f t="shared" si="1"/>
        <v/>
      </c>
      <c r="K22" s="45"/>
    </row>
    <row r="23" ht="13.5" customHeight="1">
      <c r="A23" s="355" t="str">
        <f>IF(_xlfn.isformula(H23), "", VLOOKUP(H23,Indirect(ResDataAll),2,False))</f>
        <v/>
      </c>
      <c r="B23" s="74"/>
      <c r="C23" s="74"/>
      <c r="D23" s="74"/>
      <c r="E23" s="450" t="str">
        <f> IFERROR(vlookup(A23,Indirect(ResData),2, FALSE), "")</f>
        <v/>
      </c>
      <c r="F23" s="74"/>
      <c r="G23" s="451" t="str">
        <f> IFERROR(vlookup(A23,Indirect(ResData),3, FALSE), "")</f>
        <v/>
      </c>
      <c r="H23" s="414" t="str">
        <f t="array" ref="H23"> IFERROR(vlookup(A23,{Indirect(ResID),Indirect(ResDataAll)},2, FALSE), "")</f>
        <v/>
      </c>
      <c r="I23" s="452" t="str">
        <f> IFERROR(vlookup(A23,Indirect(ResData),4, FALSE), "")</f>
        <v/>
      </c>
      <c r="J23" s="454" t="str">
        <f t="shared" si="1"/>
        <v/>
      </c>
      <c r="K23" s="45"/>
    </row>
    <row r="24" ht="13.5" customHeight="1">
      <c r="A24" s="355" t="str">
        <f>IF(_xlfn.isformula(H24), "", VLOOKUP(H24,Indirect(ResDataAll),2,False))</f>
        <v/>
      </c>
      <c r="B24" s="74"/>
      <c r="C24" s="74"/>
      <c r="D24" s="74"/>
      <c r="E24" s="450" t="str">
        <f> IFERROR(vlookup(A24,Indirect(ResData),2, FALSE), "")</f>
        <v/>
      </c>
      <c r="F24" s="74"/>
      <c r="G24" s="451" t="str">
        <f> IFERROR(vlookup(A24,Indirect(ResData),3, FALSE), "")</f>
        <v/>
      </c>
      <c r="H24" s="414" t="str">
        <f t="array" ref="H24"> IFERROR(vlookup(A24,{Indirect(ResID),Indirect(ResDataAll)},2, FALSE), "")</f>
        <v/>
      </c>
      <c r="I24" s="452" t="str">
        <f> IFERROR(vlookup(A24,Indirect(ResData),4, FALSE), "")</f>
        <v/>
      </c>
      <c r="J24" s="454" t="str">
        <f t="shared" si="1"/>
        <v/>
      </c>
      <c r="K24" s="45"/>
    </row>
    <row r="25" ht="13.5" customHeight="1">
      <c r="A25" s="355" t="str">
        <f>IF(_xlfn.isformula(H25), "", VLOOKUP(H25,Indirect(ResDataAll),2,False))</f>
        <v/>
      </c>
      <c r="B25" s="74"/>
      <c r="C25" s="74"/>
      <c r="D25" s="74"/>
      <c r="E25" s="450" t="str">
        <f> IFERROR(vlookup(A25,Indirect(ResData),2, FALSE), "")</f>
        <v/>
      </c>
      <c r="F25" s="74"/>
      <c r="G25" s="451" t="str">
        <f> IFERROR(vlookup(A25,Indirect(ResData),3, FALSE), "")</f>
        <v/>
      </c>
      <c r="H25" s="414" t="str">
        <f t="array" ref="H25"> IFERROR(vlookup(A25,{Indirect(ResID),Indirect(ResDataAll)},2, FALSE), "")</f>
        <v/>
      </c>
      <c r="I25" s="452" t="str">
        <f> IFERROR(vlookup(A25,Indirect(ResData),4, FALSE), "")</f>
        <v/>
      </c>
      <c r="J25" s="454" t="str">
        <f t="shared" si="1"/>
        <v/>
      </c>
      <c r="K25" s="45"/>
    </row>
    <row r="26" ht="13.5" customHeight="1">
      <c r="A26" s="355" t="str">
        <f>IF(_xlfn.isformula(H26), "", VLOOKUP(H26,Indirect(ResDataAll),2,False))</f>
        <v/>
      </c>
      <c r="B26" s="74"/>
      <c r="C26" s="74"/>
      <c r="D26" s="74"/>
      <c r="E26" s="450" t="str">
        <f> IFERROR(vlookup(A26,Indirect(ResData),2, FALSE), "")</f>
        <v/>
      </c>
      <c r="F26" s="74"/>
      <c r="G26" s="451" t="str">
        <f> IFERROR(vlookup(A26,Indirect(ResData),3, FALSE), "")</f>
        <v/>
      </c>
      <c r="H26" s="414" t="str">
        <f t="array" ref="H26"> IFERROR(vlookup(A26,{Indirect(ResID),Indirect(ResDataAll)},2, FALSE), "")</f>
        <v/>
      </c>
      <c r="I26" s="452" t="str">
        <f> IFERROR(vlookup(A26,Indirect(ResData),4, FALSE), "")</f>
        <v/>
      </c>
      <c r="J26" s="454" t="str">
        <f t="shared" si="1"/>
        <v/>
      </c>
      <c r="K26" s="45"/>
    </row>
    <row r="27" ht="13.5" customHeight="1">
      <c r="A27" s="355" t="str">
        <f>IF(_xlfn.isformula(H27), "", VLOOKUP(H27,Indirect(ResDataAll),2,False))</f>
        <v/>
      </c>
      <c r="B27" s="74"/>
      <c r="C27" s="74"/>
      <c r="D27" s="74"/>
      <c r="E27" s="450" t="str">
        <f> IFERROR(vlookup(A27,Indirect(ResData),2, FALSE), "")</f>
        <v/>
      </c>
      <c r="F27" s="74"/>
      <c r="G27" s="451" t="str">
        <f> IFERROR(vlookup(A27,Indirect(ResData),3, FALSE), "")</f>
        <v/>
      </c>
      <c r="H27" s="414" t="str">
        <f t="array" ref="H27"> IFERROR(vlookup(A27,{Indirect(ResID),Indirect(ResDataAll)},2, FALSE), "")</f>
        <v/>
      </c>
      <c r="I27" s="452" t="str">
        <f> IFERROR(vlookup(A27,Indirect(ResData),4, FALSE), "")</f>
        <v/>
      </c>
      <c r="J27" s="454" t="str">
        <f t="shared" si="1"/>
        <v/>
      </c>
      <c r="K27" s="45"/>
    </row>
    <row r="28" ht="13.5" customHeight="1">
      <c r="A28" s="355" t="str">
        <f>IF(_xlfn.isformula(H28), "", VLOOKUP(H28,Indirect(ResDataAll),2,False))</f>
        <v/>
      </c>
      <c r="B28" s="74"/>
      <c r="C28" s="74"/>
      <c r="D28" s="74"/>
      <c r="E28" s="450" t="str">
        <f> IFERROR(vlookup(A28,Indirect(ResData),2, FALSE), "")</f>
        <v/>
      </c>
      <c r="F28" s="74"/>
      <c r="G28" s="451" t="str">
        <f> IFERROR(vlookup(A28,Indirect(ResData),3, FALSE), "")</f>
        <v/>
      </c>
      <c r="H28" s="414" t="str">
        <f t="array" ref="H28"> IFERROR(vlookup(A28,{Indirect(ResID),Indirect(ResDataAll)},2, FALSE), "")</f>
        <v/>
      </c>
      <c r="I28" s="452" t="str">
        <f> IFERROR(vlookup(A28,Indirect(ResData),4, FALSE), "")</f>
        <v/>
      </c>
      <c r="J28" s="454" t="str">
        <f t="shared" si="1"/>
        <v/>
      </c>
      <c r="K28" s="45"/>
    </row>
    <row r="29" ht="13.5" customHeight="1">
      <c r="A29" s="455" t="s">
        <v>429</v>
      </c>
      <c r="B29" s="456"/>
      <c r="C29" s="457" t="str">
        <f> if((COUNTIF(A11:A29,"&gt;*") + COUNTBLANK(A11:A29)) &gt; 19,"Adding rows has a negative effect on certain formulas. Maybe create another page?"," ")</f>
        <v> </v>
      </c>
      <c r="D29" s="165"/>
      <c r="E29" s="165"/>
      <c r="F29" s="165"/>
      <c r="G29" s="165"/>
      <c r="H29" s="165"/>
      <c r="I29" s="165"/>
      <c r="J29" s="165"/>
      <c r="K29" s="210"/>
    </row>
    <row r="30" ht="13.5" customHeight="1">
      <c r="A30" s="458"/>
      <c r="K30" s="94"/>
    </row>
    <row r="31" ht="13.5" customHeight="1">
      <c r="A31" s="458"/>
      <c r="K31" s="94"/>
    </row>
    <row r="32" ht="13.5" customHeight="1">
      <c r="A32" s="458"/>
      <c r="K32" s="94"/>
    </row>
    <row r="33" ht="13.5" customHeight="1">
      <c r="A33" s="458"/>
      <c r="K33" s="94"/>
    </row>
    <row r="34" ht="13.5" customHeight="1">
      <c r="A34" s="459" t="s">
        <v>430</v>
      </c>
      <c r="B34" s="165"/>
      <c r="C34" s="165"/>
      <c r="D34" s="165"/>
      <c r="E34" s="165"/>
      <c r="F34" s="165"/>
      <c r="G34" s="165"/>
      <c r="H34" s="165"/>
      <c r="I34" s="165"/>
      <c r="J34" s="165"/>
      <c r="K34" s="210"/>
    </row>
    <row r="35" ht="13.5" customHeight="1">
      <c r="A35" s="311"/>
      <c r="K35" s="94"/>
    </row>
    <row r="36" ht="13.5" customHeight="1">
      <c r="A36" s="311"/>
      <c r="K36" s="94"/>
    </row>
    <row r="37" ht="13.5" customHeight="1">
      <c r="A37" s="311"/>
      <c r="K37" s="94"/>
    </row>
    <row r="38" ht="13.5" customHeight="1">
      <c r="A38" s="314"/>
      <c r="B38" s="77"/>
      <c r="C38" s="77"/>
      <c r="D38" s="77"/>
      <c r="E38" s="77"/>
      <c r="F38" s="77"/>
      <c r="G38" s="77"/>
      <c r="H38" s="77"/>
      <c r="I38" s="77"/>
      <c r="J38" s="77"/>
      <c r="K38" s="55"/>
    </row>
    <row r="39" ht="13.5" customHeight="1">
      <c r="A39" s="460" t="s">
        <v>431</v>
      </c>
      <c r="C39" s="461" t="s">
        <v>432</v>
      </c>
      <c r="K39" s="94"/>
    </row>
    <row r="40" ht="13.5" customHeight="1">
      <c r="A40" s="452" t="str">
        <f> "Name"</f>
        <v>Name</v>
      </c>
      <c r="B40" s="462" t="str">
        <f> "Ch"</f>
        <v>Ch</v>
      </c>
      <c r="C40" s="463" t="str">
        <f> "Function"</f>
        <v>Function</v>
      </c>
      <c r="D40" s="74"/>
      <c r="E40" s="462" t="str">
        <f> "Rx Freq"</f>
        <v>Rx Freq</v>
      </c>
      <c r="F40" s="462" t="str">
        <f> "Rx Tone"</f>
        <v>Rx Tone</v>
      </c>
      <c r="G40" s="462" t="str">
        <f> "Tx Freq"</f>
        <v>Tx Freq</v>
      </c>
      <c r="H40" s="462" t="str">
        <f> "Tx Tone"</f>
        <v>Tx Tone</v>
      </c>
      <c r="I40" s="464" t="s">
        <v>433</v>
      </c>
      <c r="J40" s="464" t="s">
        <v>434</v>
      </c>
      <c r="K40" s="45"/>
    </row>
    <row r="41" ht="13.5" customHeight="1">
      <c r="A41" s="465" t="str">
        <f>Iferror(vlookup($B41,Order205,2,False),"")</f>
        <v>CDF C1</v>
      </c>
      <c r="B41" s="466">
        <f>If(vlookup($J$5,Radio_Assignments,12,FALSE) = "",1,vlookup($J$5,Radio_Assignments,12,FALSE))</f>
        <v>1</v>
      </c>
      <c r="C41" s="467" t="str">
        <f>Iferror(vlookup($B41,Order205,4,False),"")</f>
        <v>COMMAND</v>
      </c>
      <c r="D41" s="74"/>
      <c r="E41" s="468">
        <f>Iferror(vlookup($B41,Order205,5,False),"")</f>
        <v>151.355</v>
      </c>
      <c r="F41" s="469" t="str">
        <f>Iferror(vlookup($B41,Order205,6,False),"")</f>
        <v>(T8)  103.5</v>
      </c>
      <c r="G41" s="470">
        <f>Iferror(vlookup($B41,Order205,7,False),"")</f>
        <v>159.3</v>
      </c>
      <c r="H41" s="469" t="str">
        <f>Iferror(vlookup($B41,Order205,8,False),"")</f>
        <v>OST</v>
      </c>
      <c r="I41" s="471" t="str">
        <f>Iferror(vlookup($B41,Order205,9,False),"")</f>
        <v>A</v>
      </c>
      <c r="J41" s="472" t="str">
        <f>Iferror(vlookup($B41,Order205,10,False),"")</f>
        <v/>
      </c>
      <c r="K41" s="45"/>
    </row>
    <row r="42" ht="13.5" customHeight="1">
      <c r="A42" s="473" t="str">
        <f>iferror(vlookup($J$5,Radio_Assignments,3,FALSE),"")</f>
        <v>CDF T3</v>
      </c>
      <c r="B42" s="474">
        <f>vlookup($J$5,Radio_Assignments,2,FALSE)</f>
        <v>2</v>
      </c>
      <c r="C42" s="475" t="str">
        <f>vlookup($J$5,Radio_Assignments,5,FALSE)</f>
        <v>TACTICAL</v>
      </c>
      <c r="D42" s="77"/>
      <c r="E42" s="476">
        <f>vlookup($J$5,Radio_Assignments,6,FALSE)</f>
        <v>151.175</v>
      </c>
      <c r="F42" s="477" t="str">
        <f>vlookup($J$5,Radio_Assignments,7,FALSE)</f>
        <v>(T16) 192.8</v>
      </c>
      <c r="G42" s="478">
        <f>vlookup($J$5,Radio_Assignments,8,FALSE)</f>
        <v>151.175</v>
      </c>
      <c r="H42" s="477" t="str">
        <f>vlookup($J$5,Radio_Assignments,9,FALSE)</f>
        <v>(T16) 192.8</v>
      </c>
      <c r="I42" s="479" t="str">
        <f>vlookup($J$5,Radio_Assignments,10,FALSE)</f>
        <v>A</v>
      </c>
      <c r="J42" s="480" t="str">
        <f>vlookup($J$5,Radio_Assignments,11,FALSE)</f>
        <v/>
      </c>
      <c r="K42" s="55"/>
    </row>
    <row r="43" ht="13.5" customHeight="1">
      <c r="A43" s="473" t="str">
        <f>Iferror(vlookup($B43,Order205,2,False),"")</f>
        <v>A/G CMD</v>
      </c>
      <c r="B43" s="466">
        <f>If(vlookup($J$5,Radio_Assignments,13,FALSE) = "",14,vlookup($J$5,Radio_Assignments,13,FALSE))</f>
        <v>14</v>
      </c>
      <c r="C43" s="475" t="str">
        <f>Iferror(vlookup($B43,Order205,4,False),"")</f>
        <v>A/G CMD</v>
      </c>
      <c r="D43" s="77"/>
      <c r="E43" s="476" t="str">
        <f>Iferror(vlookup($B43,Order205,5,False),"")</f>
        <v>166.6125</v>
      </c>
      <c r="F43" s="477" t="str">
        <f>Iferror(vlookup($B43,Order205,6,False),"")</f>
        <v/>
      </c>
      <c r="G43" s="478" t="str">
        <f>Iferror(vlookup($B43,Order205,7,False),"")</f>
        <v>166.6125</v>
      </c>
      <c r="H43" s="477">
        <f>Iferror(vlookup($B43,Order205,8,False),"")</f>
        <v>0</v>
      </c>
      <c r="I43" s="481" t="str">
        <f>Iferror(vlookup($B43,Order205,9,False),"")</f>
        <v>A</v>
      </c>
      <c r="J43" s="482" t="str">
        <f>Iferror(vlookup($B43,Order205,10,False),"")</f>
        <v/>
      </c>
      <c r="K43" s="55"/>
    </row>
    <row r="44" ht="13.5" customHeight="1">
      <c r="A44" s="473" t="str">
        <f>'205 Worksheet'!$C$10</f>
        <v>CALCORD</v>
      </c>
      <c r="B44" s="466">
        <f>'205 Worksheet'!$B$10</f>
        <v>15</v>
      </c>
      <c r="C44" s="475" t="str">
        <f>'205 Worksheet'!$E$10</f>
        <v>TACTICAL</v>
      </c>
      <c r="D44" s="77"/>
      <c r="E44" s="476">
        <f>'205 Worksheet'!$F$10</f>
        <v>156.075</v>
      </c>
      <c r="F44" s="477" t="str">
        <f>'205 Worksheet'!$G$10</f>
        <v>(T6)  156.7</v>
      </c>
      <c r="G44" s="478">
        <f>'205 Worksheet'!$H$10</f>
        <v>156.075</v>
      </c>
      <c r="H44" s="477" t="str">
        <f>'205 Worksheet'!$I$10</f>
        <v>(T6)  156.7</v>
      </c>
      <c r="I44" s="483" t="str">
        <f>'205 Worksheet'!$K$10</f>
        <v/>
      </c>
      <c r="J44" s="480" t="str">
        <f>'205 Worksheet'!$L$10</f>
        <v/>
      </c>
      <c r="K44" s="55"/>
    </row>
    <row r="45" ht="13.5" customHeight="1">
      <c r="A45" s="473" t="str">
        <f>'205 Worksheet'!$C$11</f>
        <v>A/G YNP</v>
      </c>
      <c r="B45" s="466">
        <f>'205 Worksheet'!$B$11</f>
        <v>16</v>
      </c>
      <c r="C45" s="475" t="str">
        <f>'205 Worksheet'!$E$11</f>
        <v>A/G</v>
      </c>
      <c r="D45" s="77"/>
      <c r="E45" s="476" t="str">
        <f>'205 Worksheet'!$F$11</f>
        <v>168.5625</v>
      </c>
      <c r="F45" s="484" t="str">
        <f>'205 Worksheet'!$G$11</f>
        <v/>
      </c>
      <c r="G45" s="485" t="str">
        <f>'205 Worksheet'!$H$11</f>
        <v>168.5625</v>
      </c>
      <c r="H45" s="484">
        <f>'205 Worksheet'!$I$11</f>
        <v>0</v>
      </c>
      <c r="I45" s="486" t="str">
        <f>'205 Worksheet'!$K$11</f>
        <v/>
      </c>
      <c r="J45" s="487" t="str">
        <f>'205 Worksheet'!$L$11</f>
        <v/>
      </c>
      <c r="K45" s="94"/>
    </row>
    <row r="46" ht="13.5" customHeight="1">
      <c r="A46" s="455" t="s">
        <v>435</v>
      </c>
      <c r="B46" s="165"/>
      <c r="C46" s="488" t="str">
        <f>'101 General Info'!$C$33</f>
        <v/>
      </c>
      <c r="D46" s="165"/>
      <c r="E46" s="165"/>
      <c r="F46" s="489" t="s">
        <v>436</v>
      </c>
      <c r="G46" s="490" t="str">
        <f>'101 General Info'!$D$33</f>
        <v>RESL</v>
      </c>
      <c r="H46" s="491"/>
      <c r="I46" s="491"/>
      <c r="J46" s="491"/>
      <c r="K46" s="210"/>
    </row>
    <row r="47" ht="13.5" customHeight="1">
      <c r="A47" s="492"/>
      <c r="B47" s="493"/>
      <c r="C47" s="494"/>
      <c r="G47" s="494"/>
      <c r="H47" s="495" t="s">
        <v>437</v>
      </c>
      <c r="K47" s="496"/>
    </row>
    <row r="48" ht="13.5" customHeight="1">
      <c r="A48" s="497" t="s">
        <v>312</v>
      </c>
      <c r="B48" s="498" t="s">
        <v>389</v>
      </c>
      <c r="C48" s="499">
        <f>F3-1</f>
        <v>43892</v>
      </c>
      <c r="D48" s="77"/>
      <c r="E48" s="500" t="s">
        <v>438</v>
      </c>
      <c r="F48" s="501"/>
      <c r="G48" s="501"/>
      <c r="H48" s="502" t="s">
        <v>439</v>
      </c>
      <c r="I48" s="77"/>
      <c r="J48" s="503">
        <f>Sumproduct(ABS(G11:G28))</f>
        <v>0</v>
      </c>
      <c r="K48" s="55"/>
    </row>
    <row r="49" ht="13.5" customHeight="1">
      <c r="A49" s="504" t="s">
        <v>332</v>
      </c>
      <c r="B49" s="505"/>
      <c r="C49" s="506"/>
      <c r="D49" s="506"/>
      <c r="E49" s="507"/>
      <c r="F49" s="508"/>
      <c r="G49" s="508"/>
      <c r="H49" s="509" t="s">
        <v>414</v>
      </c>
      <c r="K49" s="509"/>
    </row>
  </sheetData>
  <mergeCells count="115">
    <mergeCell ref="J18:K18"/>
    <mergeCell ref="J19:K19"/>
    <mergeCell ref="J11:K11"/>
    <mergeCell ref="J12:K12"/>
    <mergeCell ref="J13:K13"/>
    <mergeCell ref="J14:K14"/>
    <mergeCell ref="J15:K15"/>
    <mergeCell ref="J16:K16"/>
    <mergeCell ref="J17:K17"/>
    <mergeCell ref="J22:K22"/>
    <mergeCell ref="J23:K23"/>
    <mergeCell ref="J24:K24"/>
    <mergeCell ref="J25:K25"/>
    <mergeCell ref="J26:K26"/>
    <mergeCell ref="J27:K27"/>
    <mergeCell ref="J28:K28"/>
    <mergeCell ref="A21:D21"/>
    <mergeCell ref="E21:F21"/>
    <mergeCell ref="J21:K21"/>
    <mergeCell ref="A22:D22"/>
    <mergeCell ref="E22:F22"/>
    <mergeCell ref="A23:D23"/>
    <mergeCell ref="E23:F23"/>
    <mergeCell ref="A24:D24"/>
    <mergeCell ref="E24:F24"/>
    <mergeCell ref="A25:D25"/>
    <mergeCell ref="E25:F25"/>
    <mergeCell ref="A26:D26"/>
    <mergeCell ref="E26:F26"/>
    <mergeCell ref="E27:F27"/>
    <mergeCell ref="A27:D27"/>
    <mergeCell ref="A28:D28"/>
    <mergeCell ref="E28:F28"/>
    <mergeCell ref="C29:K29"/>
    <mergeCell ref="A30:K30"/>
    <mergeCell ref="A31:K31"/>
    <mergeCell ref="A32:K32"/>
    <mergeCell ref="J40:K40"/>
    <mergeCell ref="J41:K41"/>
    <mergeCell ref="J42:K42"/>
    <mergeCell ref="J43:K43"/>
    <mergeCell ref="J44:K44"/>
    <mergeCell ref="J45:K45"/>
    <mergeCell ref="J46:K46"/>
    <mergeCell ref="A33:K33"/>
    <mergeCell ref="A34:K34"/>
    <mergeCell ref="A35:K35"/>
    <mergeCell ref="A36:K36"/>
    <mergeCell ref="A37:K37"/>
    <mergeCell ref="A38:K38"/>
    <mergeCell ref="C39:K39"/>
    <mergeCell ref="A46:B46"/>
    <mergeCell ref="C46:E46"/>
    <mergeCell ref="C47:F47"/>
    <mergeCell ref="H47:J47"/>
    <mergeCell ref="C48:D48"/>
    <mergeCell ref="H48:I48"/>
    <mergeCell ref="J48:K48"/>
    <mergeCell ref="H49:J49"/>
    <mergeCell ref="A39:B39"/>
    <mergeCell ref="C40:D40"/>
    <mergeCell ref="C41:D41"/>
    <mergeCell ref="C42:D42"/>
    <mergeCell ref="C43:D43"/>
    <mergeCell ref="C44:D44"/>
    <mergeCell ref="C45:D45"/>
    <mergeCell ref="A1:B1"/>
    <mergeCell ref="E1:H1"/>
    <mergeCell ref="I1:K1"/>
    <mergeCell ref="A2:D2"/>
    <mergeCell ref="E2:H2"/>
    <mergeCell ref="A3:D3"/>
    <mergeCell ref="A4:D4"/>
    <mergeCell ref="C8:F8"/>
    <mergeCell ref="C9:H9"/>
    <mergeCell ref="E10:F10"/>
    <mergeCell ref="E11:F11"/>
    <mergeCell ref="E12:F12"/>
    <mergeCell ref="E13:F13"/>
    <mergeCell ref="E14:F14"/>
    <mergeCell ref="A5:C5"/>
    <mergeCell ref="D5:G5"/>
    <mergeCell ref="A6:B6"/>
    <mergeCell ref="C6:H6"/>
    <mergeCell ref="C7:F7"/>
    <mergeCell ref="G7:H8"/>
    <mergeCell ref="I7:I8"/>
    <mergeCell ref="I2:K3"/>
    <mergeCell ref="J4:K4"/>
    <mergeCell ref="I5:I6"/>
    <mergeCell ref="J5:K6"/>
    <mergeCell ref="J7:K7"/>
    <mergeCell ref="J8:K8"/>
    <mergeCell ref="I9:K10"/>
    <mergeCell ref="A7:B7"/>
    <mergeCell ref="A8:B8"/>
    <mergeCell ref="A9:B9"/>
    <mergeCell ref="A10:D10"/>
    <mergeCell ref="A11:D11"/>
    <mergeCell ref="A12:D12"/>
    <mergeCell ref="A13:D13"/>
    <mergeCell ref="A14:D14"/>
    <mergeCell ref="A15:D15"/>
    <mergeCell ref="E15:F15"/>
    <mergeCell ref="A16:D16"/>
    <mergeCell ref="E16:F16"/>
    <mergeCell ref="A17:D17"/>
    <mergeCell ref="E17:F17"/>
    <mergeCell ref="A18:D18"/>
    <mergeCell ref="E18:F18"/>
    <mergeCell ref="A19:D19"/>
    <mergeCell ref="E19:F19"/>
    <mergeCell ref="A20:D20"/>
    <mergeCell ref="E20:F20"/>
    <mergeCell ref="J20:K20"/>
  </mergeCells>
  <conditionalFormatting sqref="E11:F28">
    <cfRule type="containsText" dxfId="6" priority="1" operator="containsText" text="Assigned">
      <formula>NOT(ISERROR(SEARCH(("Assigned"),(E11))))</formula>
    </cfRule>
  </conditionalFormatting>
  <conditionalFormatting sqref="E11:F28 H11:K28">
    <cfRule type="expression" dxfId="7" priority="2">
      <formula> AND($I11 &lt;&gt; Concatenate($F$4,"-",$H$4) ,NOT((isformula(E11))))</formula>
    </cfRule>
  </conditionalFormatting>
  <conditionalFormatting sqref="E11:F28 H11:K28">
    <cfRule type="expression" dxfId="8" priority="3">
      <formula> $I11 &lt;&gt; Concatenate($F$4,"-",$H$4)</formula>
    </cfRule>
  </conditionalFormatting>
  <conditionalFormatting sqref="E11:F28 H11:K28">
    <cfRule type="expression" dxfId="9" priority="4">
      <formula> NOT((isformula(E11)))</formula>
    </cfRule>
  </conditionalFormatting>
  <conditionalFormatting sqref="A11:D28">
    <cfRule type="expression" dxfId="8" priority="5">
      <formula> $I11 &lt;&gt; Concatenate($F$4,"-",$H$4)</formula>
    </cfRule>
  </conditionalFormatting>
  <dataValidations>
    <dataValidation type="list" allowBlank="1" sqref="A11:A28">
      <formula1>ResourceID!$B$2:$B49</formula1>
    </dataValidation>
    <dataValidation type="list" allowBlank="1" sqref="A30:A33">
      <formula1>WorkAssignments</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9.38"/>
    <col customWidth="1" min="2" max="2" width="12.13"/>
    <col customWidth="1" min="3" max="3" width="5.13"/>
    <col customWidth="1" min="4" max="4" width="4.88"/>
    <col customWidth="1" min="5" max="5" width="10.13"/>
    <col customWidth="1" min="6" max="6" width="9.63"/>
    <col customWidth="1" min="7" max="7" width="10.13"/>
    <col customWidth="1" min="8" max="8" width="12.88"/>
    <col customWidth="1" min="9" max="9" width="10.63"/>
    <col customWidth="1" min="10" max="10" width="16.88"/>
    <col customWidth="1" min="11" max="11" width="2.75"/>
  </cols>
  <sheetData>
    <row r="1" ht="13.5" customHeight="1">
      <c r="A1" s="417" t="s">
        <v>412</v>
      </c>
      <c r="B1" s="77"/>
      <c r="C1" s="418"/>
      <c r="D1" s="418"/>
      <c r="E1" s="419" t="s">
        <v>413</v>
      </c>
      <c r="F1" s="77"/>
      <c r="G1" s="77"/>
      <c r="H1" s="77"/>
      <c r="I1" s="420" t="s">
        <v>414</v>
      </c>
      <c r="J1" s="77"/>
      <c r="K1" s="77"/>
    </row>
    <row r="2" ht="13.5" customHeight="1">
      <c r="A2" s="399" t="s">
        <v>282</v>
      </c>
      <c r="B2" s="165"/>
      <c r="C2" s="165"/>
      <c r="D2" s="210"/>
      <c r="E2" s="399" t="s">
        <v>283</v>
      </c>
      <c r="F2" s="165"/>
      <c r="G2" s="165"/>
      <c r="H2" s="210"/>
      <c r="I2" s="421" t="s">
        <v>415</v>
      </c>
      <c r="K2" s="94"/>
    </row>
    <row r="3" ht="13.5" customHeight="1">
      <c r="A3" s="422" t="str">
        <f>IncName</f>
        <v>NO NAME</v>
      </c>
      <c r="D3" s="94"/>
      <c r="E3" s="423" t="s">
        <v>284</v>
      </c>
      <c r="F3" s="424">
        <f>OpDate</f>
        <v>43893</v>
      </c>
      <c r="G3" s="425" t="s">
        <v>130</v>
      </c>
      <c r="H3" s="426">
        <f>OpDateTo</f>
        <v>43894</v>
      </c>
      <c r="K3" s="94"/>
    </row>
    <row r="4" ht="13.5" customHeight="1">
      <c r="A4" s="104"/>
      <c r="B4" s="77"/>
      <c r="C4" s="77"/>
      <c r="D4" s="55"/>
      <c r="E4" s="427" t="s">
        <v>131</v>
      </c>
      <c r="F4" s="428" t="str">
        <f>OpStart</f>
        <v>0700</v>
      </c>
      <c r="G4" s="429" t="s">
        <v>133</v>
      </c>
      <c r="H4" s="430" t="str">
        <f>OpEnd</f>
        <v>0700</v>
      </c>
      <c r="I4" s="312" t="s">
        <v>416</v>
      </c>
      <c r="J4" s="431" t="str">
        <f>'203'!E9</f>
        <v>I</v>
      </c>
      <c r="K4" s="94"/>
    </row>
    <row r="5" ht="13.5" customHeight="1">
      <c r="A5" s="432" t="s">
        <v>417</v>
      </c>
      <c r="B5" s="165"/>
      <c r="C5" s="165"/>
      <c r="D5" s="433"/>
      <c r="E5" s="165"/>
      <c r="F5" s="165"/>
      <c r="G5" s="165"/>
      <c r="H5" s="434"/>
      <c r="I5" s="435" t="s">
        <v>418</v>
      </c>
      <c r="J5" s="436" t="str">
        <f>'203'!E10</f>
        <v>A - FEMA</v>
      </c>
      <c r="K5" s="94"/>
    </row>
    <row r="6" ht="13.5" customHeight="1">
      <c r="A6" s="437" t="s">
        <v>419</v>
      </c>
      <c r="C6" s="438" t="str">
        <f>IF('203'!E7 = "",'203'!E5,'203'!E5 &amp; "     Night Ops: " &amp; '203'!E7)</f>
        <v/>
      </c>
      <c r="H6" s="94"/>
      <c r="K6" s="94"/>
    </row>
    <row r="7" ht="13.5" customHeight="1">
      <c r="A7" s="437" t="s">
        <v>420</v>
      </c>
      <c r="C7" s="438" t="str">
        <f>'203'!G9</f>
        <v/>
      </c>
      <c r="G7" s="439" t="str">
        <f> IF(vlookup(J4,SafetyOfficers,2,False) = "","",Concatenate("Branch Safety: ", vlookup(J4,SafetyOfficers,2,False)))</f>
        <v/>
      </c>
      <c r="H7" s="94"/>
      <c r="I7" s="313"/>
      <c r="J7" s="440" t="str">
        <f>if(LEN(J5) = 3,IFERROR(vlookup(Left(J5,1),PhonicAlphabet!A:B,2,FALSE)) &amp; "/" &amp; IFERROR(vlookup(MID(J5,3,1),PhonicAlphabet!A:B,2,FALSE)),IFERROR(vlookup(J5,PhonicAlphabet!A:B,2,FALSE), ""))</f>
        <v/>
      </c>
      <c r="K7" s="94"/>
    </row>
    <row r="8" ht="13.5" customHeight="1">
      <c r="A8" s="441" t="s">
        <v>421</v>
      </c>
      <c r="B8" s="77"/>
      <c r="C8" s="442" t="str">
        <f>'203'!F10</f>
        <v>Tim Braun (Example)</v>
      </c>
      <c r="D8" s="77"/>
      <c r="E8" s="77"/>
      <c r="F8" s="77"/>
      <c r="G8" s="77"/>
      <c r="H8" s="55"/>
      <c r="I8" s="77"/>
      <c r="J8" s="443" t="s">
        <v>422</v>
      </c>
      <c r="K8" s="55"/>
    </row>
    <row r="9" ht="13.5" customHeight="1">
      <c r="A9" s="444" t="s">
        <v>423</v>
      </c>
      <c r="B9" s="74"/>
      <c r="C9" s="445" t="str">
        <f>'101 General Info'!D39</f>
        <v>** Resources Below in Bold are 12 Hour **</v>
      </c>
      <c r="D9" s="74"/>
      <c r="E9" s="74"/>
      <c r="F9" s="74"/>
      <c r="G9" s="74"/>
      <c r="H9" s="45"/>
      <c r="I9" s="446" t="s">
        <v>424</v>
      </c>
      <c r="J9" s="165"/>
      <c r="K9" s="210"/>
    </row>
    <row r="10" ht="13.5" customHeight="1">
      <c r="A10" s="377" t="s">
        <v>425</v>
      </c>
      <c r="B10" s="77"/>
      <c r="C10" s="77"/>
      <c r="D10" s="55"/>
      <c r="E10" s="447" t="s">
        <v>426</v>
      </c>
      <c r="F10" s="55"/>
      <c r="G10" s="448" t="s">
        <v>427</v>
      </c>
      <c r="H10" s="449" t="s">
        <v>428</v>
      </c>
      <c r="I10" s="104"/>
      <c r="J10" s="77"/>
      <c r="K10" s="55"/>
    </row>
    <row r="11" ht="13.5" customHeight="1">
      <c r="A11" s="355" t="str">
        <f>IF(_xlfn.isformula(H11), "", VLOOKUP(H11,Indirect(ResDataAll),2,False))</f>
        <v/>
      </c>
      <c r="B11" s="74"/>
      <c r="C11" s="74"/>
      <c r="D11" s="74"/>
      <c r="E11" s="450" t="str">
        <f> IFERROR(vlookup(A11,Indirect(ResData),2, FALSE), "")</f>
        <v/>
      </c>
      <c r="F11" s="74"/>
      <c r="G11" s="451" t="str">
        <f> IFERROR(vlookup(A11,Indirect(ResData),3, FALSE), "")</f>
        <v/>
      </c>
      <c r="H11" s="414" t="str">
        <f t="array" ref="H11"> IFERROR(vlookup(A11,{Indirect(ResID),Indirect(ResDataAll)},2, FALSE), "")</f>
        <v/>
      </c>
      <c r="I11" s="452" t="str">
        <f> IFERROR(vlookup(A11,Indirect(ResData),4, FALSE), "")</f>
        <v/>
      </c>
      <c r="J11" s="453"/>
      <c r="K11" s="45"/>
    </row>
    <row r="12" ht="13.5" customHeight="1">
      <c r="A12" s="355" t="str">
        <f>IF(_xlfn.isformula(H12), "", VLOOKUP(H12,Indirect(ResDataAll),2,False))</f>
        <v/>
      </c>
      <c r="B12" s="74"/>
      <c r="C12" s="74"/>
      <c r="D12" s="74"/>
      <c r="E12" s="450" t="str">
        <f> IFERROR(vlookup(A12,Indirect(ResData),2, FALSE), "")</f>
        <v/>
      </c>
      <c r="F12" s="74"/>
      <c r="G12" s="451" t="str">
        <f> IFERROR(vlookup(A12,Indirect(ResData),3, FALSE), "")</f>
        <v/>
      </c>
      <c r="H12" s="414" t="str">
        <f t="array" ref="H12"> IFERROR(vlookup(A12,{Indirect(ResID),Indirect(ResDataAll)},2, FALSE), "")</f>
        <v/>
      </c>
      <c r="I12" s="452" t="str">
        <f> IFERROR(vlookup(A12,Indirect(ResData),4, FALSE), "")</f>
        <v/>
      </c>
      <c r="J12" s="454" t="str">
        <f t="shared" ref="J12:J28" si="1"> IF(A12 = "","",J11)</f>
        <v/>
      </c>
      <c r="K12" s="45"/>
    </row>
    <row r="13" ht="13.5" customHeight="1">
      <c r="A13" s="355" t="str">
        <f>IF(_xlfn.isformula(H13), "", VLOOKUP(H13,Indirect(ResDataAll),2,False))</f>
        <v/>
      </c>
      <c r="B13" s="74"/>
      <c r="C13" s="74"/>
      <c r="D13" s="74"/>
      <c r="E13" s="450" t="str">
        <f> IFERROR(vlookup(A13,Indirect(ResData),2, FALSE), "")</f>
        <v/>
      </c>
      <c r="F13" s="74"/>
      <c r="G13" s="451" t="str">
        <f> IFERROR(vlookup(A13,Indirect(ResData),3, FALSE), "")</f>
        <v/>
      </c>
      <c r="H13" s="414" t="str">
        <f t="array" ref="H13"> IFERROR(vlookup(A13,{Indirect(ResID),Indirect(ResDataAll)},2, FALSE), "")</f>
        <v/>
      </c>
      <c r="I13" s="452" t="str">
        <f> IFERROR(vlookup(A13,Indirect(ResData),4, FALSE), "")</f>
        <v/>
      </c>
      <c r="J13" s="454" t="str">
        <f t="shared" si="1"/>
        <v/>
      </c>
      <c r="K13" s="45"/>
    </row>
    <row r="14" ht="13.5" customHeight="1">
      <c r="A14" s="355" t="str">
        <f>IF(_xlfn.isformula(H14), "", VLOOKUP(H14,Indirect(ResDataAll),2,False))</f>
        <v/>
      </c>
      <c r="B14" s="74"/>
      <c r="C14" s="74"/>
      <c r="D14" s="74"/>
      <c r="E14" s="450" t="str">
        <f> IFERROR(vlookup(A14,Indirect(ResData),2, FALSE), "")</f>
        <v/>
      </c>
      <c r="F14" s="74"/>
      <c r="G14" s="451" t="str">
        <f> IFERROR(vlookup(A14,Indirect(ResData),3, FALSE), "")</f>
        <v/>
      </c>
      <c r="H14" s="414" t="str">
        <f t="array" ref="H14"> IFERROR(vlookup(A14,{Indirect(ResID),Indirect(ResDataAll)},2, FALSE), "")</f>
        <v/>
      </c>
      <c r="I14" s="452" t="str">
        <f> IFERROR(vlookup(A14,Indirect(ResData),4, FALSE), "")</f>
        <v/>
      </c>
      <c r="J14" s="454" t="str">
        <f t="shared" si="1"/>
        <v/>
      </c>
      <c r="K14" s="45"/>
    </row>
    <row r="15" ht="13.5" customHeight="1">
      <c r="A15" s="355" t="str">
        <f>IF(_xlfn.isformula(H15), "", VLOOKUP(H15,Indirect(ResDataAll),2,False))</f>
        <v/>
      </c>
      <c r="B15" s="74"/>
      <c r="C15" s="74"/>
      <c r="D15" s="74"/>
      <c r="E15" s="450" t="str">
        <f> IFERROR(vlookup(A15,Indirect(ResData),2, FALSE), "")</f>
        <v/>
      </c>
      <c r="F15" s="74"/>
      <c r="G15" s="451" t="str">
        <f> IFERROR(vlookup(A15,Indirect(ResData),3, FALSE), "")</f>
        <v/>
      </c>
      <c r="H15" s="414" t="str">
        <f t="array" ref="H15"> IFERROR(vlookup(A15,{Indirect(ResID),Indirect(ResDataAll)},2, FALSE), "")</f>
        <v/>
      </c>
      <c r="I15" s="452" t="str">
        <f> IFERROR(vlookup(A15,Indirect(ResData),4, FALSE), "")</f>
        <v/>
      </c>
      <c r="J15" s="454" t="str">
        <f t="shared" si="1"/>
        <v/>
      </c>
      <c r="K15" s="45"/>
    </row>
    <row r="16" ht="13.5" customHeight="1">
      <c r="A16" s="355" t="str">
        <f>IF(_xlfn.isformula(H16), "", VLOOKUP(H16,Indirect(ResDataAll),2,False))</f>
        <v/>
      </c>
      <c r="B16" s="74"/>
      <c r="C16" s="74"/>
      <c r="D16" s="74"/>
      <c r="E16" s="450" t="str">
        <f> IFERROR(vlookup(A16,Indirect(ResData),2, FALSE), "")</f>
        <v/>
      </c>
      <c r="F16" s="74"/>
      <c r="G16" s="451" t="str">
        <f> IFERROR(vlookup(A16,Indirect(ResData),3, FALSE), "")</f>
        <v/>
      </c>
      <c r="H16" s="414" t="str">
        <f t="array" ref="H16"> IFERROR(vlookup(A16,{Indirect(ResID),Indirect(ResDataAll)},2, FALSE), "")</f>
        <v/>
      </c>
      <c r="I16" s="452" t="str">
        <f> IFERROR(vlookup(A16,Indirect(ResData),4, FALSE), "")</f>
        <v/>
      </c>
      <c r="J16" s="454" t="str">
        <f t="shared" si="1"/>
        <v/>
      </c>
      <c r="K16" s="45"/>
    </row>
    <row r="17" ht="13.5" customHeight="1">
      <c r="A17" s="355" t="str">
        <f>IF(_xlfn.isformula(H17), "", VLOOKUP(H17,Indirect(ResDataAll),2,False))</f>
        <v/>
      </c>
      <c r="B17" s="74"/>
      <c r="C17" s="74"/>
      <c r="D17" s="74"/>
      <c r="E17" s="450" t="str">
        <f> IFERROR(vlookup(A17,Indirect(ResData),2, FALSE), "")</f>
        <v/>
      </c>
      <c r="F17" s="74"/>
      <c r="G17" s="451" t="str">
        <f> IFERROR(vlookup(A17,Indirect(ResData),3, FALSE), "")</f>
        <v/>
      </c>
      <c r="H17" s="414" t="str">
        <f t="array" ref="H17"> IFERROR(vlookup(A17,{Indirect(ResID),Indirect(ResDataAll)},2, FALSE), "")</f>
        <v/>
      </c>
      <c r="I17" s="452" t="str">
        <f> IFERROR(vlookup(A17,Indirect(ResData),4, FALSE), "")</f>
        <v/>
      </c>
      <c r="J17" s="454" t="str">
        <f t="shared" si="1"/>
        <v/>
      </c>
      <c r="K17" s="45"/>
    </row>
    <row r="18" ht="13.5" customHeight="1">
      <c r="A18" s="355" t="str">
        <f>IF(_xlfn.isformula(H18), "", VLOOKUP(H18,Indirect(ResDataAll),2,False))</f>
        <v/>
      </c>
      <c r="B18" s="74"/>
      <c r="C18" s="74"/>
      <c r="D18" s="74"/>
      <c r="E18" s="450" t="str">
        <f> IFERROR(vlookup(A18,Indirect(ResData),2, FALSE), "")</f>
        <v/>
      </c>
      <c r="F18" s="74"/>
      <c r="G18" s="451" t="str">
        <f> IFERROR(vlookup(A18,Indirect(ResData),3, FALSE), "")</f>
        <v/>
      </c>
      <c r="H18" s="414" t="str">
        <f t="array" ref="H18"> IFERROR(vlookup(A18,{Indirect(ResID),Indirect(ResDataAll)},2, FALSE), "")</f>
        <v/>
      </c>
      <c r="I18" s="452" t="str">
        <f> IFERROR(vlookup(A18,Indirect(ResData),4, FALSE), "")</f>
        <v/>
      </c>
      <c r="J18" s="454" t="str">
        <f t="shared" si="1"/>
        <v/>
      </c>
      <c r="K18" s="45"/>
    </row>
    <row r="19" ht="13.5" customHeight="1">
      <c r="A19" s="355" t="str">
        <f>IF(_xlfn.isformula(H19), "", VLOOKUP(H19,Indirect(ResDataAll),2,False))</f>
        <v/>
      </c>
      <c r="B19" s="74"/>
      <c r="C19" s="74"/>
      <c r="D19" s="74"/>
      <c r="E19" s="450" t="str">
        <f> IFERROR(vlookup(A19,Indirect(ResData),2, FALSE), "")</f>
        <v/>
      </c>
      <c r="F19" s="74"/>
      <c r="G19" s="451" t="str">
        <f> IFERROR(vlookup(A19,Indirect(ResData),3, FALSE), "")</f>
        <v/>
      </c>
      <c r="H19" s="414" t="str">
        <f t="array" ref="H19"> IFERROR(vlookup(A19,{Indirect(ResID),Indirect(ResDataAll)},2, FALSE), "")</f>
        <v/>
      </c>
      <c r="I19" s="452" t="str">
        <f> IFERROR(vlookup(A19,Indirect(ResData),4, FALSE), "")</f>
        <v/>
      </c>
      <c r="J19" s="454" t="str">
        <f t="shared" si="1"/>
        <v/>
      </c>
      <c r="K19" s="45"/>
    </row>
    <row r="20" ht="13.5" customHeight="1">
      <c r="A20" s="355" t="str">
        <f>IF(_xlfn.isformula(H20), "", VLOOKUP(H20,Indirect(ResDataAll),2,False))</f>
        <v/>
      </c>
      <c r="B20" s="74"/>
      <c r="C20" s="74"/>
      <c r="D20" s="74"/>
      <c r="E20" s="450" t="str">
        <f> IFERROR(vlookup(A20,Indirect(ResData),2, FALSE), "")</f>
        <v/>
      </c>
      <c r="F20" s="74"/>
      <c r="G20" s="451" t="str">
        <f> IFERROR(vlookup(A20,Indirect(ResData),3, FALSE), "")</f>
        <v/>
      </c>
      <c r="H20" s="414" t="str">
        <f t="array" ref="H20"> IFERROR(vlookup(A20,{Indirect(ResID),Indirect(ResDataAll)},2, FALSE), "")</f>
        <v/>
      </c>
      <c r="I20" s="452" t="str">
        <f> IFERROR(vlookup(A20,Indirect(ResData),4, FALSE), "")</f>
        <v/>
      </c>
      <c r="J20" s="454" t="str">
        <f t="shared" si="1"/>
        <v/>
      </c>
      <c r="K20" s="45"/>
    </row>
    <row r="21" ht="13.5" customHeight="1">
      <c r="A21" s="355" t="str">
        <f>IF(_xlfn.isformula(H21), "", VLOOKUP(H21,Indirect(ResDataAll),2,False))</f>
        <v/>
      </c>
      <c r="B21" s="74"/>
      <c r="C21" s="74"/>
      <c r="D21" s="74"/>
      <c r="E21" s="450" t="str">
        <f> IFERROR(vlookup(A21,Indirect(ResData),2, FALSE), "")</f>
        <v/>
      </c>
      <c r="F21" s="74"/>
      <c r="G21" s="451" t="str">
        <f> IFERROR(vlookup(A21,Indirect(ResData),3, FALSE), "")</f>
        <v/>
      </c>
      <c r="H21" s="414" t="str">
        <f t="array" ref="H21"> IFERROR(vlookup(A21,{Indirect(ResID),Indirect(ResDataAll)},2, FALSE), "")</f>
        <v/>
      </c>
      <c r="I21" s="452" t="str">
        <f> IFERROR(vlookup(A21,Indirect(ResData),4, FALSE), "")</f>
        <v/>
      </c>
      <c r="J21" s="454" t="str">
        <f t="shared" si="1"/>
        <v/>
      </c>
      <c r="K21" s="45"/>
    </row>
    <row r="22" ht="13.5" customHeight="1">
      <c r="A22" s="355" t="str">
        <f>IF(_xlfn.isformula(H22), "", VLOOKUP(H22,Indirect(ResDataAll),2,False))</f>
        <v/>
      </c>
      <c r="B22" s="74"/>
      <c r="C22" s="74"/>
      <c r="D22" s="74"/>
      <c r="E22" s="450" t="str">
        <f> IFERROR(vlookup(A22,Indirect(ResData),2, FALSE), "")</f>
        <v/>
      </c>
      <c r="F22" s="74"/>
      <c r="G22" s="451" t="str">
        <f> IFERROR(vlookup(A22,Indirect(ResData),3, FALSE), "")</f>
        <v/>
      </c>
      <c r="H22" s="414" t="str">
        <f t="array" ref="H22"> IFERROR(vlookup(A22,{Indirect(ResID),Indirect(ResDataAll)},2, FALSE), "")</f>
        <v/>
      </c>
      <c r="I22" s="452" t="str">
        <f> IFERROR(vlookup(A22,Indirect(ResData),4, FALSE), "")</f>
        <v/>
      </c>
      <c r="J22" s="454" t="str">
        <f t="shared" si="1"/>
        <v/>
      </c>
      <c r="K22" s="45"/>
    </row>
    <row r="23" ht="13.5" customHeight="1">
      <c r="A23" s="355" t="str">
        <f>IF(_xlfn.isformula(H23), "", VLOOKUP(H23,Indirect(ResDataAll),2,False))</f>
        <v/>
      </c>
      <c r="B23" s="74"/>
      <c r="C23" s="74"/>
      <c r="D23" s="74"/>
      <c r="E23" s="450" t="str">
        <f> IFERROR(vlookup(A23,Indirect(ResData),2, FALSE), "")</f>
        <v/>
      </c>
      <c r="F23" s="74"/>
      <c r="G23" s="451" t="str">
        <f> IFERROR(vlookup(A23,Indirect(ResData),3, FALSE), "")</f>
        <v/>
      </c>
      <c r="H23" s="414" t="str">
        <f t="array" ref="H23"> IFERROR(vlookup(A23,{Indirect(ResID),Indirect(ResDataAll)},2, FALSE), "")</f>
        <v/>
      </c>
      <c r="I23" s="452" t="str">
        <f> IFERROR(vlookup(A23,Indirect(ResData),4, FALSE), "")</f>
        <v/>
      </c>
      <c r="J23" s="454" t="str">
        <f t="shared" si="1"/>
        <v/>
      </c>
      <c r="K23" s="45"/>
    </row>
    <row r="24" ht="13.5" customHeight="1">
      <c r="A24" s="355" t="str">
        <f>IF(_xlfn.isformula(H24), "", VLOOKUP(H24,Indirect(ResDataAll),2,False))</f>
        <v/>
      </c>
      <c r="B24" s="74"/>
      <c r="C24" s="74"/>
      <c r="D24" s="74"/>
      <c r="E24" s="450" t="str">
        <f> IFERROR(vlookup(A24,Indirect(ResData),2, FALSE), "")</f>
        <v/>
      </c>
      <c r="F24" s="74"/>
      <c r="G24" s="451" t="str">
        <f> IFERROR(vlookup(A24,Indirect(ResData),3, FALSE), "")</f>
        <v/>
      </c>
      <c r="H24" s="414" t="str">
        <f t="array" ref="H24"> IFERROR(vlookup(A24,{Indirect(ResID),Indirect(ResDataAll)},2, FALSE), "")</f>
        <v/>
      </c>
      <c r="I24" s="452" t="str">
        <f> IFERROR(vlookup(A24,Indirect(ResData),4, FALSE), "")</f>
        <v/>
      </c>
      <c r="J24" s="454" t="str">
        <f t="shared" si="1"/>
        <v/>
      </c>
      <c r="K24" s="45"/>
    </row>
    <row r="25" ht="13.5" customHeight="1">
      <c r="A25" s="355" t="str">
        <f>IF(_xlfn.isformula(H25), "", VLOOKUP(H25,Indirect(ResDataAll),2,False))</f>
        <v/>
      </c>
      <c r="B25" s="74"/>
      <c r="C25" s="74"/>
      <c r="D25" s="74"/>
      <c r="E25" s="450" t="str">
        <f> IFERROR(vlookup(A25,Indirect(ResData),2, FALSE), "")</f>
        <v/>
      </c>
      <c r="F25" s="74"/>
      <c r="G25" s="451" t="str">
        <f> IFERROR(vlookup(A25,Indirect(ResData),3, FALSE), "")</f>
        <v/>
      </c>
      <c r="H25" s="414" t="str">
        <f t="array" ref="H25"> IFERROR(vlookup(A25,{Indirect(ResID),Indirect(ResDataAll)},2, FALSE), "")</f>
        <v/>
      </c>
      <c r="I25" s="452" t="str">
        <f> IFERROR(vlookup(A25,Indirect(ResData),4, FALSE), "")</f>
        <v/>
      </c>
      <c r="J25" s="454" t="str">
        <f t="shared" si="1"/>
        <v/>
      </c>
      <c r="K25" s="45"/>
    </row>
    <row r="26" ht="13.5" customHeight="1">
      <c r="A26" s="355" t="str">
        <f>IF(_xlfn.isformula(H26), "", VLOOKUP(H26,Indirect(ResDataAll),2,False))</f>
        <v/>
      </c>
      <c r="B26" s="74"/>
      <c r="C26" s="74"/>
      <c r="D26" s="74"/>
      <c r="E26" s="450" t="str">
        <f> IFERROR(vlookup(A26,Indirect(ResData),2, FALSE), "")</f>
        <v/>
      </c>
      <c r="F26" s="74"/>
      <c r="G26" s="451" t="str">
        <f> IFERROR(vlookup(A26,Indirect(ResData),3, FALSE), "")</f>
        <v/>
      </c>
      <c r="H26" s="414" t="str">
        <f t="array" ref="H26"> IFERROR(vlookup(A26,{Indirect(ResID),Indirect(ResDataAll)},2, FALSE), "")</f>
        <v/>
      </c>
      <c r="I26" s="452" t="str">
        <f> IFERROR(vlookup(A26,Indirect(ResData),4, FALSE), "")</f>
        <v/>
      </c>
      <c r="J26" s="454" t="str">
        <f t="shared" si="1"/>
        <v/>
      </c>
      <c r="K26" s="45"/>
    </row>
    <row r="27" ht="13.5" customHeight="1">
      <c r="A27" s="355" t="str">
        <f>IF(_xlfn.isformula(H27), "", VLOOKUP(H27,Indirect(ResDataAll),2,False))</f>
        <v/>
      </c>
      <c r="B27" s="74"/>
      <c r="C27" s="74"/>
      <c r="D27" s="74"/>
      <c r="E27" s="450" t="str">
        <f> IFERROR(vlookup(A27,Indirect(ResData),2, FALSE), "")</f>
        <v/>
      </c>
      <c r="F27" s="74"/>
      <c r="G27" s="451" t="str">
        <f> IFERROR(vlookup(A27,Indirect(ResData),3, FALSE), "")</f>
        <v/>
      </c>
      <c r="H27" s="414" t="str">
        <f t="array" ref="H27"> IFERROR(vlookup(A27,{Indirect(ResID),Indirect(ResDataAll)},2, FALSE), "")</f>
        <v/>
      </c>
      <c r="I27" s="452" t="str">
        <f> IFERROR(vlookup(A27,Indirect(ResData),4, FALSE), "")</f>
        <v/>
      </c>
      <c r="J27" s="454" t="str">
        <f t="shared" si="1"/>
        <v/>
      </c>
      <c r="K27" s="45"/>
    </row>
    <row r="28" ht="13.5" customHeight="1">
      <c r="A28" s="355" t="str">
        <f>IF(_xlfn.isformula(H28), "", VLOOKUP(H28,Indirect(ResDataAll),2,False))</f>
        <v/>
      </c>
      <c r="B28" s="74"/>
      <c r="C28" s="74"/>
      <c r="D28" s="74"/>
      <c r="E28" s="450" t="str">
        <f> IFERROR(vlookup(A28,Indirect(ResData),2, FALSE), "")</f>
        <v/>
      </c>
      <c r="F28" s="74"/>
      <c r="G28" s="451" t="str">
        <f> IFERROR(vlookup(A28,Indirect(ResData),3, FALSE), "")</f>
        <v/>
      </c>
      <c r="H28" s="414" t="str">
        <f t="array" ref="H28"> IFERROR(vlookup(A28,{Indirect(ResID),Indirect(ResDataAll)},2, FALSE), "")</f>
        <v/>
      </c>
      <c r="I28" s="452" t="str">
        <f> IFERROR(vlookup(A28,Indirect(ResData),4, FALSE), "")</f>
        <v/>
      </c>
      <c r="J28" s="454" t="str">
        <f t="shared" si="1"/>
        <v/>
      </c>
      <c r="K28" s="45"/>
    </row>
    <row r="29" ht="13.5" customHeight="1">
      <c r="A29" s="455" t="s">
        <v>429</v>
      </c>
      <c r="B29" s="456"/>
      <c r="C29" s="457" t="str">
        <f> if((COUNTIF(A11:A29,"&gt;*") + COUNTBLANK(A11:A29)) &gt; 19,"Adding rows has a negative effect on certain formulas. Maybe create another page?"," ")</f>
        <v> </v>
      </c>
      <c r="D29" s="165"/>
      <c r="E29" s="165"/>
      <c r="F29" s="165"/>
      <c r="G29" s="165"/>
      <c r="H29" s="165"/>
      <c r="I29" s="165"/>
      <c r="J29" s="165"/>
      <c r="K29" s="210"/>
    </row>
    <row r="30" ht="13.5" customHeight="1">
      <c r="A30" s="458"/>
      <c r="K30" s="94"/>
    </row>
    <row r="31" ht="13.5" customHeight="1">
      <c r="A31" s="458"/>
      <c r="K31" s="94"/>
    </row>
    <row r="32" ht="13.5" customHeight="1">
      <c r="A32" s="458"/>
      <c r="K32" s="94"/>
    </row>
    <row r="33" ht="13.5" customHeight="1">
      <c r="A33" s="458"/>
      <c r="K33" s="94"/>
    </row>
    <row r="34" ht="13.5" customHeight="1">
      <c r="A34" s="459" t="s">
        <v>430</v>
      </c>
      <c r="B34" s="165"/>
      <c r="C34" s="165"/>
      <c r="D34" s="165"/>
      <c r="E34" s="165"/>
      <c r="F34" s="165"/>
      <c r="G34" s="165"/>
      <c r="H34" s="165"/>
      <c r="I34" s="165"/>
      <c r="J34" s="165"/>
      <c r="K34" s="210"/>
    </row>
    <row r="35" ht="13.5" customHeight="1">
      <c r="A35" s="311"/>
      <c r="K35" s="94"/>
    </row>
    <row r="36" ht="13.5" customHeight="1">
      <c r="A36" s="311"/>
      <c r="K36" s="94"/>
    </row>
    <row r="37" ht="13.5" customHeight="1">
      <c r="A37" s="311"/>
      <c r="K37" s="94"/>
    </row>
    <row r="38" ht="13.5" customHeight="1">
      <c r="A38" s="314"/>
      <c r="B38" s="77"/>
      <c r="C38" s="77"/>
      <c r="D38" s="77"/>
      <c r="E38" s="77"/>
      <c r="F38" s="77"/>
      <c r="G38" s="77"/>
      <c r="H38" s="77"/>
      <c r="I38" s="77"/>
      <c r="J38" s="77"/>
      <c r="K38" s="55"/>
    </row>
    <row r="39" ht="13.5" customHeight="1">
      <c r="A39" s="460" t="s">
        <v>431</v>
      </c>
      <c r="C39" s="461" t="s">
        <v>432</v>
      </c>
      <c r="K39" s="94"/>
    </row>
    <row r="40" ht="13.5" customHeight="1">
      <c r="A40" s="452" t="str">
        <f> "Name"</f>
        <v>Name</v>
      </c>
      <c r="B40" s="462" t="str">
        <f> "Ch"</f>
        <v>Ch</v>
      </c>
      <c r="C40" s="463" t="str">
        <f> "Function"</f>
        <v>Function</v>
      </c>
      <c r="D40" s="74"/>
      <c r="E40" s="462" t="str">
        <f> "Rx Freq"</f>
        <v>Rx Freq</v>
      </c>
      <c r="F40" s="462" t="str">
        <f> "Rx Tone"</f>
        <v>Rx Tone</v>
      </c>
      <c r="G40" s="462" t="str">
        <f> "Tx Freq"</f>
        <v>Tx Freq</v>
      </c>
      <c r="H40" s="462" t="str">
        <f> "Tx Tone"</f>
        <v>Tx Tone</v>
      </c>
      <c r="I40" s="464" t="s">
        <v>433</v>
      </c>
      <c r="J40" s="464" t="s">
        <v>434</v>
      </c>
      <c r="K40" s="45"/>
    </row>
    <row r="41" ht="13.5" customHeight="1">
      <c r="A41" s="465" t="str">
        <f>Iferror(vlookup($B41,Order205,2,False),"")</f>
        <v>CDF C1</v>
      </c>
      <c r="B41" s="466">
        <f>If(vlookup($J$5,Radio_Assignments,12,FALSE) = "",1,vlookup($J$5,Radio_Assignments,12,FALSE))</f>
        <v>1</v>
      </c>
      <c r="C41" s="467" t="str">
        <f>Iferror(vlookup($B41,Order205,4,False),"")</f>
        <v>COMMAND</v>
      </c>
      <c r="D41" s="74"/>
      <c r="E41" s="468">
        <f>Iferror(vlookup($B41,Order205,5,False),"")</f>
        <v>151.355</v>
      </c>
      <c r="F41" s="469" t="str">
        <f>Iferror(vlookup($B41,Order205,6,False),"")</f>
        <v>(T8)  103.5</v>
      </c>
      <c r="G41" s="470">
        <f>Iferror(vlookup($B41,Order205,7,False),"")</f>
        <v>159.3</v>
      </c>
      <c r="H41" s="469" t="str">
        <f>Iferror(vlookup($B41,Order205,8,False),"")</f>
        <v>OST</v>
      </c>
      <c r="I41" s="471" t="str">
        <f>Iferror(vlookup($B41,Order205,9,False),"")</f>
        <v>A</v>
      </c>
      <c r="J41" s="472" t="str">
        <f>Iferror(vlookup($B41,Order205,10,False),"")</f>
        <v/>
      </c>
      <c r="K41" s="45"/>
    </row>
    <row r="42" ht="13.5" customHeight="1">
      <c r="A42" s="473" t="str">
        <f>iferror(vlookup($J$5,Radio_Assignments,3,FALSE),"")</f>
        <v>CDF T3</v>
      </c>
      <c r="B42" s="474">
        <f>vlookup($J$5,Radio_Assignments,2,FALSE)</f>
        <v>2</v>
      </c>
      <c r="C42" s="475" t="str">
        <f>vlookup($J$5,Radio_Assignments,5,FALSE)</f>
        <v>TACTICAL</v>
      </c>
      <c r="D42" s="77"/>
      <c r="E42" s="476">
        <f>vlookup($J$5,Radio_Assignments,6,FALSE)</f>
        <v>151.175</v>
      </c>
      <c r="F42" s="477" t="str">
        <f>vlookup($J$5,Radio_Assignments,7,FALSE)</f>
        <v>(T16) 192.8</v>
      </c>
      <c r="G42" s="478">
        <f>vlookup($J$5,Radio_Assignments,8,FALSE)</f>
        <v>151.175</v>
      </c>
      <c r="H42" s="477" t="str">
        <f>vlookup($J$5,Radio_Assignments,9,FALSE)</f>
        <v>(T16) 192.8</v>
      </c>
      <c r="I42" s="479" t="str">
        <f>vlookup($J$5,Radio_Assignments,10,FALSE)</f>
        <v>A</v>
      </c>
      <c r="J42" s="480" t="str">
        <f>vlookup($J$5,Radio_Assignments,11,FALSE)</f>
        <v/>
      </c>
      <c r="K42" s="55"/>
    </row>
    <row r="43" ht="13.5" customHeight="1">
      <c r="A43" s="473" t="str">
        <f>Iferror(vlookup($B43,Order205,2,False),"")</f>
        <v>A/G CMD</v>
      </c>
      <c r="B43" s="466">
        <f>If(vlookup($J$5,Radio_Assignments,13,FALSE) = "",14,vlookup($J$5,Radio_Assignments,13,FALSE))</f>
        <v>14</v>
      </c>
      <c r="C43" s="475" t="str">
        <f>Iferror(vlookup($B43,Order205,4,False),"")</f>
        <v>A/G CMD</v>
      </c>
      <c r="D43" s="77"/>
      <c r="E43" s="476" t="str">
        <f>Iferror(vlookup($B43,Order205,5,False),"")</f>
        <v>166.6125</v>
      </c>
      <c r="F43" s="477" t="str">
        <f>Iferror(vlookup($B43,Order205,6,False),"")</f>
        <v/>
      </c>
      <c r="G43" s="478" t="str">
        <f>Iferror(vlookup($B43,Order205,7,False),"")</f>
        <v>166.6125</v>
      </c>
      <c r="H43" s="477">
        <f>Iferror(vlookup($B43,Order205,8,False),"")</f>
        <v>0</v>
      </c>
      <c r="I43" s="481" t="str">
        <f>Iferror(vlookup($B43,Order205,9,False),"")</f>
        <v>A</v>
      </c>
      <c r="J43" s="482" t="str">
        <f>Iferror(vlookup($B43,Order205,10,False),"")</f>
        <v/>
      </c>
      <c r="K43" s="55"/>
    </row>
    <row r="44" ht="13.5" customHeight="1">
      <c r="A44" s="473" t="str">
        <f>'205 Worksheet'!$C$10</f>
        <v>CALCORD</v>
      </c>
      <c r="B44" s="466">
        <f>'205 Worksheet'!$B$10</f>
        <v>15</v>
      </c>
      <c r="C44" s="475" t="str">
        <f>'205 Worksheet'!$E$10</f>
        <v>TACTICAL</v>
      </c>
      <c r="D44" s="77"/>
      <c r="E44" s="476">
        <f>'205 Worksheet'!$F$10</f>
        <v>156.075</v>
      </c>
      <c r="F44" s="477" t="str">
        <f>'205 Worksheet'!$G$10</f>
        <v>(T6)  156.7</v>
      </c>
      <c r="G44" s="478">
        <f>'205 Worksheet'!$H$10</f>
        <v>156.075</v>
      </c>
      <c r="H44" s="477" t="str">
        <f>'205 Worksheet'!$I$10</f>
        <v>(T6)  156.7</v>
      </c>
      <c r="I44" s="483" t="str">
        <f>'205 Worksheet'!$K$10</f>
        <v/>
      </c>
      <c r="J44" s="480" t="str">
        <f>'205 Worksheet'!$L$10</f>
        <v/>
      </c>
      <c r="K44" s="55"/>
    </row>
    <row r="45" ht="13.5" customHeight="1">
      <c r="A45" s="473" t="str">
        <f>'205 Worksheet'!$C$11</f>
        <v>A/G YNP</v>
      </c>
      <c r="B45" s="466">
        <f>'205 Worksheet'!$B$11</f>
        <v>16</v>
      </c>
      <c r="C45" s="475" t="str">
        <f>'205 Worksheet'!$E$11</f>
        <v>A/G</v>
      </c>
      <c r="D45" s="77"/>
      <c r="E45" s="476" t="str">
        <f>'205 Worksheet'!$F$11</f>
        <v>168.5625</v>
      </c>
      <c r="F45" s="484" t="str">
        <f>'205 Worksheet'!$G$11</f>
        <v/>
      </c>
      <c r="G45" s="485" t="str">
        <f>'205 Worksheet'!$H$11</f>
        <v>168.5625</v>
      </c>
      <c r="H45" s="484">
        <f>'205 Worksheet'!$I$11</f>
        <v>0</v>
      </c>
      <c r="I45" s="486" t="str">
        <f>'205 Worksheet'!$K$11</f>
        <v/>
      </c>
      <c r="J45" s="487" t="str">
        <f>'205 Worksheet'!$L$11</f>
        <v/>
      </c>
      <c r="K45" s="94"/>
    </row>
    <row r="46" ht="13.5" customHeight="1">
      <c r="A46" s="455" t="s">
        <v>435</v>
      </c>
      <c r="B46" s="165"/>
      <c r="C46" s="488" t="str">
        <f>'101 General Info'!$C$33</f>
        <v/>
      </c>
      <c r="D46" s="165"/>
      <c r="E46" s="165"/>
      <c r="F46" s="489" t="s">
        <v>436</v>
      </c>
      <c r="G46" s="490" t="str">
        <f>'101 General Info'!$D$33</f>
        <v>RESL</v>
      </c>
      <c r="H46" s="491"/>
      <c r="I46" s="491"/>
      <c r="J46" s="491"/>
      <c r="K46" s="210"/>
    </row>
    <row r="47" ht="13.5" customHeight="1">
      <c r="A47" s="492"/>
      <c r="B47" s="493"/>
      <c r="C47" s="494"/>
      <c r="G47" s="494"/>
      <c r="H47" s="495" t="s">
        <v>437</v>
      </c>
      <c r="K47" s="496"/>
    </row>
    <row r="48" ht="13.5" customHeight="1">
      <c r="A48" s="497" t="s">
        <v>312</v>
      </c>
      <c r="B48" s="498" t="s">
        <v>389</v>
      </c>
      <c r="C48" s="499">
        <f>F3-1</f>
        <v>43892</v>
      </c>
      <c r="D48" s="77"/>
      <c r="E48" s="500" t="s">
        <v>438</v>
      </c>
      <c r="F48" s="501"/>
      <c r="G48" s="501"/>
      <c r="H48" s="502" t="s">
        <v>439</v>
      </c>
      <c r="I48" s="77"/>
      <c r="J48" s="503">
        <f>Sumproduct(ABS(G11:G28))</f>
        <v>0</v>
      </c>
      <c r="K48" s="55"/>
    </row>
    <row r="49" ht="13.5" customHeight="1">
      <c r="A49" s="504" t="s">
        <v>332</v>
      </c>
      <c r="B49" s="505"/>
      <c r="C49" s="506"/>
      <c r="D49" s="506"/>
      <c r="E49" s="507"/>
      <c r="F49" s="508"/>
      <c r="G49" s="508"/>
      <c r="H49" s="509" t="s">
        <v>414</v>
      </c>
      <c r="K49" s="509"/>
    </row>
  </sheetData>
  <mergeCells count="115">
    <mergeCell ref="J18:K18"/>
    <mergeCell ref="J19:K19"/>
    <mergeCell ref="J11:K11"/>
    <mergeCell ref="J12:K12"/>
    <mergeCell ref="J13:K13"/>
    <mergeCell ref="J14:K14"/>
    <mergeCell ref="J15:K15"/>
    <mergeCell ref="J16:K16"/>
    <mergeCell ref="J17:K17"/>
    <mergeCell ref="J22:K22"/>
    <mergeCell ref="J23:K23"/>
    <mergeCell ref="J24:K24"/>
    <mergeCell ref="J25:K25"/>
    <mergeCell ref="J26:K26"/>
    <mergeCell ref="J27:K27"/>
    <mergeCell ref="J28:K28"/>
    <mergeCell ref="A21:D21"/>
    <mergeCell ref="E21:F21"/>
    <mergeCell ref="J21:K21"/>
    <mergeCell ref="A22:D22"/>
    <mergeCell ref="E22:F22"/>
    <mergeCell ref="A23:D23"/>
    <mergeCell ref="E23:F23"/>
    <mergeCell ref="A24:D24"/>
    <mergeCell ref="E24:F24"/>
    <mergeCell ref="A25:D25"/>
    <mergeCell ref="E25:F25"/>
    <mergeCell ref="A26:D26"/>
    <mergeCell ref="E26:F26"/>
    <mergeCell ref="E27:F27"/>
    <mergeCell ref="A27:D27"/>
    <mergeCell ref="A28:D28"/>
    <mergeCell ref="E28:F28"/>
    <mergeCell ref="C29:K29"/>
    <mergeCell ref="A30:K30"/>
    <mergeCell ref="A31:K31"/>
    <mergeCell ref="A32:K32"/>
    <mergeCell ref="J40:K40"/>
    <mergeCell ref="J41:K41"/>
    <mergeCell ref="J42:K42"/>
    <mergeCell ref="J43:K43"/>
    <mergeCell ref="J44:K44"/>
    <mergeCell ref="J45:K45"/>
    <mergeCell ref="J46:K46"/>
    <mergeCell ref="A33:K33"/>
    <mergeCell ref="A34:K34"/>
    <mergeCell ref="A35:K35"/>
    <mergeCell ref="A36:K36"/>
    <mergeCell ref="A37:K37"/>
    <mergeCell ref="A38:K38"/>
    <mergeCell ref="C39:K39"/>
    <mergeCell ref="A46:B46"/>
    <mergeCell ref="C46:E46"/>
    <mergeCell ref="C47:F47"/>
    <mergeCell ref="H47:J47"/>
    <mergeCell ref="C48:D48"/>
    <mergeCell ref="H48:I48"/>
    <mergeCell ref="J48:K48"/>
    <mergeCell ref="H49:J49"/>
    <mergeCell ref="A39:B39"/>
    <mergeCell ref="C40:D40"/>
    <mergeCell ref="C41:D41"/>
    <mergeCell ref="C42:D42"/>
    <mergeCell ref="C43:D43"/>
    <mergeCell ref="C44:D44"/>
    <mergeCell ref="C45:D45"/>
    <mergeCell ref="A1:B1"/>
    <mergeCell ref="E1:H1"/>
    <mergeCell ref="I1:K1"/>
    <mergeCell ref="A2:D2"/>
    <mergeCell ref="E2:H2"/>
    <mergeCell ref="A3:D3"/>
    <mergeCell ref="A4:D4"/>
    <mergeCell ref="C8:F8"/>
    <mergeCell ref="C9:H9"/>
    <mergeCell ref="E10:F10"/>
    <mergeCell ref="E11:F11"/>
    <mergeCell ref="E12:F12"/>
    <mergeCell ref="E13:F13"/>
    <mergeCell ref="E14:F14"/>
    <mergeCell ref="A5:C5"/>
    <mergeCell ref="D5:G5"/>
    <mergeCell ref="A6:B6"/>
    <mergeCell ref="C6:H6"/>
    <mergeCell ref="C7:F7"/>
    <mergeCell ref="G7:H8"/>
    <mergeCell ref="I7:I8"/>
    <mergeCell ref="I2:K3"/>
    <mergeCell ref="J4:K4"/>
    <mergeCell ref="I5:I6"/>
    <mergeCell ref="J5:K6"/>
    <mergeCell ref="J7:K7"/>
    <mergeCell ref="J8:K8"/>
    <mergeCell ref="I9:K10"/>
    <mergeCell ref="A7:B7"/>
    <mergeCell ref="A8:B8"/>
    <mergeCell ref="A9:B9"/>
    <mergeCell ref="A10:D10"/>
    <mergeCell ref="A11:D11"/>
    <mergeCell ref="A12:D12"/>
    <mergeCell ref="A13:D13"/>
    <mergeCell ref="A14:D14"/>
    <mergeCell ref="A15:D15"/>
    <mergeCell ref="E15:F15"/>
    <mergeCell ref="A16:D16"/>
    <mergeCell ref="E16:F16"/>
    <mergeCell ref="A17:D17"/>
    <mergeCell ref="E17:F17"/>
    <mergeCell ref="A18:D18"/>
    <mergeCell ref="E18:F18"/>
    <mergeCell ref="A19:D19"/>
    <mergeCell ref="E19:F19"/>
    <mergeCell ref="A20:D20"/>
    <mergeCell ref="E20:F20"/>
    <mergeCell ref="J20:K20"/>
  </mergeCells>
  <conditionalFormatting sqref="E11:F28">
    <cfRule type="containsText" dxfId="6" priority="1" operator="containsText" text="Assigned">
      <formula>NOT(ISERROR(SEARCH(("Assigned"),(E11))))</formula>
    </cfRule>
  </conditionalFormatting>
  <conditionalFormatting sqref="E11:F28 H11:K28">
    <cfRule type="expression" dxfId="7" priority="2">
      <formula> AND($I11 &lt;&gt; Concatenate($F$4,"-",$H$4) ,NOT((isformula(E11))))</formula>
    </cfRule>
  </conditionalFormatting>
  <conditionalFormatting sqref="E11:F28 H11:K28">
    <cfRule type="expression" dxfId="8" priority="3">
      <formula> $I11 &lt;&gt; Concatenate($F$4,"-",$H$4)</formula>
    </cfRule>
  </conditionalFormatting>
  <conditionalFormatting sqref="E11:F28 H11:K28">
    <cfRule type="expression" dxfId="9" priority="4">
      <formula> NOT((isformula(E11)))</formula>
    </cfRule>
  </conditionalFormatting>
  <conditionalFormatting sqref="A11:D28">
    <cfRule type="expression" dxfId="8" priority="5">
      <formula> $I11 &lt;&gt; Concatenate($F$4,"-",$H$4)</formula>
    </cfRule>
  </conditionalFormatting>
  <dataValidations>
    <dataValidation type="list" allowBlank="1" sqref="A11:A28">
      <formula1>ResourceID!$B$2:$B49</formula1>
    </dataValidation>
    <dataValidation type="list" allowBlank="1" sqref="A30:A33">
      <formula1>WorkAssignments</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sheetViews>
  <sheetFormatPr customHeight="1" defaultColWidth="12.63" defaultRowHeight="15.75"/>
  <cols>
    <col customWidth="1" min="1" max="1" width="16.63"/>
    <col customWidth="1" min="2" max="2" width="10.13"/>
    <col customWidth="1" min="3" max="3" width="4.88"/>
    <col customWidth="1" min="4" max="4" width="4.63"/>
    <col customWidth="1" min="5" max="5" width="9.38"/>
    <col customWidth="1" min="6" max="6" width="9.63"/>
    <col customWidth="1" min="7" max="7" width="9.38"/>
    <col customWidth="1" min="8" max="8" width="10.25"/>
    <col customWidth="1" min="9" max="9" width="10.63"/>
    <col customWidth="1" min="10" max="10" width="10.38"/>
    <col customWidth="1" min="11" max="11" width="5.5"/>
  </cols>
  <sheetData>
    <row r="1" ht="13.5" customHeight="1">
      <c r="A1" s="417" t="s">
        <v>412</v>
      </c>
      <c r="B1" s="77"/>
      <c r="C1" s="419" t="s">
        <v>440</v>
      </c>
      <c r="D1" s="77"/>
      <c r="E1" s="77"/>
      <c r="F1" s="77"/>
      <c r="G1" s="77"/>
      <c r="H1" s="77"/>
      <c r="I1" s="510" t="s">
        <v>414</v>
      </c>
    </row>
    <row r="2" ht="13.5" customHeight="1">
      <c r="A2" s="511" t="s">
        <v>282</v>
      </c>
      <c r="B2" s="74"/>
      <c r="C2" s="74"/>
      <c r="D2" s="45"/>
      <c r="E2" s="511" t="s">
        <v>283</v>
      </c>
      <c r="F2" s="74"/>
      <c r="G2" s="74"/>
      <c r="H2" s="45"/>
      <c r="I2" s="512" t="s">
        <v>441</v>
      </c>
      <c r="J2" s="513" t="s">
        <v>442</v>
      </c>
      <c r="K2" s="86"/>
    </row>
    <row r="3" ht="13.5" customHeight="1">
      <c r="A3" s="514" t="str">
        <f>IncName</f>
        <v>NO NAME</v>
      </c>
      <c r="D3" s="94"/>
      <c r="E3" s="423" t="s">
        <v>284</v>
      </c>
      <c r="F3" s="424">
        <f>OpDate</f>
        <v>43893</v>
      </c>
      <c r="G3" s="425" t="s">
        <v>130</v>
      </c>
      <c r="H3" s="426">
        <f>OpDateTo</f>
        <v>43894</v>
      </c>
      <c r="I3" s="515" t="str">
        <f>'203'!E9</f>
        <v>I</v>
      </c>
      <c r="J3" s="516" t="str">
        <f>'203'!E10</f>
        <v>A - FEMA</v>
      </c>
      <c r="K3" s="517"/>
    </row>
    <row r="4" ht="13.5" customHeight="1">
      <c r="A4" s="166"/>
      <c r="D4" s="94"/>
      <c r="E4" s="423" t="s">
        <v>131</v>
      </c>
      <c r="F4" s="428" t="str">
        <f>OpStart</f>
        <v>0700</v>
      </c>
      <c r="G4" s="429" t="s">
        <v>133</v>
      </c>
      <c r="H4" s="430" t="str">
        <f>OpEnd</f>
        <v>0700</v>
      </c>
      <c r="I4" s="107"/>
      <c r="K4" s="108"/>
    </row>
    <row r="5" ht="13.5" customHeight="1">
      <c r="A5" s="518" t="s">
        <v>417</v>
      </c>
      <c r="B5" s="74"/>
      <c r="C5" s="74"/>
      <c r="D5" s="74"/>
      <c r="E5" s="74"/>
      <c r="F5" s="74"/>
      <c r="G5" s="74"/>
      <c r="H5" s="74"/>
      <c r="I5" s="519" t="s">
        <v>422</v>
      </c>
      <c r="J5" s="520" t="str">
        <f>if(LEN(J3) = 3,IFERROR(vlookup(Left(J3,1),PhonicAlphabet!A:B,2,FALSE)) &amp; "/" &amp; IFERROR(vlookup(MID(J3,3,1),PhonicAlphabet!A:B,2,FALSE)),IFERROR(vlookup(J3,PhonicAlphabet!A:B,2,FALSE), ""))</f>
        <v/>
      </c>
      <c r="K5" s="115"/>
    </row>
    <row r="6" ht="13.5" customHeight="1">
      <c r="A6" s="521" t="s">
        <v>419</v>
      </c>
      <c r="B6" s="522" t="str">
        <f>'203'!E5</f>
        <v/>
      </c>
      <c r="C6" s="523"/>
      <c r="D6" s="523"/>
      <c r="E6" s="523"/>
      <c r="F6" s="523"/>
      <c r="G6" s="524" t="s">
        <v>443</v>
      </c>
      <c r="H6" s="525" t="str">
        <f>'203'!E7</f>
        <v/>
      </c>
      <c r="I6" s="523"/>
      <c r="J6" s="523"/>
      <c r="K6" s="526"/>
    </row>
    <row r="7" ht="13.5" customHeight="1">
      <c r="A7" s="527" t="s">
        <v>420</v>
      </c>
      <c r="B7" s="528"/>
      <c r="C7" s="529"/>
      <c r="D7" s="529"/>
      <c r="E7" s="529"/>
      <c r="F7" s="529"/>
      <c r="G7" s="530" t="s">
        <v>444</v>
      </c>
      <c r="H7" s="531" t="str">
        <f> IFerror(vlookup(I3,SafetyOfficers,2,False),"")</f>
        <v/>
      </c>
      <c r="I7" s="529"/>
      <c r="J7" s="529"/>
      <c r="K7" s="532"/>
    </row>
    <row r="8" ht="13.5" customHeight="1">
      <c r="A8" s="533" t="s">
        <v>421</v>
      </c>
      <c r="B8" s="534" t="str">
        <f>'203'!F19</f>
        <v/>
      </c>
      <c r="C8" s="535"/>
      <c r="D8" s="535"/>
      <c r="E8" s="535"/>
      <c r="F8" s="535"/>
      <c r="G8" s="536" t="s">
        <v>445</v>
      </c>
      <c r="H8" s="537" t="str">
        <f>'203'!F41</f>
        <v/>
      </c>
      <c r="I8" s="535"/>
      <c r="J8" s="535"/>
      <c r="K8" s="538"/>
    </row>
    <row r="9" ht="13.5" customHeight="1">
      <c r="A9" s="518" t="s">
        <v>446</v>
      </c>
      <c r="B9" s="74"/>
      <c r="C9" s="539" t="str">
        <f>'101 General Info'!D39</f>
        <v>** Resources Below in Bold are 12 Hour **</v>
      </c>
      <c r="D9" s="74"/>
      <c r="E9" s="74"/>
      <c r="F9" s="74"/>
      <c r="G9" s="74"/>
      <c r="H9" s="45"/>
      <c r="I9" s="540"/>
      <c r="J9" s="74"/>
      <c r="K9" s="45"/>
    </row>
    <row r="10" ht="13.5" customHeight="1">
      <c r="A10" s="377" t="s">
        <v>425</v>
      </c>
      <c r="B10" s="77"/>
      <c r="C10" s="541" t="str">
        <f>SuppField1</f>
        <v>ALS</v>
      </c>
      <c r="D10" s="541" t="str">
        <f>'101 General Info'!G38</f>
        <v>LWD</v>
      </c>
      <c r="E10" s="447" t="s">
        <v>426</v>
      </c>
      <c r="F10" s="55"/>
      <c r="G10" s="448" t="s">
        <v>427</v>
      </c>
      <c r="H10" s="462" t="s">
        <v>428</v>
      </c>
      <c r="I10" s="542" t="s">
        <v>447</v>
      </c>
      <c r="J10" s="318" t="s">
        <v>448</v>
      </c>
      <c r="K10" s="543"/>
    </row>
    <row r="11" ht="13.5" customHeight="1">
      <c r="A11" s="355" t="str">
        <f>IF(_xlfn.isformula(H11), "", VLOOKUP(H11,Indirect(ResDataAll),2,False))</f>
        <v/>
      </c>
      <c r="B11" s="74"/>
      <c r="C11" s="462" t="str">
        <f> IFERROR(vlookup(A11,Indirect(ResData),5, FALSE), "")</f>
        <v/>
      </c>
      <c r="D11" s="544" t="str">
        <f> IFERROR(vlookup(A11,Indirect(ResData),6, FALSE), "")</f>
        <v/>
      </c>
      <c r="E11" s="450" t="str">
        <f> IFERROR(vlookup(A11,Indirect(ResData),2, FALSE), "")</f>
        <v/>
      </c>
      <c r="F11" s="74"/>
      <c r="G11" s="451" t="str">
        <f> IFERROR(vlookup(A11,Indirect(ResData),3, FALSE), "")</f>
        <v/>
      </c>
      <c r="H11" s="414" t="str">
        <f t="array" ref="H11"> IFERROR(vlookup(A11,{Indirect(ResID),Indirect(ResDataAll)},2, FALSE), "")</f>
        <v/>
      </c>
      <c r="I11" s="452" t="str">
        <f> IFERROR(vlookup(A11,Indirect(ResData),4, FALSE), "")</f>
        <v/>
      </c>
      <c r="J11" s="453"/>
      <c r="K11" s="45"/>
    </row>
    <row r="12" ht="13.5" customHeight="1">
      <c r="A12" s="355" t="str">
        <f>IF(_xlfn.isformula(H12), "", VLOOKUP(H12,Indirect(ResDataAll),2,False))</f>
        <v/>
      </c>
      <c r="B12" s="74"/>
      <c r="C12" s="462" t="str">
        <f> IFERROR(vlookup(A12,Indirect(ResData),5, FALSE), "")</f>
        <v/>
      </c>
      <c r="D12" s="544" t="str">
        <f> IFERROR(vlookup(A12,Indirect(ResData),6, FALSE), "")</f>
        <v/>
      </c>
      <c r="E12" s="450" t="str">
        <f> IFERROR(vlookup(A12,Indirect(ResData),2, FALSE), "")</f>
        <v/>
      </c>
      <c r="F12" s="74"/>
      <c r="G12" s="451" t="str">
        <f> IFERROR(vlookup(A12,Indirect(ResData),3, FALSE), "")</f>
        <v/>
      </c>
      <c r="H12" s="414" t="str">
        <f t="array" ref="H12"> IFERROR(vlookup(A12,{Indirect(ResID),Indirect(ResDataAll)},2, FALSE), "")</f>
        <v/>
      </c>
      <c r="I12" s="452" t="str">
        <f> IFERROR(vlookup(A12,Indirect(ResData),4, FALSE), "")</f>
        <v/>
      </c>
      <c r="J12" s="454" t="str">
        <f t="shared" ref="J12:J28" si="1"> IF(A12 = "","",J11)</f>
        <v/>
      </c>
      <c r="K12" s="45"/>
    </row>
    <row r="13" ht="13.5" customHeight="1">
      <c r="A13" s="355" t="str">
        <f>IF(_xlfn.isformula(H13), "", VLOOKUP(H13,Indirect(ResDataAll),2,False))</f>
        <v/>
      </c>
      <c r="B13" s="74"/>
      <c r="C13" s="462" t="str">
        <f> IFERROR(vlookup(A13,Indirect(ResData),5, FALSE), "")</f>
        <v/>
      </c>
      <c r="D13" s="544" t="str">
        <f> IFERROR(vlookup(A13,Indirect(ResData),6, FALSE), "")</f>
        <v/>
      </c>
      <c r="E13" s="450" t="str">
        <f> IFERROR(vlookup(A13,Indirect(ResData),2, FALSE), "")</f>
        <v/>
      </c>
      <c r="F13" s="74"/>
      <c r="G13" s="451" t="str">
        <f> IFERROR(vlookup(A13,Indirect(ResData),3, FALSE), "")</f>
        <v/>
      </c>
      <c r="H13" s="414" t="str">
        <f t="array" ref="H13"> IFERROR(vlookup(A13,{Indirect(ResID),Indirect(ResDataAll)},2, FALSE), "")</f>
        <v/>
      </c>
      <c r="I13" s="452" t="str">
        <f> IFERROR(vlookup(A13,Indirect(ResData),4, FALSE), "")</f>
        <v/>
      </c>
      <c r="J13" s="454" t="str">
        <f t="shared" si="1"/>
        <v/>
      </c>
      <c r="K13" s="45"/>
    </row>
    <row r="14" ht="13.5" customHeight="1">
      <c r="A14" s="355" t="str">
        <f>IF(_xlfn.isformula(H14), "", VLOOKUP(H14,Indirect(ResDataAll),2,False))</f>
        <v/>
      </c>
      <c r="B14" s="74"/>
      <c r="C14" s="462" t="str">
        <f> IFERROR(vlookup(A14,Indirect(ResData),5, FALSE), "")</f>
        <v/>
      </c>
      <c r="D14" s="544" t="str">
        <f> IFERROR(vlookup(A14,Indirect(ResData),6, FALSE), "")</f>
        <v/>
      </c>
      <c r="E14" s="450" t="str">
        <f> IFERROR(vlookup(A14,Indirect(ResData),2, FALSE), "")</f>
        <v/>
      </c>
      <c r="F14" s="74"/>
      <c r="G14" s="451" t="str">
        <f> IFERROR(vlookup(A14,Indirect(ResData),3, FALSE), "")</f>
        <v/>
      </c>
      <c r="H14" s="414" t="str">
        <f t="array" ref="H14"> IFERROR(vlookup(A14,{Indirect(ResID),Indirect(ResDataAll)},2, FALSE), "")</f>
        <v/>
      </c>
      <c r="I14" s="452" t="str">
        <f> IFERROR(vlookup(A14,Indirect(ResData),4, FALSE), "")</f>
        <v/>
      </c>
      <c r="J14" s="454" t="str">
        <f t="shared" si="1"/>
        <v/>
      </c>
      <c r="K14" s="45"/>
    </row>
    <row r="15" ht="13.5" customHeight="1">
      <c r="A15" s="355" t="str">
        <f>IF(_xlfn.isformula(H15), "", VLOOKUP(H15,Indirect(ResDataAll),2,False))</f>
        <v/>
      </c>
      <c r="B15" s="74"/>
      <c r="C15" s="462" t="str">
        <f> IFERROR(vlookup(A15,Indirect(ResData),5, FALSE), "")</f>
        <v/>
      </c>
      <c r="D15" s="544" t="str">
        <f> IFERROR(vlookup(A15,Indirect(ResData),6, FALSE), "")</f>
        <v/>
      </c>
      <c r="E15" s="450" t="str">
        <f> IFERROR(vlookup(A15,Indirect(ResData),2, FALSE), "")</f>
        <v/>
      </c>
      <c r="F15" s="74"/>
      <c r="G15" s="451" t="str">
        <f> IFERROR(vlookup(A15,Indirect(ResData),3, FALSE), "")</f>
        <v/>
      </c>
      <c r="H15" s="414" t="str">
        <f t="array" ref="H15"> IFERROR(vlookup(A15,{Indirect(ResID),Indirect(ResDataAll)},2, FALSE), "")</f>
        <v/>
      </c>
      <c r="I15" s="452" t="str">
        <f> IFERROR(vlookup(A15,Indirect(ResData),4, FALSE), "")</f>
        <v/>
      </c>
      <c r="J15" s="454" t="str">
        <f t="shared" si="1"/>
        <v/>
      </c>
      <c r="K15" s="45"/>
    </row>
    <row r="16" ht="13.5" customHeight="1">
      <c r="A16" s="355" t="str">
        <f>IF(_xlfn.isformula(H16), "", VLOOKUP(H16,Indirect(ResDataAll),2,False))</f>
        <v/>
      </c>
      <c r="B16" s="74"/>
      <c r="C16" s="462" t="str">
        <f> IFERROR(vlookup(A16,Indirect(ResData),5, FALSE), "")</f>
        <v/>
      </c>
      <c r="D16" s="544" t="str">
        <f> IFERROR(vlookup(A16,Indirect(ResData),6, FALSE), "")</f>
        <v/>
      </c>
      <c r="E16" s="450" t="str">
        <f> IFERROR(vlookup(A16,Indirect(ResData),2, FALSE), "")</f>
        <v/>
      </c>
      <c r="F16" s="74"/>
      <c r="G16" s="451" t="str">
        <f> IFERROR(vlookup(A16,Indirect(ResData),3, FALSE), "")</f>
        <v/>
      </c>
      <c r="H16" s="414" t="str">
        <f t="array" ref="H16"> IFERROR(vlookup(A16,{Indirect(ResID),Indirect(ResDataAll)},2, FALSE), "")</f>
        <v/>
      </c>
      <c r="I16" s="452" t="str">
        <f> IFERROR(vlookup(A16,Indirect(ResData),4, FALSE), "")</f>
        <v/>
      </c>
      <c r="J16" s="454" t="str">
        <f t="shared" si="1"/>
        <v/>
      </c>
      <c r="K16" s="45"/>
    </row>
    <row r="17" ht="13.5" customHeight="1">
      <c r="A17" s="355" t="str">
        <f>IF(_xlfn.isformula(H17), "", VLOOKUP(H17,Indirect(ResDataAll),2,False))</f>
        <v/>
      </c>
      <c r="B17" s="74"/>
      <c r="C17" s="462" t="str">
        <f> IFERROR(vlookup(A17,Indirect(ResData),5, FALSE), "")</f>
        <v/>
      </c>
      <c r="D17" s="544" t="str">
        <f> IFERROR(vlookup(A17,Indirect(ResData),6, FALSE), "")</f>
        <v/>
      </c>
      <c r="E17" s="450" t="str">
        <f> IFERROR(vlookup(A17,Indirect(ResData),2, FALSE), "")</f>
        <v/>
      </c>
      <c r="F17" s="74"/>
      <c r="G17" s="451" t="str">
        <f> IFERROR(vlookup(A17,Indirect(ResData),3, FALSE), "")</f>
        <v/>
      </c>
      <c r="H17" s="414" t="str">
        <f t="array" ref="H17"> IFERROR(vlookup(A17,{Indirect(ResID),Indirect(ResDataAll)},2, FALSE), "")</f>
        <v/>
      </c>
      <c r="I17" s="452" t="str">
        <f> IFERROR(vlookup(A17,Indirect(ResData),4, FALSE), "")</f>
        <v/>
      </c>
      <c r="J17" s="454" t="str">
        <f t="shared" si="1"/>
        <v/>
      </c>
      <c r="K17" s="45"/>
    </row>
    <row r="18" ht="13.5" customHeight="1">
      <c r="A18" s="355" t="str">
        <f>IF(_xlfn.isformula(H18), "", VLOOKUP(H18,Indirect(ResDataAll),2,False))</f>
        <v/>
      </c>
      <c r="B18" s="74"/>
      <c r="C18" s="462" t="str">
        <f> IFERROR(vlookup(A18,Indirect(ResData),5, FALSE), "")</f>
        <v/>
      </c>
      <c r="D18" s="544" t="str">
        <f> IFERROR(vlookup(A18,Indirect(ResData),6, FALSE), "")</f>
        <v/>
      </c>
      <c r="E18" s="450" t="str">
        <f> IFERROR(vlookup(A18,Indirect(ResData),2, FALSE), "")</f>
        <v/>
      </c>
      <c r="F18" s="74"/>
      <c r="G18" s="451" t="str">
        <f> IFERROR(vlookup(A18,Indirect(ResData),3, FALSE), "")</f>
        <v/>
      </c>
      <c r="H18" s="414" t="str">
        <f t="array" ref="H18"> IFERROR(vlookup(A18,{Indirect(ResID),Indirect(ResDataAll)},2, FALSE), "")</f>
        <v/>
      </c>
      <c r="I18" s="452" t="str">
        <f> IFERROR(vlookup(A18,Indirect(ResData),4, FALSE), "")</f>
        <v/>
      </c>
      <c r="J18" s="454" t="str">
        <f t="shared" si="1"/>
        <v/>
      </c>
      <c r="K18" s="45"/>
    </row>
    <row r="19" ht="13.5" customHeight="1">
      <c r="A19" s="355" t="str">
        <f>IF(_xlfn.isformula(H19), "", VLOOKUP(H19,Indirect(ResDataAll),2,False))</f>
        <v/>
      </c>
      <c r="B19" s="74"/>
      <c r="C19" s="462" t="str">
        <f> IFERROR(vlookup(A19,Indirect(ResData),5, FALSE), "")</f>
        <v/>
      </c>
      <c r="D19" s="544" t="str">
        <f> IFERROR(vlookup(A19,Indirect(ResData),6, FALSE), "")</f>
        <v/>
      </c>
      <c r="E19" s="450" t="str">
        <f> IFERROR(vlookup(A19,Indirect(ResData),2, FALSE), "")</f>
        <v/>
      </c>
      <c r="F19" s="74"/>
      <c r="G19" s="451" t="str">
        <f> IFERROR(vlookup(A19,Indirect(ResData),3, FALSE), "")</f>
        <v/>
      </c>
      <c r="H19" s="414" t="str">
        <f t="array" ref="H19"> IFERROR(vlookup(A19,{Indirect(ResID),Indirect(ResDataAll)},2, FALSE), "")</f>
        <v/>
      </c>
      <c r="I19" s="452" t="str">
        <f> IFERROR(vlookup(A19,Indirect(ResData),4, FALSE), "")</f>
        <v/>
      </c>
      <c r="J19" s="454" t="str">
        <f t="shared" si="1"/>
        <v/>
      </c>
      <c r="K19" s="45"/>
    </row>
    <row r="20" ht="13.5" customHeight="1">
      <c r="A20" s="355" t="str">
        <f>IF(_xlfn.isformula(H20), "", VLOOKUP(H20,Indirect(ResDataAll),2,False))</f>
        <v/>
      </c>
      <c r="B20" s="74"/>
      <c r="C20" s="462" t="str">
        <f> IFERROR(vlookup(A20,Indirect(ResData),5, FALSE), "")</f>
        <v/>
      </c>
      <c r="D20" s="544" t="str">
        <f> IFERROR(vlookup(A20,Indirect(ResData),6, FALSE), "")</f>
        <v/>
      </c>
      <c r="E20" s="450" t="str">
        <f> IFERROR(vlookup(A20,Indirect(ResData),2, FALSE), "")</f>
        <v/>
      </c>
      <c r="F20" s="74"/>
      <c r="G20" s="451" t="str">
        <f> IFERROR(vlookup(A20,Indirect(ResData),3, FALSE), "")</f>
        <v/>
      </c>
      <c r="H20" s="414" t="str">
        <f t="array" ref="H20"> IFERROR(vlookup(A20,{Indirect(ResID),Indirect(ResDataAll)},2, FALSE), "")</f>
        <v/>
      </c>
      <c r="I20" s="452" t="str">
        <f> IFERROR(vlookup(A20,Indirect(ResData),4, FALSE), "")</f>
        <v/>
      </c>
      <c r="J20" s="454" t="str">
        <f t="shared" si="1"/>
        <v/>
      </c>
      <c r="K20" s="45"/>
    </row>
    <row r="21" ht="13.5" customHeight="1">
      <c r="A21" s="355" t="str">
        <f>IF(_xlfn.isformula(H21), "", VLOOKUP(H21,Indirect(ResDataAll),2,False))</f>
        <v/>
      </c>
      <c r="B21" s="74"/>
      <c r="C21" s="462" t="str">
        <f> IFERROR(vlookup(A21,Indirect(ResData),5, FALSE), "")</f>
        <v/>
      </c>
      <c r="D21" s="544" t="str">
        <f> IFERROR(vlookup(A21,Indirect(ResData),6, FALSE), "")</f>
        <v/>
      </c>
      <c r="E21" s="450" t="str">
        <f> IFERROR(vlookup(A21,Indirect(ResData),2, FALSE), "")</f>
        <v/>
      </c>
      <c r="F21" s="74"/>
      <c r="G21" s="451" t="str">
        <f> IFERROR(vlookup(A21,Indirect(ResData),3, FALSE), "")</f>
        <v/>
      </c>
      <c r="H21" s="414" t="str">
        <f t="array" ref="H21"> IFERROR(vlookup(A21,{Indirect(ResID),Indirect(ResDataAll)},2, FALSE), "")</f>
        <v/>
      </c>
      <c r="I21" s="452" t="str">
        <f> IFERROR(vlookup(A21,Indirect(ResData),4, FALSE), "")</f>
        <v/>
      </c>
      <c r="J21" s="454" t="str">
        <f t="shared" si="1"/>
        <v/>
      </c>
      <c r="K21" s="45"/>
    </row>
    <row r="22" ht="13.5" customHeight="1">
      <c r="A22" s="355" t="str">
        <f>IF(_xlfn.isformula(H22), "", VLOOKUP(H22,Indirect(ResDataAll),2,False))</f>
        <v/>
      </c>
      <c r="B22" s="74"/>
      <c r="C22" s="462" t="str">
        <f> IFERROR(vlookup(A22,Indirect(ResData),5, FALSE), "")</f>
        <v/>
      </c>
      <c r="D22" s="544" t="str">
        <f> IFERROR(vlookup(A22,Indirect(ResData),6, FALSE), "")</f>
        <v/>
      </c>
      <c r="E22" s="450" t="str">
        <f> IFERROR(vlookup(A22,Indirect(ResData),2, FALSE), "")</f>
        <v/>
      </c>
      <c r="F22" s="74"/>
      <c r="G22" s="451" t="str">
        <f> IFERROR(vlookup(A22,Indirect(ResData),3, FALSE), "")</f>
        <v/>
      </c>
      <c r="H22" s="414" t="str">
        <f t="array" ref="H22"> IFERROR(vlookup(A22,{Indirect(ResID),Indirect(ResDataAll)},2, FALSE), "")</f>
        <v/>
      </c>
      <c r="I22" s="452" t="str">
        <f> IFERROR(vlookup(A22,Indirect(ResData),4, FALSE), "")</f>
        <v/>
      </c>
      <c r="J22" s="454" t="str">
        <f t="shared" si="1"/>
        <v/>
      </c>
      <c r="K22" s="45"/>
    </row>
    <row r="23" ht="13.5" customHeight="1">
      <c r="A23" s="355" t="str">
        <f>IF(_xlfn.isformula(H23), "", VLOOKUP(H23,Indirect(ResDataAll),2,False))</f>
        <v/>
      </c>
      <c r="B23" s="74"/>
      <c r="C23" s="462" t="str">
        <f> IFERROR(vlookup(A23,Indirect(ResData),5, FALSE), "")</f>
        <v/>
      </c>
      <c r="D23" s="544" t="str">
        <f> IFERROR(vlookup(A23,Indirect(ResData),6, FALSE), "")</f>
        <v/>
      </c>
      <c r="E23" s="450" t="str">
        <f> IFERROR(vlookup(A23,Indirect(ResData),2, FALSE), "")</f>
        <v/>
      </c>
      <c r="F23" s="74"/>
      <c r="G23" s="451" t="str">
        <f> IFERROR(vlookup(A23,Indirect(ResData),3, FALSE), "")</f>
        <v/>
      </c>
      <c r="H23" s="414" t="str">
        <f t="array" ref="H23"> IFERROR(vlookup(A23,{Indirect(ResID),Indirect(ResDataAll)},2, FALSE), "")</f>
        <v/>
      </c>
      <c r="I23" s="452" t="str">
        <f> IFERROR(vlookup(A23,Indirect(ResData),4, FALSE), "")</f>
        <v/>
      </c>
      <c r="J23" s="454" t="str">
        <f t="shared" si="1"/>
        <v/>
      </c>
      <c r="K23" s="45"/>
    </row>
    <row r="24" ht="13.5" customHeight="1">
      <c r="A24" s="355" t="str">
        <f>IF(_xlfn.isformula(H24), "", VLOOKUP(H24,Indirect(ResDataAll),2,False))</f>
        <v/>
      </c>
      <c r="B24" s="74"/>
      <c r="C24" s="462" t="str">
        <f> IFERROR(vlookup(A24,Indirect(ResData),5, FALSE), "")</f>
        <v/>
      </c>
      <c r="D24" s="544" t="str">
        <f> IFERROR(vlookup(A24,Indirect(ResData),6, FALSE), "")</f>
        <v/>
      </c>
      <c r="E24" s="450" t="str">
        <f> IFERROR(vlookup(A24,Indirect(ResData),2, FALSE), "")</f>
        <v/>
      </c>
      <c r="F24" s="74"/>
      <c r="G24" s="451" t="str">
        <f> IFERROR(vlookup(A24,Indirect(ResData),3, FALSE), "")</f>
        <v/>
      </c>
      <c r="H24" s="414" t="str">
        <f t="array" ref="H24"> IFERROR(vlookup(A24,{Indirect(ResID),Indirect(ResDataAll)},2, FALSE), "")</f>
        <v/>
      </c>
      <c r="I24" s="452" t="str">
        <f> IFERROR(vlookup(A24,Indirect(ResData),4, FALSE), "")</f>
        <v/>
      </c>
      <c r="J24" s="454" t="str">
        <f t="shared" si="1"/>
        <v/>
      </c>
      <c r="K24" s="45"/>
    </row>
    <row r="25" ht="13.5" customHeight="1">
      <c r="A25" s="355" t="str">
        <f>IF(_xlfn.isformula(H25), "", VLOOKUP(H25,Indirect(ResDataAll),2,False))</f>
        <v/>
      </c>
      <c r="B25" s="74"/>
      <c r="C25" s="462" t="str">
        <f> IFERROR(vlookup(A25,Indirect(ResData),5, FALSE), "")</f>
        <v/>
      </c>
      <c r="D25" s="544" t="str">
        <f> IFERROR(vlookup(A25,Indirect(ResData),6, FALSE), "")</f>
        <v/>
      </c>
      <c r="E25" s="450" t="str">
        <f> IFERROR(vlookup(A25,Indirect(ResData),2, FALSE), "")</f>
        <v/>
      </c>
      <c r="F25" s="74"/>
      <c r="G25" s="451" t="str">
        <f> IFERROR(vlookup(A25,Indirect(ResData),3, FALSE), "")</f>
        <v/>
      </c>
      <c r="H25" s="414" t="str">
        <f t="array" ref="H25"> IFERROR(vlookup(A25,{Indirect(ResID),Indirect(ResDataAll)},2, FALSE), "")</f>
        <v/>
      </c>
      <c r="I25" s="452" t="str">
        <f> IFERROR(vlookup(A25,Indirect(ResData),4, FALSE), "")</f>
        <v/>
      </c>
      <c r="J25" s="454" t="str">
        <f t="shared" si="1"/>
        <v/>
      </c>
      <c r="K25" s="45"/>
    </row>
    <row r="26" ht="13.5" customHeight="1">
      <c r="A26" s="355" t="str">
        <f>IF(_xlfn.isformula(H26), "", VLOOKUP(H26,Indirect(ResDataAll),2,False))</f>
        <v/>
      </c>
      <c r="B26" s="74"/>
      <c r="C26" s="462" t="str">
        <f> IFERROR(vlookup(A26,Indirect(ResData),5, FALSE), "")</f>
        <v/>
      </c>
      <c r="D26" s="544" t="str">
        <f> IFERROR(vlookup(A26,Indirect(ResData),6, FALSE), "")</f>
        <v/>
      </c>
      <c r="E26" s="450" t="str">
        <f> IFERROR(vlookup(A26,Indirect(ResData),2, FALSE), "")</f>
        <v/>
      </c>
      <c r="F26" s="74"/>
      <c r="G26" s="451" t="str">
        <f> IFERROR(vlookup(A26,Indirect(ResData),3, FALSE), "")</f>
        <v/>
      </c>
      <c r="H26" s="414" t="str">
        <f t="array" ref="H26"> IFERROR(vlookup(A26,{Indirect(ResID),Indirect(ResDataAll)},2, FALSE), "")</f>
        <v/>
      </c>
      <c r="I26" s="452" t="str">
        <f> IFERROR(vlookup(A26,Indirect(ResData),4, FALSE), "")</f>
        <v/>
      </c>
      <c r="J26" s="454" t="str">
        <f t="shared" si="1"/>
        <v/>
      </c>
      <c r="K26" s="45"/>
    </row>
    <row r="27" ht="13.5" customHeight="1">
      <c r="A27" s="355" t="str">
        <f>IF(_xlfn.isformula(H27), "", VLOOKUP(H27,Indirect(ResDataAll),2,False))</f>
        <v/>
      </c>
      <c r="B27" s="74"/>
      <c r="C27" s="462" t="str">
        <f> IFERROR(vlookup(A27,Indirect(ResData),5, FALSE), "")</f>
        <v/>
      </c>
      <c r="D27" s="544" t="str">
        <f> IFERROR(vlookup(A27,Indirect(ResData),6, FALSE), "")</f>
        <v/>
      </c>
      <c r="E27" s="450" t="str">
        <f> IFERROR(vlookup(A27,Indirect(ResData),2, FALSE), "")</f>
        <v/>
      </c>
      <c r="F27" s="74"/>
      <c r="G27" s="451" t="str">
        <f> IFERROR(vlookup(A27,Indirect(ResData),3, FALSE), "")</f>
        <v/>
      </c>
      <c r="H27" s="414" t="str">
        <f t="array" ref="H27"> IFERROR(vlookup(A27,{Indirect(ResID),Indirect(ResDataAll)},2, FALSE), "")</f>
        <v/>
      </c>
      <c r="I27" s="452" t="str">
        <f> IFERROR(vlookup(A27,Indirect(ResData),4, FALSE), "")</f>
        <v/>
      </c>
      <c r="J27" s="454" t="str">
        <f t="shared" si="1"/>
        <v/>
      </c>
      <c r="K27" s="45"/>
    </row>
    <row r="28" ht="13.5" customHeight="1">
      <c r="A28" s="355" t="str">
        <f>IF(_xlfn.isformula(H28), "", VLOOKUP(H28,Indirect(ResDataAll),2,False))</f>
        <v/>
      </c>
      <c r="B28" s="74"/>
      <c r="C28" s="462" t="str">
        <f> IFERROR(vlookup(A28,Indirect(ResData),5, FALSE), "")</f>
        <v/>
      </c>
      <c r="D28" s="544" t="str">
        <f> IFERROR(vlookup(A28,Indirect(ResData),6, FALSE), "")</f>
        <v/>
      </c>
      <c r="E28" s="450" t="str">
        <f> IFERROR(vlookup(A28,Indirect(ResData),2, FALSE), "")</f>
        <v/>
      </c>
      <c r="F28" s="74"/>
      <c r="G28" s="451" t="str">
        <f> IFERROR(vlookup(A28,Indirect(ResData),3, FALSE), "")</f>
        <v/>
      </c>
      <c r="H28" s="414" t="str">
        <f t="array" ref="H28"> IFERROR(vlookup(A28,{Indirect(ResID),Indirect(ResDataAll)},2, FALSE), "")</f>
        <v/>
      </c>
      <c r="I28" s="452" t="str">
        <f> IFERROR(vlookup(A28,Indirect(ResData),4, FALSE), "")</f>
        <v/>
      </c>
      <c r="J28" s="454" t="str">
        <f t="shared" si="1"/>
        <v/>
      </c>
      <c r="K28" s="45"/>
    </row>
    <row r="29" ht="13.5" customHeight="1">
      <c r="A29" s="455" t="s">
        <v>429</v>
      </c>
      <c r="B29" s="456"/>
      <c r="C29" s="457" t="str">
        <f> if((COUNTIF(A11:A29,"&gt;*") + COUNTBLANK(A11:A29)) &gt; 19,"Adding rows has a negative effect on certain formulas. Maybe create another page?"," ")</f>
        <v> </v>
      </c>
      <c r="D29" s="165"/>
      <c r="E29" s="165"/>
      <c r="F29" s="165"/>
      <c r="G29" s="165"/>
      <c r="H29" s="165"/>
      <c r="I29" s="165"/>
      <c r="J29" s="165"/>
      <c r="K29" s="210"/>
    </row>
    <row r="30" ht="13.5" customHeight="1">
      <c r="A30" s="458"/>
      <c r="K30" s="94"/>
    </row>
    <row r="31" ht="13.5" customHeight="1">
      <c r="A31" s="458"/>
      <c r="K31" s="94"/>
    </row>
    <row r="32" ht="13.5" customHeight="1">
      <c r="A32" s="458"/>
      <c r="K32" s="94"/>
    </row>
    <row r="33" ht="13.5" customHeight="1">
      <c r="A33" s="458"/>
      <c r="K33" s="94"/>
    </row>
    <row r="34" ht="13.5" customHeight="1">
      <c r="A34" s="459" t="s">
        <v>430</v>
      </c>
      <c r="B34" s="165"/>
      <c r="C34" s="165"/>
      <c r="D34" s="165"/>
      <c r="E34" s="165"/>
      <c r="F34" s="165"/>
      <c r="G34" s="165"/>
      <c r="H34" s="165"/>
      <c r="I34" s="165"/>
      <c r="J34" s="165"/>
      <c r="K34" s="210"/>
    </row>
    <row r="35" ht="13.5" customHeight="1">
      <c r="A35" s="311"/>
      <c r="K35" s="94"/>
    </row>
    <row r="36" ht="13.5" customHeight="1">
      <c r="A36" s="311"/>
      <c r="K36" s="94"/>
    </row>
    <row r="37" ht="13.5" customHeight="1">
      <c r="A37" s="311"/>
      <c r="K37" s="94"/>
    </row>
    <row r="38" ht="13.5" customHeight="1">
      <c r="A38" s="314"/>
      <c r="B38" s="77"/>
      <c r="C38" s="77"/>
      <c r="D38" s="77"/>
      <c r="E38" s="77"/>
      <c r="F38" s="77"/>
      <c r="G38" s="77"/>
      <c r="H38" s="77"/>
      <c r="I38" s="77"/>
      <c r="J38" s="77"/>
      <c r="K38" s="55"/>
    </row>
    <row r="39" ht="13.5" customHeight="1">
      <c r="A39" s="545" t="s">
        <v>431</v>
      </c>
      <c r="K39" s="94"/>
    </row>
    <row r="40" ht="13.5" customHeight="1">
      <c r="A40" s="452" t="str">
        <f> "Name"</f>
        <v>Name</v>
      </c>
      <c r="B40" s="462" t="str">
        <f> "Ch"</f>
        <v>Ch</v>
      </c>
      <c r="C40" s="463" t="str">
        <f> "Function"</f>
        <v>Function</v>
      </c>
      <c r="D40" s="74"/>
      <c r="E40" s="462" t="str">
        <f> "Rx Freq"</f>
        <v>Rx Freq</v>
      </c>
      <c r="F40" s="462" t="str">
        <f> "Rx Tone"</f>
        <v>Rx Tone</v>
      </c>
      <c r="G40" s="462" t="str">
        <f> "Tx Freq"</f>
        <v>Tx Freq</v>
      </c>
      <c r="H40" s="462" t="str">
        <f> "Tx Tone"</f>
        <v>Tx Tone</v>
      </c>
      <c r="I40" s="464" t="s">
        <v>433</v>
      </c>
      <c r="J40" s="464" t="s">
        <v>434</v>
      </c>
      <c r="K40" s="45"/>
    </row>
    <row r="41" ht="13.5" customHeight="1">
      <c r="A41" s="465" t="str">
        <f>Iferror(vlookup($B41,Order205,2,False),"")</f>
        <v>CDF C1</v>
      </c>
      <c r="B41" s="466">
        <f>If(vlookup($J$3,Radio_Assignments,12,FALSE) = "",1,vlookup($J$3,Radio_Assignments,12,FALSE))</f>
        <v>1</v>
      </c>
      <c r="C41" s="467" t="str">
        <f>Iferror(vlookup($B41,Order205,4,False),"")</f>
        <v>COMMAND</v>
      </c>
      <c r="D41" s="74"/>
      <c r="E41" s="468">
        <f>Iferror(vlookup($B41,Order205,5,False),"")</f>
        <v>151.355</v>
      </c>
      <c r="F41" s="469" t="str">
        <f>Iferror(vlookup($B41,Order205,6,False),"")</f>
        <v>(T8)  103.5</v>
      </c>
      <c r="G41" s="470">
        <f>Iferror(vlookup($B41,Order205,7,False),"")</f>
        <v>159.3</v>
      </c>
      <c r="H41" s="469" t="str">
        <f>Iferror(vlookup($B41,Order205,8,False),"")</f>
        <v>OST</v>
      </c>
      <c r="I41" s="471" t="str">
        <f>Iferror(vlookup($B41,Order205,9,False),"")</f>
        <v>A</v>
      </c>
      <c r="J41" s="472" t="str">
        <f>Iferror(vlookup($B41,Order205,10,False),"")</f>
        <v/>
      </c>
      <c r="K41" s="45"/>
    </row>
    <row r="42" ht="13.5" customHeight="1">
      <c r="A42" s="473" t="str">
        <f>iferror(vlookup($J$3,Radio_Assignments,3,FALSE),"")</f>
        <v>CDF T3</v>
      </c>
      <c r="B42" s="474">
        <f>vlookup($J$3,Radio_Assignments,2,FALSE)</f>
        <v>2</v>
      </c>
      <c r="C42" s="475" t="str">
        <f>vlookup($J$3,Radio_Assignments,5,FALSE)</f>
        <v>TACTICAL</v>
      </c>
      <c r="D42" s="77"/>
      <c r="E42" s="476">
        <f>vlookup($J$3,Radio_Assignments,6,FALSE)</f>
        <v>151.175</v>
      </c>
      <c r="F42" s="477" t="str">
        <f>vlookup($J$3,Radio_Assignments,7,FALSE)</f>
        <v>(T16) 192.8</v>
      </c>
      <c r="G42" s="478">
        <f>vlookup($J$3,Radio_Assignments,8,FALSE)</f>
        <v>151.175</v>
      </c>
      <c r="H42" s="477" t="str">
        <f>vlookup($J$3,Radio_Assignments,9,FALSE)</f>
        <v>(T16) 192.8</v>
      </c>
      <c r="I42" s="479" t="str">
        <f>vlookup($J$3,Radio_Assignments,10,FALSE)</f>
        <v>A</v>
      </c>
      <c r="J42" s="480" t="str">
        <f>vlookup($J$3,Radio_Assignments,11,FALSE)</f>
        <v/>
      </c>
      <c r="K42" s="55"/>
    </row>
    <row r="43" ht="13.5" customHeight="1">
      <c r="A43" s="473" t="str">
        <f>Iferror(vlookup($B43,Order205,2,False),"")</f>
        <v>A/G CMD</v>
      </c>
      <c r="B43" s="466">
        <f>If(vlookup($J$3,Radio_Assignments,13,FALSE) = "",14,vlookup($J$3,Radio_Assignments,13,FALSE))</f>
        <v>14</v>
      </c>
      <c r="C43" s="475" t="str">
        <f>Iferror(vlookup($B43,Order205,4,False),"")</f>
        <v>A/G CMD</v>
      </c>
      <c r="D43" s="77"/>
      <c r="E43" s="476" t="str">
        <f>Iferror(vlookup($B43,Order205,5,False),"")</f>
        <v>166.6125</v>
      </c>
      <c r="F43" s="477" t="str">
        <f>Iferror(vlookup($B43,Order205,6,False),"")</f>
        <v/>
      </c>
      <c r="G43" s="478" t="str">
        <f>Iferror(vlookup($B43,Order205,7,False),"")</f>
        <v>166.6125</v>
      </c>
      <c r="H43" s="477">
        <f>Iferror(vlookup($B43,Order205,8,False),"")</f>
        <v>0</v>
      </c>
      <c r="I43" s="481" t="str">
        <f>Iferror(vlookup($B43,Order205,9,False),"")</f>
        <v>A</v>
      </c>
      <c r="J43" s="482" t="str">
        <f>Iferror(vlookup($B43,Order205,10,False),"")</f>
        <v/>
      </c>
      <c r="K43" s="55"/>
    </row>
    <row r="44" ht="13.5" customHeight="1">
      <c r="A44" s="473" t="str">
        <f>'205 Worksheet'!$C$10</f>
        <v>CALCORD</v>
      </c>
      <c r="B44" s="466">
        <f>'205 Worksheet'!$B$10</f>
        <v>15</v>
      </c>
      <c r="C44" s="475" t="str">
        <f>'205 Worksheet'!$E$10</f>
        <v>TACTICAL</v>
      </c>
      <c r="D44" s="77"/>
      <c r="E44" s="476">
        <f>'205 Worksheet'!$F$10</f>
        <v>156.075</v>
      </c>
      <c r="F44" s="477" t="str">
        <f>'205 Worksheet'!$G$10</f>
        <v>(T6)  156.7</v>
      </c>
      <c r="G44" s="478">
        <f>'205 Worksheet'!$H$10</f>
        <v>156.075</v>
      </c>
      <c r="H44" s="477" t="str">
        <f>'205 Worksheet'!$I$10</f>
        <v>(T6)  156.7</v>
      </c>
      <c r="I44" s="483" t="str">
        <f>'205 Worksheet'!$K$10</f>
        <v/>
      </c>
      <c r="J44" s="480" t="str">
        <f>'205 Worksheet'!$L$10</f>
        <v/>
      </c>
      <c r="K44" s="55"/>
    </row>
    <row r="45" ht="13.5" customHeight="1">
      <c r="A45" s="473" t="str">
        <f>'205 Worksheet'!$C$11</f>
        <v>A/G YNP</v>
      </c>
      <c r="B45" s="466">
        <f>'205 Worksheet'!$B$11</f>
        <v>16</v>
      </c>
      <c r="C45" s="475" t="str">
        <f>'205 Worksheet'!$E$11</f>
        <v>A/G</v>
      </c>
      <c r="D45" s="77"/>
      <c r="E45" s="476" t="str">
        <f>'205 Worksheet'!$F$11</f>
        <v>168.5625</v>
      </c>
      <c r="F45" s="484" t="str">
        <f>'205 Worksheet'!$G$11</f>
        <v/>
      </c>
      <c r="G45" s="485" t="str">
        <f>'205 Worksheet'!$H$11</f>
        <v>168.5625</v>
      </c>
      <c r="H45" s="484">
        <f>'205 Worksheet'!$I$11</f>
        <v>0</v>
      </c>
      <c r="I45" s="486" t="str">
        <f>'205 Worksheet'!$K$11</f>
        <v/>
      </c>
      <c r="J45" s="487" t="str">
        <f>'205 Worksheet'!$L$11</f>
        <v/>
      </c>
      <c r="K45" s="94"/>
    </row>
    <row r="46" ht="13.5" customHeight="1">
      <c r="A46" s="455" t="s">
        <v>435</v>
      </c>
      <c r="B46" s="165"/>
      <c r="C46" s="488" t="str">
        <f>'101 General Info'!$C$33</f>
        <v/>
      </c>
      <c r="D46" s="165"/>
      <c r="E46" s="165"/>
      <c r="F46" s="165"/>
      <c r="G46" s="490" t="str">
        <f>'101 General Info'!$D$33</f>
        <v>RESL</v>
      </c>
      <c r="H46" s="546" t="str">
        <f> IF(Code('101 General Info'!D34) = 9745, "Signature:____________________________","")</f>
        <v/>
      </c>
      <c r="I46" s="165"/>
      <c r="J46" s="165"/>
      <c r="K46" s="210"/>
    </row>
    <row r="47" ht="13.5" customHeight="1">
      <c r="A47" s="547" t="str">
        <f> IF(Code('101 General Info'!D34) = 9745, "Approved by:","")</f>
        <v/>
      </c>
      <c r="C47" s="548" t="str">
        <f> IF(Code('101 General Info'!D34) = 9745, '101 General Info'!$C$31,"")</f>
        <v/>
      </c>
      <c r="G47" s="548" t="str">
        <f> IF(Code('101 General Info'!D34) = 9745, "PSC","")</f>
        <v/>
      </c>
      <c r="H47" s="495" t="s">
        <v>449</v>
      </c>
      <c r="K47" s="94"/>
    </row>
    <row r="48" ht="13.5" customHeight="1">
      <c r="A48" s="549" t="s">
        <v>312</v>
      </c>
      <c r="B48" s="550"/>
      <c r="C48" s="550"/>
      <c r="D48" s="498" t="s">
        <v>389</v>
      </c>
      <c r="E48" s="77"/>
      <c r="F48" s="499">
        <f>F3 - 1</f>
        <v>43892</v>
      </c>
      <c r="G48" s="500" t="s">
        <v>438</v>
      </c>
      <c r="H48" s="551"/>
      <c r="I48" s="551"/>
      <c r="J48" s="552" t="s">
        <v>439</v>
      </c>
      <c r="K48" s="553">
        <f>Sumproduct(ABS(G11:G28))</f>
        <v>0</v>
      </c>
    </row>
    <row r="49" ht="13.5" customHeight="1">
      <c r="A49" s="504" t="s">
        <v>332</v>
      </c>
      <c r="B49" s="493"/>
      <c r="C49" s="493"/>
      <c r="D49" s="505"/>
      <c r="E49" s="505"/>
      <c r="F49" s="506"/>
      <c r="G49" s="507"/>
      <c r="H49" s="509" t="s">
        <v>414</v>
      </c>
    </row>
  </sheetData>
  <mergeCells count="108">
    <mergeCell ref="A13:B13"/>
    <mergeCell ref="A14:B14"/>
    <mergeCell ref="A15:B15"/>
    <mergeCell ref="A16:B16"/>
    <mergeCell ref="A17:B17"/>
    <mergeCell ref="A18:B18"/>
    <mergeCell ref="A19:B19"/>
    <mergeCell ref="A27:B27"/>
    <mergeCell ref="A28:B28"/>
    <mergeCell ref="A20:B20"/>
    <mergeCell ref="A21:B21"/>
    <mergeCell ref="A22:B22"/>
    <mergeCell ref="A23:B23"/>
    <mergeCell ref="A24:B24"/>
    <mergeCell ref="A25:B25"/>
    <mergeCell ref="A26:B26"/>
    <mergeCell ref="J25:K25"/>
    <mergeCell ref="J26:K26"/>
    <mergeCell ref="J18:K18"/>
    <mergeCell ref="J19:K19"/>
    <mergeCell ref="J20:K20"/>
    <mergeCell ref="J21:K21"/>
    <mergeCell ref="J22:K22"/>
    <mergeCell ref="J23:K23"/>
    <mergeCell ref="J24:K24"/>
    <mergeCell ref="J27:K27"/>
    <mergeCell ref="J28:K28"/>
    <mergeCell ref="C29:K29"/>
    <mergeCell ref="A30:K30"/>
    <mergeCell ref="A31:K31"/>
    <mergeCell ref="A32:K32"/>
    <mergeCell ref="A33:K33"/>
    <mergeCell ref="J41:K41"/>
    <mergeCell ref="J42:K42"/>
    <mergeCell ref="J43:K43"/>
    <mergeCell ref="J44:K44"/>
    <mergeCell ref="J45:K45"/>
    <mergeCell ref="H46:K46"/>
    <mergeCell ref="H47:K47"/>
    <mergeCell ref="H49:K49"/>
    <mergeCell ref="A34:K34"/>
    <mergeCell ref="A35:K35"/>
    <mergeCell ref="A36:K36"/>
    <mergeCell ref="A37:K37"/>
    <mergeCell ref="A38:K38"/>
    <mergeCell ref="A39:K39"/>
    <mergeCell ref="J40:K40"/>
    <mergeCell ref="A46:B46"/>
    <mergeCell ref="A47:B47"/>
    <mergeCell ref="C47:F47"/>
    <mergeCell ref="D48:E48"/>
    <mergeCell ref="C40:D40"/>
    <mergeCell ref="C41:D41"/>
    <mergeCell ref="C42:D42"/>
    <mergeCell ref="C43:D43"/>
    <mergeCell ref="C44:D44"/>
    <mergeCell ref="C45:D45"/>
    <mergeCell ref="C46:F46"/>
    <mergeCell ref="A1:B1"/>
    <mergeCell ref="C1:H1"/>
    <mergeCell ref="I1:K1"/>
    <mergeCell ref="A2:D2"/>
    <mergeCell ref="E2:H2"/>
    <mergeCell ref="J2:K2"/>
    <mergeCell ref="A3:D3"/>
    <mergeCell ref="A4:D4"/>
    <mergeCell ref="A5:H5"/>
    <mergeCell ref="B6:F6"/>
    <mergeCell ref="B7:F7"/>
    <mergeCell ref="B8:F8"/>
    <mergeCell ref="A9:B9"/>
    <mergeCell ref="C9:H9"/>
    <mergeCell ref="I3:I4"/>
    <mergeCell ref="J3:K4"/>
    <mergeCell ref="J5:K5"/>
    <mergeCell ref="H6:K6"/>
    <mergeCell ref="H7:K7"/>
    <mergeCell ref="H8:K8"/>
    <mergeCell ref="I9:K9"/>
    <mergeCell ref="A10:B10"/>
    <mergeCell ref="E10:F10"/>
    <mergeCell ref="A11:B11"/>
    <mergeCell ref="E11:F11"/>
    <mergeCell ref="A12:B12"/>
    <mergeCell ref="E12:F12"/>
    <mergeCell ref="E13:F13"/>
    <mergeCell ref="E21:F21"/>
    <mergeCell ref="E22:F22"/>
    <mergeCell ref="E23:F23"/>
    <mergeCell ref="E24:F24"/>
    <mergeCell ref="E25:F25"/>
    <mergeCell ref="E26:F26"/>
    <mergeCell ref="E27:F27"/>
    <mergeCell ref="E28:F28"/>
    <mergeCell ref="E14:F14"/>
    <mergeCell ref="E15:F15"/>
    <mergeCell ref="E16:F16"/>
    <mergeCell ref="E17:F17"/>
    <mergeCell ref="E18:F18"/>
    <mergeCell ref="E19:F19"/>
    <mergeCell ref="E20:F20"/>
    <mergeCell ref="J11:K11"/>
    <mergeCell ref="J12:K12"/>
    <mergeCell ref="J13:K13"/>
    <mergeCell ref="J14:K14"/>
    <mergeCell ref="J15:K15"/>
    <mergeCell ref="J16:K16"/>
    <mergeCell ref="J17:K17"/>
  </mergeCells>
  <conditionalFormatting sqref="E11:F28">
    <cfRule type="containsText" dxfId="6" priority="1" operator="containsText" text="Assigned">
      <formula>NOT(ISERROR(SEARCH(("Assigned"),(E11))))</formula>
    </cfRule>
  </conditionalFormatting>
  <conditionalFormatting sqref="E11:F28 H11:K28">
    <cfRule type="expression" dxfId="7" priority="2">
      <formula> AND($I11 &lt;&gt; Concatenate($F$4,"-",$H$4) ,NOT((isformula(E11))))</formula>
    </cfRule>
  </conditionalFormatting>
  <conditionalFormatting sqref="A11:F28 H11:K28">
    <cfRule type="expression" dxfId="8" priority="3">
      <formula> $I11 &lt;&gt; Concatenate($F$4,"-",$H$4)</formula>
    </cfRule>
  </conditionalFormatting>
  <conditionalFormatting sqref="C11:F28 H11:K28">
    <cfRule type="expression" dxfId="9" priority="4">
      <formula> NOT((isformula(C11)))</formula>
    </cfRule>
  </conditionalFormatting>
  <dataValidations>
    <dataValidation type="list" allowBlank="1" sqref="A11:A28">
      <formula1>ResourceID!$B$2:$B49</formula1>
    </dataValidation>
    <dataValidation type="list" allowBlank="1" sqref="A30:A33">
      <formula1>WorkAssignments</formula1>
    </dataValidation>
  </dataValidations>
  <printOptions horizontalCentered="1"/>
  <pageMargins bottom="0.75" footer="0.0" header="0.0" left="0.25" right="0.25" top="0.75"/>
  <pageSetup orientation="portrait" pageOrder="overThenDown"/>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sheetViews>
  <sheetFormatPr customHeight="1" defaultColWidth="12.63" defaultRowHeight="15.75"/>
  <cols>
    <col customWidth="1" min="1" max="1" width="16.63"/>
    <col customWidth="1" min="2" max="2" width="10.13"/>
    <col customWidth="1" min="3" max="3" width="4.88"/>
    <col customWidth="1" min="4" max="4" width="4.63"/>
    <col customWidth="1" min="5" max="5" width="9.38"/>
    <col customWidth="1" min="6" max="6" width="9.63"/>
    <col customWidth="1" min="7" max="7" width="9.38"/>
    <col customWidth="1" min="8" max="8" width="10.25"/>
    <col customWidth="1" min="9" max="9" width="10.63"/>
    <col customWidth="1" min="10" max="10" width="10.38"/>
    <col customWidth="1" min="11" max="11" width="5.5"/>
  </cols>
  <sheetData>
    <row r="1" ht="13.5" customHeight="1">
      <c r="A1" s="417" t="s">
        <v>412</v>
      </c>
      <c r="B1" s="77"/>
      <c r="C1" s="419" t="s">
        <v>440</v>
      </c>
      <c r="D1" s="77"/>
      <c r="E1" s="77"/>
      <c r="F1" s="77"/>
      <c r="G1" s="77"/>
      <c r="H1" s="77"/>
      <c r="I1" s="510" t="s">
        <v>414</v>
      </c>
    </row>
    <row r="2" ht="13.5" customHeight="1">
      <c r="A2" s="511" t="s">
        <v>282</v>
      </c>
      <c r="B2" s="74"/>
      <c r="C2" s="74"/>
      <c r="D2" s="45"/>
      <c r="E2" s="511" t="s">
        <v>283</v>
      </c>
      <c r="F2" s="74"/>
      <c r="G2" s="74"/>
      <c r="H2" s="45"/>
      <c r="I2" s="512" t="s">
        <v>441</v>
      </c>
      <c r="J2" s="513" t="s">
        <v>442</v>
      </c>
      <c r="K2" s="86"/>
    </row>
    <row r="3" ht="13.5" customHeight="1">
      <c r="A3" s="514" t="str">
        <f>IncName</f>
        <v>NO NAME</v>
      </c>
      <c r="D3" s="94"/>
      <c r="E3" s="423" t="s">
        <v>284</v>
      </c>
      <c r="F3" s="424">
        <f>OpDate</f>
        <v>43893</v>
      </c>
      <c r="G3" s="425" t="s">
        <v>130</v>
      </c>
      <c r="H3" s="426">
        <f>OpDateTo</f>
        <v>43894</v>
      </c>
      <c r="I3" s="515" t="str">
        <f>'203'!E9</f>
        <v>I</v>
      </c>
      <c r="J3" s="516" t="str">
        <f>'203'!E10</f>
        <v>A - FEMA</v>
      </c>
      <c r="K3" s="517"/>
    </row>
    <row r="4" ht="13.5" customHeight="1">
      <c r="A4" s="166"/>
      <c r="D4" s="94"/>
      <c r="E4" s="423" t="s">
        <v>131</v>
      </c>
      <c r="F4" s="428" t="str">
        <f>OpStart</f>
        <v>0700</v>
      </c>
      <c r="G4" s="429" t="s">
        <v>133</v>
      </c>
      <c r="H4" s="430" t="str">
        <f>OpEnd</f>
        <v>0700</v>
      </c>
      <c r="I4" s="107"/>
      <c r="K4" s="108"/>
    </row>
    <row r="5" ht="13.5" customHeight="1">
      <c r="A5" s="518" t="s">
        <v>417</v>
      </c>
      <c r="B5" s="74"/>
      <c r="C5" s="74"/>
      <c r="D5" s="74"/>
      <c r="E5" s="74"/>
      <c r="F5" s="74"/>
      <c r="G5" s="74"/>
      <c r="H5" s="74"/>
      <c r="I5" s="519" t="s">
        <v>422</v>
      </c>
      <c r="J5" s="520" t="str">
        <f>if(LEN(J3) = 3,IFERROR(vlookup(Left(J3,1),PhonicAlphabet!A:B,2,FALSE)) &amp; "/" &amp; IFERROR(vlookup(MID(J3,3,1),PhonicAlphabet!A:B,2,FALSE)),IFERROR(vlookup(J3,PhonicAlphabet!A:B,2,FALSE), ""))</f>
        <v/>
      </c>
      <c r="K5" s="115"/>
    </row>
    <row r="6" ht="13.5" customHeight="1">
      <c r="A6" s="521" t="s">
        <v>419</v>
      </c>
      <c r="B6" s="522" t="str">
        <f>'203'!E5</f>
        <v/>
      </c>
      <c r="C6" s="523"/>
      <c r="D6" s="523"/>
      <c r="E6" s="523"/>
      <c r="F6" s="523"/>
      <c r="G6" s="524" t="s">
        <v>443</v>
      </c>
      <c r="H6" s="525" t="str">
        <f>'203'!E7</f>
        <v/>
      </c>
      <c r="I6" s="523"/>
      <c r="J6" s="523"/>
      <c r="K6" s="526"/>
    </row>
    <row r="7" ht="13.5" customHeight="1">
      <c r="A7" s="527" t="s">
        <v>420</v>
      </c>
      <c r="B7" s="528"/>
      <c r="C7" s="529"/>
      <c r="D7" s="529"/>
      <c r="E7" s="529"/>
      <c r="F7" s="529"/>
      <c r="G7" s="530" t="s">
        <v>444</v>
      </c>
      <c r="H7" s="531" t="str">
        <f> IFerror(vlookup(I3,SafetyOfficers,2,False),"")</f>
        <v/>
      </c>
      <c r="I7" s="529"/>
      <c r="J7" s="529"/>
      <c r="K7" s="532"/>
    </row>
    <row r="8" ht="13.5" customHeight="1">
      <c r="A8" s="533" t="s">
        <v>421</v>
      </c>
      <c r="B8" s="534" t="str">
        <f>'203'!F19</f>
        <v/>
      </c>
      <c r="C8" s="535"/>
      <c r="D8" s="535"/>
      <c r="E8" s="535"/>
      <c r="F8" s="535"/>
      <c r="G8" s="536" t="s">
        <v>445</v>
      </c>
      <c r="H8" s="537" t="str">
        <f>'203'!F41</f>
        <v/>
      </c>
      <c r="I8" s="535"/>
      <c r="J8" s="535"/>
      <c r="K8" s="538"/>
    </row>
    <row r="9" ht="13.5" customHeight="1">
      <c r="A9" s="518" t="s">
        <v>446</v>
      </c>
      <c r="B9" s="74"/>
      <c r="C9" s="539" t="str">
        <f>'101 General Info'!D39</f>
        <v>** Resources Below in Bold are 12 Hour **</v>
      </c>
      <c r="D9" s="74"/>
      <c r="E9" s="74"/>
      <c r="F9" s="74"/>
      <c r="G9" s="74"/>
      <c r="H9" s="45"/>
      <c r="I9" s="540"/>
      <c r="J9" s="74"/>
      <c r="K9" s="45"/>
    </row>
    <row r="10" ht="13.5" customHeight="1">
      <c r="A10" s="377" t="s">
        <v>425</v>
      </c>
      <c r="B10" s="77"/>
      <c r="C10" s="541" t="str">
        <f>SuppField1</f>
        <v>ALS</v>
      </c>
      <c r="D10" s="541" t="str">
        <f>'101 General Info'!G38</f>
        <v>LWD</v>
      </c>
      <c r="E10" s="447" t="s">
        <v>426</v>
      </c>
      <c r="F10" s="55"/>
      <c r="G10" s="448" t="s">
        <v>427</v>
      </c>
      <c r="H10" s="462" t="s">
        <v>428</v>
      </c>
      <c r="I10" s="542" t="s">
        <v>447</v>
      </c>
      <c r="J10" s="318" t="s">
        <v>448</v>
      </c>
      <c r="K10" s="543"/>
    </row>
    <row r="11" ht="13.5" customHeight="1">
      <c r="A11" s="355" t="str">
        <f>IF(_xlfn.isformula(H11), "", VLOOKUP(H11,Indirect(ResDataAll),2,False))</f>
        <v/>
      </c>
      <c r="B11" s="74"/>
      <c r="C11" s="462" t="str">
        <f> IFERROR(vlookup(A11,Indirect(ResData),5, FALSE), "")</f>
        <v/>
      </c>
      <c r="D11" s="544" t="str">
        <f> IFERROR(vlookup(A11,Indirect(ResData),6, FALSE), "")</f>
        <v/>
      </c>
      <c r="E11" s="450" t="str">
        <f> IFERROR(vlookup(A11,Indirect(ResData),2, FALSE), "")</f>
        <v/>
      </c>
      <c r="F11" s="74"/>
      <c r="G11" s="451" t="str">
        <f> IFERROR(vlookup(A11,Indirect(ResData),3, FALSE), "")</f>
        <v/>
      </c>
      <c r="H11" s="414" t="str">
        <f t="array" ref="H11"> IFERROR(vlookup(A11,{Indirect(ResID),Indirect(ResDataAll)},2, FALSE), "")</f>
        <v/>
      </c>
      <c r="I11" s="452" t="str">
        <f> IFERROR(vlookup(A11,Indirect(ResData),4, FALSE), "")</f>
        <v/>
      </c>
      <c r="J11" s="453"/>
      <c r="K11" s="45"/>
    </row>
    <row r="12" ht="13.5" customHeight="1">
      <c r="A12" s="355" t="str">
        <f>IF(_xlfn.isformula(H12), "", VLOOKUP(H12,Indirect(ResDataAll),2,False))</f>
        <v/>
      </c>
      <c r="B12" s="74"/>
      <c r="C12" s="462" t="str">
        <f> IFERROR(vlookup(A12,Indirect(ResData),5, FALSE), "")</f>
        <v/>
      </c>
      <c r="D12" s="544" t="str">
        <f> IFERROR(vlookup(A12,Indirect(ResData),6, FALSE), "")</f>
        <v/>
      </c>
      <c r="E12" s="450" t="str">
        <f> IFERROR(vlookup(A12,Indirect(ResData),2, FALSE), "")</f>
        <v/>
      </c>
      <c r="F12" s="74"/>
      <c r="G12" s="451" t="str">
        <f> IFERROR(vlookup(A12,Indirect(ResData),3, FALSE), "")</f>
        <v/>
      </c>
      <c r="H12" s="414" t="str">
        <f t="array" ref="H12"> IFERROR(vlookup(A12,{Indirect(ResID),Indirect(ResDataAll)},2, FALSE), "")</f>
        <v/>
      </c>
      <c r="I12" s="452" t="str">
        <f> IFERROR(vlookup(A12,Indirect(ResData),4, FALSE), "")</f>
        <v/>
      </c>
      <c r="J12" s="454" t="str">
        <f t="shared" ref="J12:J28" si="1"> IF(A12 = "","",J11)</f>
        <v/>
      </c>
      <c r="K12" s="45"/>
    </row>
    <row r="13" ht="13.5" customHeight="1">
      <c r="A13" s="355" t="str">
        <f>IF(_xlfn.isformula(H13), "", VLOOKUP(H13,Indirect(ResDataAll),2,False))</f>
        <v/>
      </c>
      <c r="B13" s="74"/>
      <c r="C13" s="462" t="str">
        <f> IFERROR(vlookup(A13,Indirect(ResData),5, FALSE), "")</f>
        <v/>
      </c>
      <c r="D13" s="544" t="str">
        <f> IFERROR(vlookup(A13,Indirect(ResData),6, FALSE), "")</f>
        <v/>
      </c>
      <c r="E13" s="450" t="str">
        <f> IFERROR(vlookup(A13,Indirect(ResData),2, FALSE), "")</f>
        <v/>
      </c>
      <c r="F13" s="74"/>
      <c r="G13" s="451" t="str">
        <f> IFERROR(vlookup(A13,Indirect(ResData),3, FALSE), "")</f>
        <v/>
      </c>
      <c r="H13" s="414" t="str">
        <f t="array" ref="H13"> IFERROR(vlookup(A13,{Indirect(ResID),Indirect(ResDataAll)},2, FALSE), "")</f>
        <v/>
      </c>
      <c r="I13" s="452" t="str">
        <f> IFERROR(vlookup(A13,Indirect(ResData),4, FALSE), "")</f>
        <v/>
      </c>
      <c r="J13" s="454" t="str">
        <f t="shared" si="1"/>
        <v/>
      </c>
      <c r="K13" s="45"/>
    </row>
    <row r="14" ht="13.5" customHeight="1">
      <c r="A14" s="355" t="str">
        <f>IF(_xlfn.isformula(H14), "", VLOOKUP(H14,Indirect(ResDataAll),2,False))</f>
        <v/>
      </c>
      <c r="B14" s="74"/>
      <c r="C14" s="462" t="str">
        <f> IFERROR(vlookup(A14,Indirect(ResData),5, FALSE), "")</f>
        <v/>
      </c>
      <c r="D14" s="544" t="str">
        <f> IFERROR(vlookup(A14,Indirect(ResData),6, FALSE), "")</f>
        <v/>
      </c>
      <c r="E14" s="450" t="str">
        <f> IFERROR(vlookup(A14,Indirect(ResData),2, FALSE), "")</f>
        <v/>
      </c>
      <c r="F14" s="74"/>
      <c r="G14" s="451" t="str">
        <f> IFERROR(vlookup(A14,Indirect(ResData),3, FALSE), "")</f>
        <v/>
      </c>
      <c r="H14" s="414" t="str">
        <f t="array" ref="H14"> IFERROR(vlookup(A14,{Indirect(ResID),Indirect(ResDataAll)},2, FALSE), "")</f>
        <v/>
      </c>
      <c r="I14" s="452" t="str">
        <f> IFERROR(vlookup(A14,Indirect(ResData),4, FALSE), "")</f>
        <v/>
      </c>
      <c r="J14" s="454" t="str">
        <f t="shared" si="1"/>
        <v/>
      </c>
      <c r="K14" s="45"/>
    </row>
    <row r="15" ht="13.5" customHeight="1">
      <c r="A15" s="355" t="str">
        <f>IF(_xlfn.isformula(H15), "", VLOOKUP(H15,Indirect(ResDataAll),2,False))</f>
        <v/>
      </c>
      <c r="B15" s="74"/>
      <c r="C15" s="462" t="str">
        <f> IFERROR(vlookup(A15,Indirect(ResData),5, FALSE), "")</f>
        <v/>
      </c>
      <c r="D15" s="544" t="str">
        <f> IFERROR(vlookup(A15,Indirect(ResData),6, FALSE), "")</f>
        <v/>
      </c>
      <c r="E15" s="450" t="str">
        <f> IFERROR(vlookup(A15,Indirect(ResData),2, FALSE), "")</f>
        <v/>
      </c>
      <c r="F15" s="74"/>
      <c r="G15" s="451" t="str">
        <f> IFERROR(vlookup(A15,Indirect(ResData),3, FALSE), "")</f>
        <v/>
      </c>
      <c r="H15" s="414" t="str">
        <f t="array" ref="H15"> IFERROR(vlookup(A15,{Indirect(ResID),Indirect(ResDataAll)},2, FALSE), "")</f>
        <v/>
      </c>
      <c r="I15" s="452" t="str">
        <f> IFERROR(vlookup(A15,Indirect(ResData),4, FALSE), "")</f>
        <v/>
      </c>
      <c r="J15" s="454" t="str">
        <f t="shared" si="1"/>
        <v/>
      </c>
      <c r="K15" s="45"/>
    </row>
    <row r="16" ht="13.5" customHeight="1">
      <c r="A16" s="355" t="str">
        <f>IF(_xlfn.isformula(H16), "", VLOOKUP(H16,Indirect(ResDataAll),2,False))</f>
        <v/>
      </c>
      <c r="B16" s="74"/>
      <c r="C16" s="462" t="str">
        <f> IFERROR(vlookup(A16,Indirect(ResData),5, FALSE), "")</f>
        <v/>
      </c>
      <c r="D16" s="544" t="str">
        <f> IFERROR(vlookup(A16,Indirect(ResData),6, FALSE), "")</f>
        <v/>
      </c>
      <c r="E16" s="450" t="str">
        <f> IFERROR(vlookup(A16,Indirect(ResData),2, FALSE), "")</f>
        <v/>
      </c>
      <c r="F16" s="74"/>
      <c r="G16" s="451" t="str">
        <f> IFERROR(vlookup(A16,Indirect(ResData),3, FALSE), "")</f>
        <v/>
      </c>
      <c r="H16" s="414" t="str">
        <f t="array" ref="H16"> IFERROR(vlookup(A16,{Indirect(ResID),Indirect(ResDataAll)},2, FALSE), "")</f>
        <v/>
      </c>
      <c r="I16" s="452" t="str">
        <f> IFERROR(vlookup(A16,Indirect(ResData),4, FALSE), "")</f>
        <v/>
      </c>
      <c r="J16" s="454" t="str">
        <f t="shared" si="1"/>
        <v/>
      </c>
      <c r="K16" s="45"/>
    </row>
    <row r="17" ht="13.5" customHeight="1">
      <c r="A17" s="355" t="str">
        <f>IF(_xlfn.isformula(H17), "", VLOOKUP(H17,Indirect(ResDataAll),2,False))</f>
        <v/>
      </c>
      <c r="B17" s="74"/>
      <c r="C17" s="462" t="str">
        <f> IFERROR(vlookup(A17,Indirect(ResData),5, FALSE), "")</f>
        <v/>
      </c>
      <c r="D17" s="544" t="str">
        <f> IFERROR(vlookup(A17,Indirect(ResData),6, FALSE), "")</f>
        <v/>
      </c>
      <c r="E17" s="450" t="str">
        <f> IFERROR(vlookup(A17,Indirect(ResData),2, FALSE), "")</f>
        <v/>
      </c>
      <c r="F17" s="74"/>
      <c r="G17" s="451" t="str">
        <f> IFERROR(vlookup(A17,Indirect(ResData),3, FALSE), "")</f>
        <v/>
      </c>
      <c r="H17" s="414" t="str">
        <f t="array" ref="H17"> IFERROR(vlookup(A17,{Indirect(ResID),Indirect(ResDataAll)},2, FALSE), "")</f>
        <v/>
      </c>
      <c r="I17" s="452" t="str">
        <f> IFERROR(vlookup(A17,Indirect(ResData),4, FALSE), "")</f>
        <v/>
      </c>
      <c r="J17" s="454" t="str">
        <f t="shared" si="1"/>
        <v/>
      </c>
      <c r="K17" s="45"/>
    </row>
    <row r="18" ht="13.5" customHeight="1">
      <c r="A18" s="355" t="str">
        <f>IF(_xlfn.isformula(H18), "", VLOOKUP(H18,Indirect(ResDataAll),2,False))</f>
        <v/>
      </c>
      <c r="B18" s="74"/>
      <c r="C18" s="462" t="str">
        <f> IFERROR(vlookup(A18,Indirect(ResData),5, FALSE), "")</f>
        <v/>
      </c>
      <c r="D18" s="544" t="str">
        <f> IFERROR(vlookup(A18,Indirect(ResData),6, FALSE), "")</f>
        <v/>
      </c>
      <c r="E18" s="450" t="str">
        <f> IFERROR(vlookup(A18,Indirect(ResData),2, FALSE), "")</f>
        <v/>
      </c>
      <c r="F18" s="74"/>
      <c r="G18" s="451" t="str">
        <f> IFERROR(vlookup(A18,Indirect(ResData),3, FALSE), "")</f>
        <v/>
      </c>
      <c r="H18" s="414" t="str">
        <f t="array" ref="H18"> IFERROR(vlookup(A18,{Indirect(ResID),Indirect(ResDataAll)},2, FALSE), "")</f>
        <v/>
      </c>
      <c r="I18" s="452" t="str">
        <f> IFERROR(vlookup(A18,Indirect(ResData),4, FALSE), "")</f>
        <v/>
      </c>
      <c r="J18" s="454" t="str">
        <f t="shared" si="1"/>
        <v/>
      </c>
      <c r="K18" s="45"/>
    </row>
    <row r="19" ht="13.5" customHeight="1">
      <c r="A19" s="355" t="str">
        <f>IF(_xlfn.isformula(H19), "", VLOOKUP(H19,Indirect(ResDataAll),2,False))</f>
        <v/>
      </c>
      <c r="B19" s="74"/>
      <c r="C19" s="462" t="str">
        <f> IFERROR(vlookup(A19,Indirect(ResData),5, FALSE), "")</f>
        <v/>
      </c>
      <c r="D19" s="544" t="str">
        <f> IFERROR(vlookup(A19,Indirect(ResData),6, FALSE), "")</f>
        <v/>
      </c>
      <c r="E19" s="450" t="str">
        <f> IFERROR(vlookup(A19,Indirect(ResData),2, FALSE), "")</f>
        <v/>
      </c>
      <c r="F19" s="74"/>
      <c r="G19" s="451" t="str">
        <f> IFERROR(vlookup(A19,Indirect(ResData),3, FALSE), "")</f>
        <v/>
      </c>
      <c r="H19" s="414" t="str">
        <f t="array" ref="H19"> IFERROR(vlookup(A19,{Indirect(ResID),Indirect(ResDataAll)},2, FALSE), "")</f>
        <v/>
      </c>
      <c r="I19" s="452" t="str">
        <f> IFERROR(vlookup(A19,Indirect(ResData),4, FALSE), "")</f>
        <v/>
      </c>
      <c r="J19" s="454" t="str">
        <f t="shared" si="1"/>
        <v/>
      </c>
      <c r="K19" s="45"/>
    </row>
    <row r="20" ht="13.5" customHeight="1">
      <c r="A20" s="355" t="str">
        <f>IF(_xlfn.isformula(H20), "", VLOOKUP(H20,Indirect(ResDataAll),2,False))</f>
        <v/>
      </c>
      <c r="B20" s="74"/>
      <c r="C20" s="462" t="str">
        <f> IFERROR(vlookup(A20,Indirect(ResData),5, FALSE), "")</f>
        <v/>
      </c>
      <c r="D20" s="544" t="str">
        <f> IFERROR(vlookup(A20,Indirect(ResData),6, FALSE), "")</f>
        <v/>
      </c>
      <c r="E20" s="450" t="str">
        <f> IFERROR(vlookup(A20,Indirect(ResData),2, FALSE), "")</f>
        <v/>
      </c>
      <c r="F20" s="74"/>
      <c r="G20" s="451" t="str">
        <f> IFERROR(vlookup(A20,Indirect(ResData),3, FALSE), "")</f>
        <v/>
      </c>
      <c r="H20" s="414" t="str">
        <f t="array" ref="H20"> IFERROR(vlookup(A20,{Indirect(ResID),Indirect(ResDataAll)},2, FALSE), "")</f>
        <v/>
      </c>
      <c r="I20" s="452" t="str">
        <f> IFERROR(vlookup(A20,Indirect(ResData),4, FALSE), "")</f>
        <v/>
      </c>
      <c r="J20" s="454" t="str">
        <f t="shared" si="1"/>
        <v/>
      </c>
      <c r="K20" s="45"/>
    </row>
    <row r="21" ht="13.5" customHeight="1">
      <c r="A21" s="355" t="str">
        <f>IF(_xlfn.isformula(H21), "", VLOOKUP(H21,Indirect(ResDataAll),2,False))</f>
        <v/>
      </c>
      <c r="B21" s="74"/>
      <c r="C21" s="462" t="str">
        <f> IFERROR(vlookup(A21,Indirect(ResData),5, FALSE), "")</f>
        <v/>
      </c>
      <c r="D21" s="544" t="str">
        <f> IFERROR(vlookup(A21,Indirect(ResData),6, FALSE), "")</f>
        <v/>
      </c>
      <c r="E21" s="450" t="str">
        <f> IFERROR(vlookup(A21,Indirect(ResData),2, FALSE), "")</f>
        <v/>
      </c>
      <c r="F21" s="74"/>
      <c r="G21" s="451" t="str">
        <f> IFERROR(vlookup(A21,Indirect(ResData),3, FALSE), "")</f>
        <v/>
      </c>
      <c r="H21" s="414" t="str">
        <f t="array" ref="H21"> IFERROR(vlookup(A21,{Indirect(ResID),Indirect(ResDataAll)},2, FALSE), "")</f>
        <v/>
      </c>
      <c r="I21" s="452" t="str">
        <f> IFERROR(vlookup(A21,Indirect(ResData),4, FALSE), "")</f>
        <v/>
      </c>
      <c r="J21" s="454" t="str">
        <f t="shared" si="1"/>
        <v/>
      </c>
      <c r="K21" s="45"/>
    </row>
    <row r="22" ht="13.5" customHeight="1">
      <c r="A22" s="355" t="str">
        <f>IF(_xlfn.isformula(H22), "", VLOOKUP(H22,Indirect(ResDataAll),2,False))</f>
        <v/>
      </c>
      <c r="B22" s="74"/>
      <c r="C22" s="462" t="str">
        <f> IFERROR(vlookup(A22,Indirect(ResData),5, FALSE), "")</f>
        <v/>
      </c>
      <c r="D22" s="544" t="str">
        <f> IFERROR(vlookup(A22,Indirect(ResData),6, FALSE), "")</f>
        <v/>
      </c>
      <c r="E22" s="450" t="str">
        <f> IFERROR(vlookup(A22,Indirect(ResData),2, FALSE), "")</f>
        <v/>
      </c>
      <c r="F22" s="74"/>
      <c r="G22" s="451" t="str">
        <f> IFERROR(vlookup(A22,Indirect(ResData),3, FALSE), "")</f>
        <v/>
      </c>
      <c r="H22" s="414" t="str">
        <f t="array" ref="H22"> IFERROR(vlookup(A22,{Indirect(ResID),Indirect(ResDataAll)},2, FALSE), "")</f>
        <v/>
      </c>
      <c r="I22" s="452" t="str">
        <f> IFERROR(vlookup(A22,Indirect(ResData),4, FALSE), "")</f>
        <v/>
      </c>
      <c r="J22" s="454" t="str">
        <f t="shared" si="1"/>
        <v/>
      </c>
      <c r="K22" s="45"/>
    </row>
    <row r="23" ht="13.5" customHeight="1">
      <c r="A23" s="355" t="str">
        <f>IF(_xlfn.isformula(H23), "", VLOOKUP(H23,Indirect(ResDataAll),2,False))</f>
        <v/>
      </c>
      <c r="B23" s="74"/>
      <c r="C23" s="462" t="str">
        <f> IFERROR(vlookup(A23,Indirect(ResData),5, FALSE), "")</f>
        <v/>
      </c>
      <c r="D23" s="544" t="str">
        <f> IFERROR(vlookup(A23,Indirect(ResData),6, FALSE), "")</f>
        <v/>
      </c>
      <c r="E23" s="450" t="str">
        <f> IFERROR(vlookup(A23,Indirect(ResData),2, FALSE), "")</f>
        <v/>
      </c>
      <c r="F23" s="74"/>
      <c r="G23" s="451" t="str">
        <f> IFERROR(vlookup(A23,Indirect(ResData),3, FALSE), "")</f>
        <v/>
      </c>
      <c r="H23" s="414" t="str">
        <f t="array" ref="H23"> IFERROR(vlookup(A23,{Indirect(ResID),Indirect(ResDataAll)},2, FALSE), "")</f>
        <v/>
      </c>
      <c r="I23" s="452" t="str">
        <f> IFERROR(vlookup(A23,Indirect(ResData),4, FALSE), "")</f>
        <v/>
      </c>
      <c r="J23" s="454" t="str">
        <f t="shared" si="1"/>
        <v/>
      </c>
      <c r="K23" s="45"/>
    </row>
    <row r="24" ht="13.5" customHeight="1">
      <c r="A24" s="355" t="str">
        <f>IF(_xlfn.isformula(H24), "", VLOOKUP(H24,Indirect(ResDataAll),2,False))</f>
        <v/>
      </c>
      <c r="B24" s="74"/>
      <c r="C24" s="462" t="str">
        <f> IFERROR(vlookup(A24,Indirect(ResData),5, FALSE), "")</f>
        <v/>
      </c>
      <c r="D24" s="544" t="str">
        <f> IFERROR(vlookup(A24,Indirect(ResData),6, FALSE), "")</f>
        <v/>
      </c>
      <c r="E24" s="450" t="str">
        <f> IFERROR(vlookup(A24,Indirect(ResData),2, FALSE), "")</f>
        <v/>
      </c>
      <c r="F24" s="74"/>
      <c r="G24" s="451" t="str">
        <f> IFERROR(vlookup(A24,Indirect(ResData),3, FALSE), "")</f>
        <v/>
      </c>
      <c r="H24" s="414" t="str">
        <f t="array" ref="H24"> IFERROR(vlookup(A24,{Indirect(ResID),Indirect(ResDataAll)},2, FALSE), "")</f>
        <v/>
      </c>
      <c r="I24" s="452" t="str">
        <f> IFERROR(vlookup(A24,Indirect(ResData),4, FALSE), "")</f>
        <v/>
      </c>
      <c r="J24" s="454" t="str">
        <f t="shared" si="1"/>
        <v/>
      </c>
      <c r="K24" s="45"/>
    </row>
    <row r="25" ht="13.5" customHeight="1">
      <c r="A25" s="355" t="str">
        <f>IF(_xlfn.isformula(H25), "", VLOOKUP(H25,Indirect(ResDataAll),2,False))</f>
        <v/>
      </c>
      <c r="B25" s="74"/>
      <c r="C25" s="462" t="str">
        <f> IFERROR(vlookup(A25,Indirect(ResData),5, FALSE), "")</f>
        <v/>
      </c>
      <c r="D25" s="544" t="str">
        <f> IFERROR(vlookup(A25,Indirect(ResData),6, FALSE), "")</f>
        <v/>
      </c>
      <c r="E25" s="450" t="str">
        <f> IFERROR(vlookup(A25,Indirect(ResData),2, FALSE), "")</f>
        <v/>
      </c>
      <c r="F25" s="74"/>
      <c r="G25" s="451" t="str">
        <f> IFERROR(vlookup(A25,Indirect(ResData),3, FALSE), "")</f>
        <v/>
      </c>
      <c r="H25" s="414" t="str">
        <f t="array" ref="H25"> IFERROR(vlookup(A25,{Indirect(ResID),Indirect(ResDataAll)},2, FALSE), "")</f>
        <v/>
      </c>
      <c r="I25" s="452" t="str">
        <f> IFERROR(vlookup(A25,Indirect(ResData),4, FALSE), "")</f>
        <v/>
      </c>
      <c r="J25" s="454" t="str">
        <f t="shared" si="1"/>
        <v/>
      </c>
      <c r="K25" s="45"/>
    </row>
    <row r="26" ht="13.5" customHeight="1">
      <c r="A26" s="355" t="str">
        <f>IF(_xlfn.isformula(H26), "", VLOOKUP(H26,Indirect(ResDataAll),2,False))</f>
        <v/>
      </c>
      <c r="B26" s="74"/>
      <c r="C26" s="462" t="str">
        <f> IFERROR(vlookup(A26,Indirect(ResData),5, FALSE), "")</f>
        <v/>
      </c>
      <c r="D26" s="544" t="str">
        <f> IFERROR(vlookup(A26,Indirect(ResData),6, FALSE), "")</f>
        <v/>
      </c>
      <c r="E26" s="450" t="str">
        <f> IFERROR(vlookup(A26,Indirect(ResData),2, FALSE), "")</f>
        <v/>
      </c>
      <c r="F26" s="74"/>
      <c r="G26" s="451" t="str">
        <f> IFERROR(vlookup(A26,Indirect(ResData),3, FALSE), "")</f>
        <v/>
      </c>
      <c r="H26" s="414" t="str">
        <f t="array" ref="H26"> IFERROR(vlookup(A26,{Indirect(ResID),Indirect(ResDataAll)},2, FALSE), "")</f>
        <v/>
      </c>
      <c r="I26" s="452" t="str">
        <f> IFERROR(vlookup(A26,Indirect(ResData),4, FALSE), "")</f>
        <v/>
      </c>
      <c r="J26" s="454" t="str">
        <f t="shared" si="1"/>
        <v/>
      </c>
      <c r="K26" s="45"/>
    </row>
    <row r="27" ht="13.5" customHeight="1">
      <c r="A27" s="355" t="str">
        <f>IF(_xlfn.isformula(H27), "", VLOOKUP(H27,Indirect(ResDataAll),2,False))</f>
        <v/>
      </c>
      <c r="B27" s="74"/>
      <c r="C27" s="462" t="str">
        <f> IFERROR(vlookup(A27,Indirect(ResData),5, FALSE), "")</f>
        <v/>
      </c>
      <c r="D27" s="544" t="str">
        <f> IFERROR(vlookup(A27,Indirect(ResData),6, FALSE), "")</f>
        <v/>
      </c>
      <c r="E27" s="450" t="str">
        <f> IFERROR(vlookup(A27,Indirect(ResData),2, FALSE), "")</f>
        <v/>
      </c>
      <c r="F27" s="74"/>
      <c r="G27" s="451" t="str">
        <f> IFERROR(vlookup(A27,Indirect(ResData),3, FALSE), "")</f>
        <v/>
      </c>
      <c r="H27" s="414" t="str">
        <f t="array" ref="H27"> IFERROR(vlookup(A27,{Indirect(ResID),Indirect(ResDataAll)},2, FALSE), "")</f>
        <v/>
      </c>
      <c r="I27" s="452" t="str">
        <f> IFERROR(vlookup(A27,Indirect(ResData),4, FALSE), "")</f>
        <v/>
      </c>
      <c r="J27" s="454" t="str">
        <f t="shared" si="1"/>
        <v/>
      </c>
      <c r="K27" s="45"/>
    </row>
    <row r="28" ht="13.5" customHeight="1">
      <c r="A28" s="355" t="str">
        <f>IF(_xlfn.isformula(H28), "", VLOOKUP(H28,Indirect(ResDataAll),2,False))</f>
        <v/>
      </c>
      <c r="B28" s="74"/>
      <c r="C28" s="462" t="str">
        <f> IFERROR(vlookup(A28,Indirect(ResData),5, FALSE), "")</f>
        <v/>
      </c>
      <c r="D28" s="544" t="str">
        <f> IFERROR(vlookup(A28,Indirect(ResData),6, FALSE), "")</f>
        <v/>
      </c>
      <c r="E28" s="450" t="str">
        <f> IFERROR(vlookup(A28,Indirect(ResData),2, FALSE), "")</f>
        <v/>
      </c>
      <c r="F28" s="74"/>
      <c r="G28" s="451" t="str">
        <f> IFERROR(vlookup(A28,Indirect(ResData),3, FALSE), "")</f>
        <v/>
      </c>
      <c r="H28" s="414" t="str">
        <f t="array" ref="H28"> IFERROR(vlookup(A28,{Indirect(ResID),Indirect(ResDataAll)},2, FALSE), "")</f>
        <v/>
      </c>
      <c r="I28" s="452" t="str">
        <f> IFERROR(vlookup(A28,Indirect(ResData),4, FALSE), "")</f>
        <v/>
      </c>
      <c r="J28" s="454" t="str">
        <f t="shared" si="1"/>
        <v/>
      </c>
      <c r="K28" s="45"/>
    </row>
    <row r="29" ht="13.5" customHeight="1">
      <c r="A29" s="455" t="s">
        <v>429</v>
      </c>
      <c r="B29" s="456"/>
      <c r="C29" s="457" t="str">
        <f> if((COUNTIF(A11:A29,"&gt;*") + COUNTBLANK(A11:A29)) &gt; 19,"Adding rows has a negative effect on certain formulas. Maybe create another page?"," ")</f>
        <v> </v>
      </c>
      <c r="D29" s="165"/>
      <c r="E29" s="165"/>
      <c r="F29" s="165"/>
      <c r="G29" s="165"/>
      <c r="H29" s="165"/>
      <c r="I29" s="165"/>
      <c r="J29" s="165"/>
      <c r="K29" s="210"/>
    </row>
    <row r="30" ht="13.5" customHeight="1">
      <c r="A30" s="458"/>
      <c r="K30" s="94"/>
    </row>
    <row r="31" ht="13.5" customHeight="1">
      <c r="A31" s="458"/>
      <c r="K31" s="94"/>
    </row>
    <row r="32" ht="13.5" customHeight="1">
      <c r="A32" s="458"/>
      <c r="K32" s="94"/>
    </row>
    <row r="33" ht="13.5" customHeight="1">
      <c r="A33" s="458"/>
      <c r="K33" s="94"/>
    </row>
    <row r="34" ht="13.5" customHeight="1">
      <c r="A34" s="459" t="s">
        <v>430</v>
      </c>
      <c r="B34" s="165"/>
      <c r="C34" s="165"/>
      <c r="D34" s="165"/>
      <c r="E34" s="165"/>
      <c r="F34" s="165"/>
      <c r="G34" s="165"/>
      <c r="H34" s="165"/>
      <c r="I34" s="165"/>
      <c r="J34" s="165"/>
      <c r="K34" s="210"/>
    </row>
    <row r="35" ht="13.5" customHeight="1">
      <c r="A35" s="311"/>
      <c r="K35" s="94"/>
    </row>
    <row r="36" ht="13.5" customHeight="1">
      <c r="A36" s="311"/>
      <c r="K36" s="94"/>
    </row>
    <row r="37" ht="13.5" customHeight="1">
      <c r="A37" s="311"/>
      <c r="K37" s="94"/>
    </row>
    <row r="38" ht="13.5" customHeight="1">
      <c r="A38" s="314"/>
      <c r="B38" s="77"/>
      <c r="C38" s="77"/>
      <c r="D38" s="77"/>
      <c r="E38" s="77"/>
      <c r="F38" s="77"/>
      <c r="G38" s="77"/>
      <c r="H38" s="77"/>
      <c r="I38" s="77"/>
      <c r="J38" s="77"/>
      <c r="K38" s="55"/>
    </row>
    <row r="39" ht="13.5" customHeight="1">
      <c r="A39" s="545" t="s">
        <v>431</v>
      </c>
      <c r="K39" s="94"/>
    </row>
    <row r="40" ht="13.5" customHeight="1">
      <c r="A40" s="452" t="str">
        <f> "Name"</f>
        <v>Name</v>
      </c>
      <c r="B40" s="462" t="str">
        <f> "Ch"</f>
        <v>Ch</v>
      </c>
      <c r="C40" s="463" t="str">
        <f> "Function"</f>
        <v>Function</v>
      </c>
      <c r="D40" s="74"/>
      <c r="E40" s="462" t="str">
        <f> "Rx Freq"</f>
        <v>Rx Freq</v>
      </c>
      <c r="F40" s="462" t="str">
        <f> "Rx Tone"</f>
        <v>Rx Tone</v>
      </c>
      <c r="G40" s="462" t="str">
        <f> "Tx Freq"</f>
        <v>Tx Freq</v>
      </c>
      <c r="H40" s="462" t="str">
        <f> "Tx Tone"</f>
        <v>Tx Tone</v>
      </c>
      <c r="I40" s="464" t="s">
        <v>433</v>
      </c>
      <c r="J40" s="464" t="s">
        <v>434</v>
      </c>
      <c r="K40" s="45"/>
    </row>
    <row r="41" ht="13.5" customHeight="1">
      <c r="A41" s="465" t="str">
        <f>Iferror(vlookup($B41,Order205,2,False),"")</f>
        <v>CDF C1</v>
      </c>
      <c r="B41" s="466">
        <f>If(vlookup($J$3,Radio_Assignments,12,FALSE) = "",1,vlookup($J$3,Radio_Assignments,12,FALSE))</f>
        <v>1</v>
      </c>
      <c r="C41" s="467" t="str">
        <f>Iferror(vlookup($B41,Order205,4,False),"")</f>
        <v>COMMAND</v>
      </c>
      <c r="D41" s="74"/>
      <c r="E41" s="468">
        <f>Iferror(vlookup($B41,Order205,5,False),"")</f>
        <v>151.355</v>
      </c>
      <c r="F41" s="469" t="str">
        <f>Iferror(vlookup($B41,Order205,6,False),"")</f>
        <v>(T8)  103.5</v>
      </c>
      <c r="G41" s="470">
        <f>Iferror(vlookup($B41,Order205,7,False),"")</f>
        <v>159.3</v>
      </c>
      <c r="H41" s="469" t="str">
        <f>Iferror(vlookup($B41,Order205,8,False),"")</f>
        <v>OST</v>
      </c>
      <c r="I41" s="471" t="str">
        <f>Iferror(vlookup($B41,Order205,9,False),"")</f>
        <v>A</v>
      </c>
      <c r="J41" s="472" t="str">
        <f>Iferror(vlookup($B41,Order205,10,False),"")</f>
        <v/>
      </c>
      <c r="K41" s="45"/>
    </row>
    <row r="42" ht="13.5" customHeight="1">
      <c r="A42" s="473" t="str">
        <f>iferror(vlookup($J$3,Radio_Assignments,3,FALSE),"")</f>
        <v>CDF T3</v>
      </c>
      <c r="B42" s="474">
        <f>vlookup($J$3,Radio_Assignments,2,FALSE)</f>
        <v>2</v>
      </c>
      <c r="C42" s="475" t="str">
        <f>vlookup($J$3,Radio_Assignments,5,FALSE)</f>
        <v>TACTICAL</v>
      </c>
      <c r="D42" s="77"/>
      <c r="E42" s="476">
        <f>vlookup($J$3,Radio_Assignments,6,FALSE)</f>
        <v>151.175</v>
      </c>
      <c r="F42" s="477" t="str">
        <f>vlookup($J$3,Radio_Assignments,7,FALSE)</f>
        <v>(T16) 192.8</v>
      </c>
      <c r="G42" s="478">
        <f>vlookup($J$3,Radio_Assignments,8,FALSE)</f>
        <v>151.175</v>
      </c>
      <c r="H42" s="477" t="str">
        <f>vlookup($J$3,Radio_Assignments,9,FALSE)</f>
        <v>(T16) 192.8</v>
      </c>
      <c r="I42" s="479" t="str">
        <f>vlookup($J$3,Radio_Assignments,10,FALSE)</f>
        <v>A</v>
      </c>
      <c r="J42" s="480" t="str">
        <f>vlookup($J$3,Radio_Assignments,11,FALSE)</f>
        <v/>
      </c>
      <c r="K42" s="55"/>
    </row>
    <row r="43" ht="13.5" customHeight="1">
      <c r="A43" s="473" t="str">
        <f>Iferror(vlookup($B43,Order205,2,False),"")</f>
        <v>A/G CMD</v>
      </c>
      <c r="B43" s="466">
        <f>If(vlookup($J$3,Radio_Assignments,13,FALSE) = "",14,vlookup($J$3,Radio_Assignments,13,FALSE))</f>
        <v>14</v>
      </c>
      <c r="C43" s="475" t="str">
        <f>Iferror(vlookup($B43,Order205,4,False),"")</f>
        <v>A/G CMD</v>
      </c>
      <c r="D43" s="77"/>
      <c r="E43" s="476" t="str">
        <f>Iferror(vlookup($B43,Order205,5,False),"")</f>
        <v>166.6125</v>
      </c>
      <c r="F43" s="477" t="str">
        <f>Iferror(vlookup($B43,Order205,6,False),"")</f>
        <v/>
      </c>
      <c r="G43" s="478" t="str">
        <f>Iferror(vlookup($B43,Order205,7,False),"")</f>
        <v>166.6125</v>
      </c>
      <c r="H43" s="477">
        <f>Iferror(vlookup($B43,Order205,8,False),"")</f>
        <v>0</v>
      </c>
      <c r="I43" s="481" t="str">
        <f>Iferror(vlookup($B43,Order205,9,False),"")</f>
        <v>A</v>
      </c>
      <c r="J43" s="482" t="str">
        <f>Iferror(vlookup($B43,Order205,10,False),"")</f>
        <v/>
      </c>
      <c r="K43" s="55"/>
    </row>
    <row r="44" ht="13.5" customHeight="1">
      <c r="A44" s="473" t="str">
        <f>'205 Worksheet'!$C$10</f>
        <v>CALCORD</v>
      </c>
      <c r="B44" s="466">
        <f>'205 Worksheet'!$B$10</f>
        <v>15</v>
      </c>
      <c r="C44" s="475" t="str">
        <f>'205 Worksheet'!$E$10</f>
        <v>TACTICAL</v>
      </c>
      <c r="D44" s="77"/>
      <c r="E44" s="476">
        <f>'205 Worksheet'!$F$10</f>
        <v>156.075</v>
      </c>
      <c r="F44" s="477" t="str">
        <f>'205 Worksheet'!$G$10</f>
        <v>(T6)  156.7</v>
      </c>
      <c r="G44" s="478">
        <f>'205 Worksheet'!$H$10</f>
        <v>156.075</v>
      </c>
      <c r="H44" s="477" t="str">
        <f>'205 Worksheet'!$I$10</f>
        <v>(T6)  156.7</v>
      </c>
      <c r="I44" s="483" t="str">
        <f>'205 Worksheet'!$K$10</f>
        <v/>
      </c>
      <c r="J44" s="480" t="str">
        <f>'205 Worksheet'!$L$10</f>
        <v/>
      </c>
      <c r="K44" s="55"/>
    </row>
    <row r="45" ht="13.5" customHeight="1">
      <c r="A45" s="473" t="str">
        <f>'205 Worksheet'!$C$11</f>
        <v>A/G YNP</v>
      </c>
      <c r="B45" s="466">
        <f>'205 Worksheet'!$B$11</f>
        <v>16</v>
      </c>
      <c r="C45" s="475" t="str">
        <f>'205 Worksheet'!$E$11</f>
        <v>A/G</v>
      </c>
      <c r="D45" s="77"/>
      <c r="E45" s="476" t="str">
        <f>'205 Worksheet'!$F$11</f>
        <v>168.5625</v>
      </c>
      <c r="F45" s="484" t="str">
        <f>'205 Worksheet'!$G$11</f>
        <v/>
      </c>
      <c r="G45" s="485" t="str">
        <f>'205 Worksheet'!$H$11</f>
        <v>168.5625</v>
      </c>
      <c r="H45" s="484">
        <f>'205 Worksheet'!$I$11</f>
        <v>0</v>
      </c>
      <c r="I45" s="486" t="str">
        <f>'205 Worksheet'!$K$11</f>
        <v/>
      </c>
      <c r="J45" s="487" t="str">
        <f>'205 Worksheet'!$L$11</f>
        <v/>
      </c>
      <c r="K45" s="94"/>
    </row>
    <row r="46" ht="13.5" customHeight="1">
      <c r="A46" s="455" t="s">
        <v>435</v>
      </c>
      <c r="B46" s="165"/>
      <c r="C46" s="488" t="str">
        <f>'101 General Info'!$C$33</f>
        <v/>
      </c>
      <c r="D46" s="165"/>
      <c r="E46" s="165"/>
      <c r="F46" s="165"/>
      <c r="G46" s="490" t="str">
        <f>'101 General Info'!$D$33</f>
        <v>RESL</v>
      </c>
      <c r="H46" s="546" t="str">
        <f> IF(Code('101 General Info'!D34) = 9745, "Signature:____________________________","")</f>
        <v/>
      </c>
      <c r="I46" s="165"/>
      <c r="J46" s="165"/>
      <c r="K46" s="210"/>
    </row>
    <row r="47" ht="13.5" customHeight="1">
      <c r="A47" s="547" t="str">
        <f> IF(Code('101 General Info'!D34) = 9745, "Approved by:","")</f>
        <v/>
      </c>
      <c r="C47" s="548" t="str">
        <f> IF(Code('101 General Info'!D34) = 9745, '101 General Info'!$C$31,"")</f>
        <v/>
      </c>
      <c r="G47" s="548" t="str">
        <f> IF(Code('101 General Info'!D34) = 9745, "PSC","")</f>
        <v/>
      </c>
      <c r="H47" s="495" t="s">
        <v>449</v>
      </c>
      <c r="K47" s="94"/>
    </row>
    <row r="48" ht="13.5" customHeight="1">
      <c r="A48" s="549" t="s">
        <v>312</v>
      </c>
      <c r="B48" s="550"/>
      <c r="C48" s="550"/>
      <c r="D48" s="498" t="s">
        <v>389</v>
      </c>
      <c r="E48" s="77"/>
      <c r="F48" s="499">
        <f>F3 - 1</f>
        <v>43892</v>
      </c>
      <c r="G48" s="500" t="s">
        <v>438</v>
      </c>
      <c r="H48" s="551"/>
      <c r="I48" s="551"/>
      <c r="J48" s="552" t="s">
        <v>439</v>
      </c>
      <c r="K48" s="553">
        <f>Sumproduct(ABS(G11:G28))</f>
        <v>0</v>
      </c>
    </row>
    <row r="49" ht="13.5" customHeight="1">
      <c r="A49" s="504" t="s">
        <v>332</v>
      </c>
      <c r="B49" s="493"/>
      <c r="C49" s="493"/>
      <c r="D49" s="505"/>
      <c r="E49" s="505"/>
      <c r="F49" s="506"/>
      <c r="G49" s="507"/>
      <c r="H49" s="509" t="s">
        <v>414</v>
      </c>
    </row>
  </sheetData>
  <mergeCells count="108">
    <mergeCell ref="A13:B13"/>
    <mergeCell ref="A14:B14"/>
    <mergeCell ref="A15:B15"/>
    <mergeCell ref="A16:B16"/>
    <mergeCell ref="A17:B17"/>
    <mergeCell ref="A18:B18"/>
    <mergeCell ref="A19:B19"/>
    <mergeCell ref="A27:B27"/>
    <mergeCell ref="A28:B28"/>
    <mergeCell ref="A20:B20"/>
    <mergeCell ref="A21:B21"/>
    <mergeCell ref="A22:B22"/>
    <mergeCell ref="A23:B23"/>
    <mergeCell ref="A24:B24"/>
    <mergeCell ref="A25:B25"/>
    <mergeCell ref="A26:B26"/>
    <mergeCell ref="J25:K25"/>
    <mergeCell ref="J26:K26"/>
    <mergeCell ref="J18:K18"/>
    <mergeCell ref="J19:K19"/>
    <mergeCell ref="J20:K20"/>
    <mergeCell ref="J21:K21"/>
    <mergeCell ref="J22:K22"/>
    <mergeCell ref="J23:K23"/>
    <mergeCell ref="J24:K24"/>
    <mergeCell ref="J27:K27"/>
    <mergeCell ref="J28:K28"/>
    <mergeCell ref="C29:K29"/>
    <mergeCell ref="A30:K30"/>
    <mergeCell ref="A31:K31"/>
    <mergeCell ref="A32:K32"/>
    <mergeCell ref="A33:K33"/>
    <mergeCell ref="J41:K41"/>
    <mergeCell ref="J42:K42"/>
    <mergeCell ref="J43:K43"/>
    <mergeCell ref="J44:K44"/>
    <mergeCell ref="J45:K45"/>
    <mergeCell ref="H46:K46"/>
    <mergeCell ref="H47:K47"/>
    <mergeCell ref="H49:K49"/>
    <mergeCell ref="A34:K34"/>
    <mergeCell ref="A35:K35"/>
    <mergeCell ref="A36:K36"/>
    <mergeCell ref="A37:K37"/>
    <mergeCell ref="A38:K38"/>
    <mergeCell ref="A39:K39"/>
    <mergeCell ref="J40:K40"/>
    <mergeCell ref="A46:B46"/>
    <mergeCell ref="A47:B47"/>
    <mergeCell ref="C47:F47"/>
    <mergeCell ref="D48:E48"/>
    <mergeCell ref="C40:D40"/>
    <mergeCell ref="C41:D41"/>
    <mergeCell ref="C42:D42"/>
    <mergeCell ref="C43:D43"/>
    <mergeCell ref="C44:D44"/>
    <mergeCell ref="C45:D45"/>
    <mergeCell ref="C46:F46"/>
    <mergeCell ref="A1:B1"/>
    <mergeCell ref="C1:H1"/>
    <mergeCell ref="I1:K1"/>
    <mergeCell ref="A2:D2"/>
    <mergeCell ref="E2:H2"/>
    <mergeCell ref="J2:K2"/>
    <mergeCell ref="A3:D3"/>
    <mergeCell ref="A4:D4"/>
    <mergeCell ref="A5:H5"/>
    <mergeCell ref="B6:F6"/>
    <mergeCell ref="B7:F7"/>
    <mergeCell ref="B8:F8"/>
    <mergeCell ref="A9:B9"/>
    <mergeCell ref="C9:H9"/>
    <mergeCell ref="I3:I4"/>
    <mergeCell ref="J3:K4"/>
    <mergeCell ref="J5:K5"/>
    <mergeCell ref="H6:K6"/>
    <mergeCell ref="H7:K7"/>
    <mergeCell ref="H8:K8"/>
    <mergeCell ref="I9:K9"/>
    <mergeCell ref="A10:B10"/>
    <mergeCell ref="E10:F10"/>
    <mergeCell ref="A11:B11"/>
    <mergeCell ref="E11:F11"/>
    <mergeCell ref="A12:B12"/>
    <mergeCell ref="E12:F12"/>
    <mergeCell ref="E13:F13"/>
    <mergeCell ref="E21:F21"/>
    <mergeCell ref="E22:F22"/>
    <mergeCell ref="E23:F23"/>
    <mergeCell ref="E24:F24"/>
    <mergeCell ref="E25:F25"/>
    <mergeCell ref="E26:F26"/>
    <mergeCell ref="E27:F27"/>
    <mergeCell ref="E28:F28"/>
    <mergeCell ref="E14:F14"/>
    <mergeCell ref="E15:F15"/>
    <mergeCell ref="E16:F16"/>
    <mergeCell ref="E17:F17"/>
    <mergeCell ref="E18:F18"/>
    <mergeCell ref="E19:F19"/>
    <mergeCell ref="E20:F20"/>
    <mergeCell ref="J11:K11"/>
    <mergeCell ref="J12:K12"/>
    <mergeCell ref="J13:K13"/>
    <mergeCell ref="J14:K14"/>
    <mergeCell ref="J15:K15"/>
    <mergeCell ref="J16:K16"/>
    <mergeCell ref="J17:K17"/>
  </mergeCells>
  <conditionalFormatting sqref="E11:F28">
    <cfRule type="containsText" dxfId="6" priority="1" operator="containsText" text="Assigned">
      <formula>NOT(ISERROR(SEARCH(("Assigned"),(E11))))</formula>
    </cfRule>
  </conditionalFormatting>
  <conditionalFormatting sqref="E11:F28 H11:K28">
    <cfRule type="expression" dxfId="7" priority="2">
      <formula> AND($I11 &lt;&gt; Concatenate($F$4,"-",$H$4) ,NOT((isformula(E11))))</formula>
    </cfRule>
  </conditionalFormatting>
  <conditionalFormatting sqref="A11:F28 H11:K28">
    <cfRule type="expression" dxfId="8" priority="3">
      <formula> $I11 &lt;&gt; Concatenate($F$4,"-",$H$4)</formula>
    </cfRule>
  </conditionalFormatting>
  <conditionalFormatting sqref="C11:F28 H11:K28">
    <cfRule type="expression" dxfId="9" priority="4">
      <formula> NOT((isformula(C11)))</formula>
    </cfRule>
  </conditionalFormatting>
  <dataValidations>
    <dataValidation type="list" allowBlank="1" sqref="A11:A28">
      <formula1>ResourceID!$B$2:$B49</formula1>
    </dataValidation>
    <dataValidation type="list" allowBlank="1" sqref="A30:A33">
      <formula1>WorkAssignments</formula1>
    </dataValidation>
  </dataValidations>
  <printOptions horizontalCentered="1"/>
  <pageMargins bottom="0.75" footer="0.0" header="0.0" left="0.25" right="0.25" top="0.75"/>
  <pageSetup orientation="portrait" pageOrder="overThenDown"/>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workbookViewId="0"/>
  </sheetViews>
  <sheetFormatPr customHeight="1" defaultColWidth="12.63" defaultRowHeight="15.75"/>
  <cols>
    <col customWidth="1" min="1" max="1" width="9.38"/>
    <col customWidth="1" min="2" max="2" width="12.13"/>
    <col customWidth="1" min="3" max="3" width="5.13"/>
    <col customWidth="1" min="4" max="4" width="4.0"/>
    <col customWidth="1" min="5" max="5" width="10.13"/>
    <col customWidth="1" min="6" max="6" width="9.63"/>
    <col customWidth="1" min="7" max="7" width="10.13"/>
    <col customWidth="1" min="8" max="8" width="12.88"/>
    <col customWidth="1" min="9" max="9" width="10.63"/>
    <col customWidth="1" min="10" max="10" width="16.88"/>
    <col customWidth="1" min="11" max="11" width="3.0"/>
  </cols>
  <sheetData>
    <row r="1" ht="13.5" customHeight="1">
      <c r="A1" s="418"/>
      <c r="B1" s="418"/>
      <c r="C1" s="418"/>
      <c r="D1" s="418"/>
      <c r="E1" s="419" t="s">
        <v>413</v>
      </c>
      <c r="F1" s="77"/>
      <c r="G1" s="77"/>
      <c r="H1" s="77"/>
      <c r="I1" s="420" t="s">
        <v>414</v>
      </c>
      <c r="J1" s="77"/>
      <c r="K1" s="77"/>
    </row>
    <row r="2" ht="13.5" customHeight="1">
      <c r="A2" s="399" t="s">
        <v>282</v>
      </c>
      <c r="B2" s="165"/>
      <c r="C2" s="165"/>
      <c r="D2" s="210"/>
      <c r="E2" s="399" t="s">
        <v>283</v>
      </c>
      <c r="F2" s="165"/>
      <c r="G2" s="165"/>
      <c r="H2" s="210"/>
      <c r="I2" s="421" t="s">
        <v>415</v>
      </c>
      <c r="K2" s="94"/>
    </row>
    <row r="3" ht="13.5" customHeight="1">
      <c r="A3" s="422" t="str">
        <f>'101 General Info'!C2</f>
        <v>NO NAME</v>
      </c>
      <c r="D3" s="94"/>
      <c r="E3" s="423" t="s">
        <v>284</v>
      </c>
      <c r="F3" s="424">
        <f>OpDate</f>
        <v>43893</v>
      </c>
      <c r="G3" s="425" t="s">
        <v>130</v>
      </c>
      <c r="H3" s="426">
        <f>OpDateTo</f>
        <v>43894</v>
      </c>
      <c r="K3" s="94"/>
    </row>
    <row r="4" ht="13.5" customHeight="1">
      <c r="A4" s="104"/>
      <c r="B4" s="77"/>
      <c r="C4" s="77"/>
      <c r="D4" s="55"/>
      <c r="E4" s="427" t="s">
        <v>131</v>
      </c>
      <c r="F4" s="428" t="str">
        <f>OpStart</f>
        <v>0700</v>
      </c>
      <c r="G4" s="429" t="s">
        <v>133</v>
      </c>
      <c r="H4" s="430" t="str">
        <f>OpEnd</f>
        <v>0700</v>
      </c>
      <c r="I4" s="312" t="s">
        <v>416</v>
      </c>
      <c r="J4" s="431" t="str">
        <f>'203'!E9</f>
        <v>I</v>
      </c>
      <c r="K4" s="94"/>
    </row>
    <row r="5" ht="13.5" customHeight="1">
      <c r="A5" s="432" t="s">
        <v>417</v>
      </c>
      <c r="B5" s="165"/>
      <c r="C5" s="165"/>
      <c r="D5" s="433"/>
      <c r="E5" s="165"/>
      <c r="F5" s="165"/>
      <c r="G5" s="165"/>
      <c r="H5" s="434"/>
      <c r="I5" s="435" t="s">
        <v>418</v>
      </c>
      <c r="J5" s="436" t="str">
        <f> TRIM('203'!E10)</f>
        <v>A - FEMA</v>
      </c>
      <c r="K5" s="94"/>
    </row>
    <row r="6" ht="13.5" customHeight="1">
      <c r="A6" s="437" t="s">
        <v>419</v>
      </c>
      <c r="C6" s="438" t="str">
        <f>IF('203'!E7 = "",'203'!E5,'203'!E5 &amp; "     Night Ops: " &amp; '203'!E7)</f>
        <v/>
      </c>
      <c r="H6" s="94"/>
      <c r="K6" s="94"/>
    </row>
    <row r="7" ht="13.5" customHeight="1">
      <c r="A7" s="437" t="s">
        <v>420</v>
      </c>
      <c r="C7" s="438" t="str">
        <f>'203'!F9</f>
        <v>Joseph Branch (Example)</v>
      </c>
      <c r="G7" s="439" t="str">
        <f> IF(vlookup(J4,SafetyOfficers,2,False) = "","",Concatenate("Branch Safety: ", vlookup(J4,SafetyOfficers,2,False)))</f>
        <v/>
      </c>
      <c r="H7" s="94"/>
      <c r="I7" s="313"/>
      <c r="J7" s="440" t="str">
        <f>IF(Iserror(vlookup(J5,PhonicAlphabet!A:B,2,FALSE)),"",vlookup(J5,PhonicAlphabet!A:B,2,FALSE))</f>
        <v/>
      </c>
      <c r="K7" s="94"/>
    </row>
    <row r="8" ht="13.5" customHeight="1">
      <c r="A8" s="441" t="s">
        <v>421</v>
      </c>
      <c r="B8" s="77"/>
      <c r="C8" s="442" t="str">
        <f>'203'!F10</f>
        <v>Tim Braun (Example)</v>
      </c>
      <c r="D8" s="77"/>
      <c r="E8" s="77"/>
      <c r="F8" s="77"/>
      <c r="G8" s="77"/>
      <c r="H8" s="55"/>
      <c r="I8" s="77"/>
      <c r="J8" s="443" t="s">
        <v>422</v>
      </c>
      <c r="K8" s="55"/>
    </row>
    <row r="9" ht="13.5" customHeight="1">
      <c r="A9" s="444" t="s">
        <v>423</v>
      </c>
      <c r="B9" s="74"/>
      <c r="C9" s="445" t="str">
        <f>'101 General Info'!D39</f>
        <v>** Resources Below in Bold are 12 Hour **</v>
      </c>
      <c r="D9" s="74"/>
      <c r="E9" s="74"/>
      <c r="F9" s="74"/>
      <c r="G9" s="74"/>
      <c r="H9" s="45"/>
      <c r="I9" s="446" t="s">
        <v>424</v>
      </c>
      <c r="J9" s="165"/>
      <c r="K9" s="210"/>
    </row>
    <row r="10" ht="13.5" customHeight="1">
      <c r="A10" s="377" t="s">
        <v>425</v>
      </c>
      <c r="B10" s="77"/>
      <c r="C10" s="77"/>
      <c r="D10" s="55"/>
      <c r="E10" s="447" t="s">
        <v>426</v>
      </c>
      <c r="F10" s="55"/>
      <c r="G10" s="448" t="s">
        <v>427</v>
      </c>
      <c r="H10" s="449" t="s">
        <v>428</v>
      </c>
      <c r="I10" s="104"/>
      <c r="J10" s="77"/>
      <c r="K10" s="55"/>
    </row>
    <row r="11" ht="13.5" customHeight="1">
      <c r="A11" s="355" t="str">
        <f>IF(_xlfn.isformula(H11), "", VLOOKUP(H11,Indirect(ResDataAll),2,False))</f>
        <v/>
      </c>
      <c r="B11" s="74"/>
      <c r="C11" s="74"/>
      <c r="D11" s="74"/>
      <c r="E11" s="414" t="str">
        <f> IFERROR(vlookup(A11,Indirect(ResData),2, FALSE), "")</f>
        <v/>
      </c>
      <c r="F11" s="74"/>
      <c r="G11" s="344" t="str">
        <f> IFERROR(vlookup(A11,Indirect(ResData),3, FALSE), "")</f>
        <v/>
      </c>
      <c r="H11" s="414" t="str">
        <f t="array" ref="H11"> IFERROR(vlookup(A11,{Indirect(ResID),Indirect(ResDataAll)},2, FALSE), "")</f>
        <v/>
      </c>
      <c r="I11" s="355" t="str">
        <f> IFERROR(vlookup(A11,Indirect(ResData),4, FALSE), "")</f>
        <v/>
      </c>
      <c r="J11" s="453"/>
      <c r="K11" s="45"/>
    </row>
    <row r="12" ht="13.5" customHeight="1">
      <c r="A12" s="355" t="str">
        <f>IF(_xlfn.isformula(H12), "", VLOOKUP(H12,Indirect(ResDataAll),2,False))</f>
        <v/>
      </c>
      <c r="B12" s="74"/>
      <c r="C12" s="74"/>
      <c r="D12" s="74"/>
      <c r="E12" s="414" t="str">
        <f> IFERROR(vlookup(A12,Indirect(ResData),2, FALSE), "")</f>
        <v/>
      </c>
      <c r="F12" s="74"/>
      <c r="G12" s="344" t="str">
        <f> IFERROR(vlookup(A12,Indirect(ResData),3, FALSE), "")</f>
        <v/>
      </c>
      <c r="H12" s="414" t="str">
        <f t="array" ref="H12"> IFERROR(vlookup(A12,{Indirect(ResID),Indirect(ResDataAll)},2, FALSE), "")</f>
        <v/>
      </c>
      <c r="I12" s="355" t="str">
        <f> IFERROR(vlookup(A12,Indirect(ResData),4, FALSE), "")</f>
        <v/>
      </c>
      <c r="J12" s="454" t="str">
        <f t="shared" ref="J12:J28" si="1"> IF(A12 = "","",J11)</f>
        <v/>
      </c>
      <c r="K12" s="45"/>
    </row>
    <row r="13" ht="13.5" customHeight="1">
      <c r="A13" s="554" t="str">
        <f>IF(_xlfn.isformula(H13), "", VLOOKUP(H13,Indirect(ResDataAll),2,False))</f>
        <v/>
      </c>
      <c r="B13" s="74"/>
      <c r="C13" s="74"/>
      <c r="D13" s="74"/>
      <c r="E13" s="414" t="str">
        <f> IFERROR(vlookup(A13,Indirect(ResData),2, FALSE), "")</f>
        <v/>
      </c>
      <c r="F13" s="74"/>
      <c r="G13" s="344" t="str">
        <f> IFERROR(vlookup(A13,Indirect(ResData),3, FALSE), "")</f>
        <v/>
      </c>
      <c r="H13" s="414" t="str">
        <f t="array" ref="H13"> IFERROR(vlookup(A13,{Indirect(ResID),Indirect(ResDataAll)},2, FALSE), "")</f>
        <v/>
      </c>
      <c r="I13" s="355" t="str">
        <f> IFERROR(vlookup(A13,Indirect(ResData),4, FALSE), "")</f>
        <v/>
      </c>
      <c r="J13" s="454" t="str">
        <f t="shared" si="1"/>
        <v/>
      </c>
      <c r="K13" s="45"/>
    </row>
    <row r="14" ht="13.5" customHeight="1">
      <c r="A14" s="355" t="str">
        <f>IF(_xlfn.isformula(H14), "", VLOOKUP(H14,Indirect(ResDataAll),2,False))</f>
        <v/>
      </c>
      <c r="B14" s="74"/>
      <c r="C14" s="74"/>
      <c r="D14" s="74"/>
      <c r="E14" s="414" t="str">
        <f> IFERROR(vlookup(A14,Indirect(ResData),2, FALSE), "")</f>
        <v/>
      </c>
      <c r="F14" s="74"/>
      <c r="G14" s="344" t="str">
        <f> IFERROR(vlookup(A14,Indirect(ResData),3, FALSE), "")</f>
        <v/>
      </c>
      <c r="H14" s="414" t="str">
        <f t="array" ref="H14"> IFERROR(vlookup(A14,{Indirect(ResID),Indirect(ResDataAll)},2, FALSE), "")</f>
        <v/>
      </c>
      <c r="I14" s="355" t="str">
        <f> IFERROR(vlookup(A14,Indirect(ResData),4, FALSE), "")</f>
        <v/>
      </c>
      <c r="J14" s="454" t="str">
        <f t="shared" si="1"/>
        <v/>
      </c>
      <c r="K14" s="45"/>
    </row>
    <row r="15" ht="13.5" customHeight="1">
      <c r="A15" s="355" t="str">
        <f>IF(_xlfn.isformula(H15), "", VLOOKUP(H15,Indirect(ResDataAll),2,False))</f>
        <v/>
      </c>
      <c r="B15" s="74"/>
      <c r="C15" s="74"/>
      <c r="D15" s="74"/>
      <c r="E15" s="450" t="str">
        <f> IFERROR(vlookup(A15,Indirect(ResData),2, FALSE), "")</f>
        <v/>
      </c>
      <c r="F15" s="74"/>
      <c r="G15" s="555" t="str">
        <f> IFERROR(vlookup(A15,Indirect(ResData),3, FALSE), "")</f>
        <v/>
      </c>
      <c r="H15" s="414" t="str">
        <f t="array" ref="H15"> IFERROR(vlookup(A15,{Indirect(ResID),Indirect(ResDataAll)},2, FALSE), "")</f>
        <v/>
      </c>
      <c r="I15" s="452" t="str">
        <f> IFERROR(vlookup(A15,Indirect(ResData),4, FALSE), "")</f>
        <v/>
      </c>
      <c r="J15" s="454" t="str">
        <f t="shared" si="1"/>
        <v/>
      </c>
      <c r="K15" s="45"/>
    </row>
    <row r="16" ht="13.5" customHeight="1">
      <c r="A16" s="355" t="str">
        <f>IF(_xlfn.isformula(H16), "", VLOOKUP(H16,Indirect(ResDataAll),2,False))</f>
        <v/>
      </c>
      <c r="B16" s="74"/>
      <c r="C16" s="74"/>
      <c r="D16" s="74"/>
      <c r="E16" s="450" t="str">
        <f> IFERROR(vlookup(A16,Indirect(ResData),2, FALSE), "")</f>
        <v/>
      </c>
      <c r="F16" s="74"/>
      <c r="G16" s="555" t="str">
        <f> IFERROR(vlookup(A16,Indirect(ResData),3, FALSE), "")</f>
        <v/>
      </c>
      <c r="H16" s="414" t="str">
        <f t="array" ref="H16"> IFERROR(vlookup(A16,{Indirect(ResID),Indirect(ResDataAll)},2, FALSE), "")</f>
        <v/>
      </c>
      <c r="I16" s="452" t="str">
        <f> IFERROR(vlookup(A16,Indirect(ResData),4, FALSE), "")</f>
        <v/>
      </c>
      <c r="J16" s="454" t="str">
        <f t="shared" si="1"/>
        <v/>
      </c>
      <c r="K16" s="45"/>
    </row>
    <row r="17" ht="13.5" customHeight="1">
      <c r="A17" s="355" t="str">
        <f>IF(_xlfn.isformula(H17), "", VLOOKUP(H17,Indirect(ResDataAll),2,False))</f>
        <v/>
      </c>
      <c r="B17" s="74"/>
      <c r="C17" s="74"/>
      <c r="D17" s="74"/>
      <c r="E17" s="450" t="str">
        <f> IFERROR(vlookup(A17,Indirect(ResData),2, FALSE), "")</f>
        <v/>
      </c>
      <c r="F17" s="74"/>
      <c r="G17" s="555" t="str">
        <f> IFERROR(vlookup(A17,Indirect(ResData),3, FALSE), "")</f>
        <v/>
      </c>
      <c r="H17" s="414" t="str">
        <f t="array" ref="H17"> IFERROR(vlookup(A17,{Indirect(ResID),Indirect(ResDataAll)},2, FALSE), "")</f>
        <v/>
      </c>
      <c r="I17" s="452" t="str">
        <f> IFERROR(vlookup(A17,Indirect(ResData),4, FALSE), "")</f>
        <v/>
      </c>
      <c r="J17" s="454" t="str">
        <f t="shared" si="1"/>
        <v/>
      </c>
      <c r="K17" s="45"/>
    </row>
    <row r="18" ht="13.5" customHeight="1">
      <c r="A18" s="355" t="str">
        <f>IF(_xlfn.isformula(H18), "", VLOOKUP(H18,Indirect(ResDataAll),2,False))</f>
        <v/>
      </c>
      <c r="B18" s="74"/>
      <c r="C18" s="74"/>
      <c r="D18" s="74"/>
      <c r="E18" s="450" t="str">
        <f> IFERROR(vlookup(A18,Indirect(ResData),2, FALSE), "")</f>
        <v/>
      </c>
      <c r="F18" s="74"/>
      <c r="G18" s="555" t="str">
        <f> IFERROR(vlookup(A18,Indirect(ResData),3, FALSE), "")</f>
        <v/>
      </c>
      <c r="H18" s="414" t="str">
        <f t="array" ref="H18"> IFERROR(vlookup(A18,{Indirect(ResID),Indirect(ResDataAll)},2, FALSE), "")</f>
        <v/>
      </c>
      <c r="I18" s="452" t="str">
        <f> IFERROR(vlookup(A18,Indirect(ResData),4, FALSE), "")</f>
        <v/>
      </c>
      <c r="J18" s="454" t="str">
        <f t="shared" si="1"/>
        <v/>
      </c>
      <c r="K18" s="45"/>
    </row>
    <row r="19" ht="13.5" customHeight="1">
      <c r="A19" s="355" t="str">
        <f>IF(_xlfn.isformula(H19), "", VLOOKUP(H19,Indirect(ResDataAll),2,False))</f>
        <v/>
      </c>
      <c r="B19" s="74"/>
      <c r="C19" s="74"/>
      <c r="D19" s="74"/>
      <c r="E19" s="450" t="str">
        <f> IFERROR(vlookup(A19,Indirect(ResData),2, FALSE), "")</f>
        <v/>
      </c>
      <c r="F19" s="74"/>
      <c r="G19" s="555" t="str">
        <f> IFERROR(vlookup(A19,Indirect(ResData),3, FALSE), "")</f>
        <v/>
      </c>
      <c r="H19" s="414" t="str">
        <f t="array" ref="H19"> IFERROR(vlookup(A19,{Indirect(ResID),Indirect(ResDataAll)},2, FALSE), "")</f>
        <v/>
      </c>
      <c r="I19" s="452" t="str">
        <f> IFERROR(vlookup(A19,Indirect(ResData),4, FALSE), "")</f>
        <v/>
      </c>
      <c r="J19" s="454" t="str">
        <f t="shared" si="1"/>
        <v/>
      </c>
      <c r="K19" s="45"/>
    </row>
    <row r="20" ht="13.5" customHeight="1">
      <c r="A20" s="355" t="str">
        <f>IF(_xlfn.isformula(H20), "", VLOOKUP(H20,Indirect(ResDataAll),2,False))</f>
        <v/>
      </c>
      <c r="B20" s="74"/>
      <c r="C20" s="74"/>
      <c r="D20" s="74"/>
      <c r="E20" s="450" t="str">
        <f> IFERROR(vlookup(A20,Indirect(ResData),2, FALSE), "")</f>
        <v/>
      </c>
      <c r="F20" s="74"/>
      <c r="G20" s="555" t="str">
        <f> IFERROR(vlookup(A20,Indirect(ResData),3, FALSE), "")</f>
        <v/>
      </c>
      <c r="H20" s="414" t="str">
        <f t="array" ref="H20"> IFERROR(vlookup(A20,{Indirect(ResID),Indirect(ResDataAll)},2, FALSE), "")</f>
        <v/>
      </c>
      <c r="I20" s="452" t="str">
        <f> IFERROR(vlookup(A20,Indirect(ResData),4, FALSE), "")</f>
        <v/>
      </c>
      <c r="J20" s="454" t="str">
        <f t="shared" si="1"/>
        <v/>
      </c>
      <c r="K20" s="45"/>
    </row>
    <row r="21" ht="13.5" customHeight="1">
      <c r="A21" s="355" t="str">
        <f>IF(_xlfn.isformula(H21), "", VLOOKUP(H21,Indirect(ResDataAll),2,False))</f>
        <v/>
      </c>
      <c r="B21" s="74"/>
      <c r="C21" s="74"/>
      <c r="D21" s="74"/>
      <c r="E21" s="450" t="str">
        <f> IFERROR(vlookup(A21,Indirect(ResData),2, FALSE), "")</f>
        <v/>
      </c>
      <c r="F21" s="74"/>
      <c r="G21" s="555" t="str">
        <f> IFERROR(vlookup(A21,Indirect(ResData),3, FALSE), "")</f>
        <v/>
      </c>
      <c r="H21" s="414" t="str">
        <f t="array" ref="H21"> IFERROR(vlookup(A21,{Indirect(ResID),Indirect(ResDataAll)},2, FALSE), "")</f>
        <v/>
      </c>
      <c r="I21" s="452" t="str">
        <f> IFERROR(vlookup(A21,Indirect(ResData),4, FALSE), "")</f>
        <v/>
      </c>
      <c r="J21" s="454" t="str">
        <f t="shared" si="1"/>
        <v/>
      </c>
      <c r="K21" s="45"/>
    </row>
    <row r="22" ht="13.5" customHeight="1">
      <c r="A22" s="355" t="str">
        <f>IF(_xlfn.isformula(H22), "", VLOOKUP(H22,Indirect(ResDataAll),2,False))</f>
        <v/>
      </c>
      <c r="B22" s="74"/>
      <c r="C22" s="74"/>
      <c r="D22" s="74"/>
      <c r="E22" s="450" t="str">
        <f> IFERROR(vlookup(A22,Indirect(ResData),2, FALSE), "")</f>
        <v/>
      </c>
      <c r="F22" s="74"/>
      <c r="G22" s="555" t="str">
        <f> IFERROR(vlookup(A22,Indirect(ResData),3, FALSE), "")</f>
        <v/>
      </c>
      <c r="H22" s="414" t="str">
        <f t="array" ref="H22"> IFERROR(vlookup(A22,{Indirect(ResID),Indirect(ResDataAll)},2, FALSE), "")</f>
        <v/>
      </c>
      <c r="I22" s="452" t="str">
        <f> IFERROR(vlookup(A22,Indirect(ResData),4, FALSE), "")</f>
        <v/>
      </c>
      <c r="J22" s="454" t="str">
        <f t="shared" si="1"/>
        <v/>
      </c>
      <c r="K22" s="45"/>
    </row>
    <row r="23" ht="13.5" customHeight="1">
      <c r="A23" s="355" t="str">
        <f>IF(_xlfn.isformula(H23), "", VLOOKUP(H23,Indirect(ResDataAll),2,False))</f>
        <v/>
      </c>
      <c r="B23" s="74"/>
      <c r="C23" s="74"/>
      <c r="D23" s="74"/>
      <c r="E23" s="450" t="str">
        <f> IFERROR(vlookup(A23,Indirect(ResData),2, FALSE), "")</f>
        <v/>
      </c>
      <c r="F23" s="74"/>
      <c r="G23" s="555" t="str">
        <f> IFERROR(vlookup(A23,Indirect(ResData),3, FALSE), "")</f>
        <v/>
      </c>
      <c r="H23" s="414" t="str">
        <f t="array" ref="H23"> IFERROR(vlookup(A23,{Indirect(ResID),Indirect(ResDataAll)},2, FALSE), "")</f>
        <v/>
      </c>
      <c r="I23" s="452" t="str">
        <f> IFERROR(vlookup(A23,Indirect(ResData),4, FALSE), "")</f>
        <v/>
      </c>
      <c r="J23" s="454" t="str">
        <f t="shared" si="1"/>
        <v/>
      </c>
      <c r="K23" s="45"/>
    </row>
    <row r="24" ht="13.5" customHeight="1">
      <c r="A24" s="355" t="str">
        <f>IF(_xlfn.isformula(H24), "", VLOOKUP(H24,Indirect(ResDataAll),2,False))</f>
        <v/>
      </c>
      <c r="B24" s="74"/>
      <c r="C24" s="74"/>
      <c r="D24" s="74"/>
      <c r="E24" s="450" t="str">
        <f> IFERROR(vlookup(A24,Indirect(ResData),2, FALSE), "")</f>
        <v/>
      </c>
      <c r="F24" s="74"/>
      <c r="G24" s="555" t="str">
        <f> IFERROR(vlookup(A24,Indirect(ResData),3, FALSE), "")</f>
        <v/>
      </c>
      <c r="H24" s="414" t="str">
        <f t="array" ref="H24"> IFERROR(vlookup(A24,{Indirect(ResID),Indirect(ResDataAll)},2, FALSE), "")</f>
        <v/>
      </c>
      <c r="I24" s="452" t="str">
        <f> IFERROR(vlookup(A24,Indirect(ResData),4, FALSE), "")</f>
        <v/>
      </c>
      <c r="J24" s="454" t="str">
        <f t="shared" si="1"/>
        <v/>
      </c>
      <c r="K24" s="45"/>
    </row>
    <row r="25" ht="13.5" customHeight="1">
      <c r="A25" s="355" t="str">
        <f>IF(_xlfn.isformula(H25), "", VLOOKUP(H25,Indirect(ResDataAll),2,False))</f>
        <v/>
      </c>
      <c r="B25" s="74"/>
      <c r="C25" s="74"/>
      <c r="D25" s="74"/>
      <c r="E25" s="450" t="str">
        <f> IFERROR(vlookup(A25,Indirect(ResData),2, FALSE), "")</f>
        <v/>
      </c>
      <c r="F25" s="74"/>
      <c r="G25" s="555" t="str">
        <f> IFERROR(vlookup(A25,Indirect(ResData),3, FALSE), "")</f>
        <v/>
      </c>
      <c r="H25" s="414" t="str">
        <f t="array" ref="H25"> IFERROR(vlookup(A25,{Indirect(ResID),Indirect(ResDataAll)},2, FALSE), "")</f>
        <v/>
      </c>
      <c r="I25" s="452" t="str">
        <f> IFERROR(vlookup(A25,Indirect(ResData),4, FALSE), "")</f>
        <v/>
      </c>
      <c r="J25" s="454" t="str">
        <f t="shared" si="1"/>
        <v/>
      </c>
      <c r="K25" s="45"/>
    </row>
    <row r="26" ht="13.5" customHeight="1">
      <c r="A26" s="355" t="str">
        <f>IF(_xlfn.isformula(H26), "", VLOOKUP(H26,Indirect(ResDataAll),2,False))</f>
        <v/>
      </c>
      <c r="B26" s="74"/>
      <c r="C26" s="74"/>
      <c r="D26" s="74"/>
      <c r="E26" s="450" t="str">
        <f> IFERROR(vlookup(A26,Indirect(ResData),2, FALSE), "")</f>
        <v/>
      </c>
      <c r="F26" s="74"/>
      <c r="G26" s="555" t="str">
        <f> IFERROR(vlookup(A26,Indirect(ResData),3, FALSE), "")</f>
        <v/>
      </c>
      <c r="H26" s="414" t="str">
        <f t="array" ref="H26"> IFERROR(vlookup(A26,{Indirect(ResID),Indirect(ResDataAll)},2, FALSE), "")</f>
        <v/>
      </c>
      <c r="I26" s="452" t="str">
        <f> IFERROR(vlookup(A26,Indirect(ResData),4, FALSE), "")</f>
        <v/>
      </c>
      <c r="J26" s="454" t="str">
        <f t="shared" si="1"/>
        <v/>
      </c>
      <c r="K26" s="45"/>
    </row>
    <row r="27" ht="13.5" customHeight="1">
      <c r="A27" s="355" t="str">
        <f>IF(_xlfn.isformula(H27), "", VLOOKUP(H27,Indirect(ResDataAll),2,False))</f>
        <v/>
      </c>
      <c r="B27" s="74"/>
      <c r="C27" s="74"/>
      <c r="D27" s="74"/>
      <c r="E27" s="450" t="str">
        <f> IFERROR(vlookup(A27,Indirect(ResData),2, FALSE), "")</f>
        <v/>
      </c>
      <c r="F27" s="74"/>
      <c r="G27" s="555" t="str">
        <f> IFERROR(vlookup(A27,Indirect(ResData),3, FALSE), "")</f>
        <v/>
      </c>
      <c r="H27" s="414" t="str">
        <f t="array" ref="H27"> IFERROR(vlookup(A27,{Indirect(ResID),Indirect(ResDataAll)},2, FALSE), "")</f>
        <v/>
      </c>
      <c r="I27" s="452" t="str">
        <f> IFERROR(vlookup(A27,Indirect(ResData),4, FALSE), "")</f>
        <v/>
      </c>
      <c r="J27" s="454" t="str">
        <f t="shared" si="1"/>
        <v/>
      </c>
      <c r="K27" s="45"/>
    </row>
    <row r="28" ht="13.5" customHeight="1">
      <c r="A28" s="355" t="str">
        <f>IF(_xlfn.isformula(H28), "", VLOOKUP(H28,Indirect(ResDataAll),2,False))</f>
        <v/>
      </c>
      <c r="B28" s="74"/>
      <c r="C28" s="74"/>
      <c r="D28" s="74"/>
      <c r="E28" s="450" t="str">
        <f> IFERROR(vlookup(A28,Indirect(ResData),2, FALSE), "")</f>
        <v/>
      </c>
      <c r="F28" s="74"/>
      <c r="G28" s="555" t="str">
        <f> IFERROR(vlookup(A28,Indirect(ResData),3, FALSE), "")</f>
        <v/>
      </c>
      <c r="H28" s="414" t="str">
        <f t="array" ref="H28"> IFERROR(vlookup(A28,{Indirect(ResID),Indirect(ResDataAll)},2, FALSE), "")</f>
        <v/>
      </c>
      <c r="I28" s="452" t="str">
        <f> IFERROR(vlookup(A28,Indirect(ResData),4, FALSE), "")</f>
        <v/>
      </c>
      <c r="J28" s="454" t="str">
        <f t="shared" si="1"/>
        <v/>
      </c>
      <c r="K28" s="45"/>
    </row>
    <row r="29" ht="13.5" customHeight="1">
      <c r="A29" s="455" t="s">
        <v>429</v>
      </c>
      <c r="B29" s="456"/>
      <c r="C29" s="457" t="str">
        <f> if((COUNTIF(A11:A29,"&gt;*") + COUNTBLANK(A11:A29)) &gt; 19,"Adding rows has a negative effect on certain formulas. Maybe create another page?"," ")</f>
        <v> </v>
      </c>
      <c r="D29" s="165"/>
      <c r="E29" s="165"/>
      <c r="F29" s="165"/>
      <c r="G29" s="165"/>
      <c r="H29" s="165"/>
      <c r="I29" s="165"/>
      <c r="J29" s="165"/>
      <c r="K29" s="210"/>
    </row>
    <row r="30" ht="13.5" customHeight="1">
      <c r="A30" s="458"/>
      <c r="K30" s="94"/>
    </row>
    <row r="31" ht="13.5" customHeight="1">
      <c r="A31" s="458"/>
      <c r="K31" s="94"/>
    </row>
    <row r="32" ht="13.5" customHeight="1">
      <c r="A32" s="458"/>
      <c r="K32" s="94"/>
    </row>
    <row r="33" ht="13.5" customHeight="1">
      <c r="A33" s="458"/>
      <c r="K33" s="94"/>
    </row>
    <row r="34" ht="13.5" customHeight="1">
      <c r="A34" s="459" t="s">
        <v>430</v>
      </c>
      <c r="B34" s="165"/>
      <c r="C34" s="165"/>
      <c r="D34" s="165"/>
      <c r="E34" s="165"/>
      <c r="F34" s="165"/>
      <c r="G34" s="165"/>
      <c r="H34" s="165"/>
      <c r="I34" s="165"/>
      <c r="J34" s="165"/>
      <c r="K34" s="210"/>
    </row>
    <row r="35" ht="13.5" customHeight="1">
      <c r="A35" s="311"/>
      <c r="K35" s="94"/>
    </row>
    <row r="36" ht="13.5" customHeight="1">
      <c r="A36" s="311"/>
      <c r="K36" s="94"/>
    </row>
    <row r="37" ht="13.5" customHeight="1">
      <c r="A37" s="311"/>
      <c r="K37" s="94"/>
    </row>
    <row r="38" ht="13.5" customHeight="1">
      <c r="A38" s="314"/>
      <c r="B38" s="77"/>
      <c r="C38" s="77"/>
      <c r="D38" s="77"/>
      <c r="E38" s="77"/>
      <c r="F38" s="77"/>
      <c r="G38" s="77"/>
      <c r="H38" s="77"/>
      <c r="I38" s="77"/>
      <c r="J38" s="77"/>
      <c r="K38" s="55"/>
    </row>
    <row r="39" ht="13.5" customHeight="1">
      <c r="A39" s="460" t="s">
        <v>431</v>
      </c>
      <c r="C39" s="461" t="s">
        <v>432</v>
      </c>
      <c r="K39" s="94"/>
    </row>
    <row r="40" ht="13.5" customHeight="1">
      <c r="A40" s="452" t="str">
        <f> "Name"</f>
        <v>Name</v>
      </c>
      <c r="B40" s="462" t="str">
        <f> "Ch"</f>
        <v>Ch</v>
      </c>
      <c r="C40" s="463" t="str">
        <f> "Function"</f>
        <v>Function</v>
      </c>
      <c r="D40" s="74"/>
      <c r="E40" s="462" t="str">
        <f> "Rx Freq"</f>
        <v>Rx Freq</v>
      </c>
      <c r="F40" s="462" t="str">
        <f> "Rx Tone"</f>
        <v>Rx Tone</v>
      </c>
      <c r="G40" s="462" t="str">
        <f> "Tx Freq"</f>
        <v>Tx Freq</v>
      </c>
      <c r="H40" s="462" t="str">
        <f> "Tx Tone"</f>
        <v>Tx Tone</v>
      </c>
      <c r="I40" s="464" t="s">
        <v>433</v>
      </c>
      <c r="J40" s="464" t="s">
        <v>434</v>
      </c>
      <c r="K40" s="45"/>
    </row>
    <row r="41" ht="13.5" customHeight="1">
      <c r="A41" s="465" t="str">
        <f>Iferror(vlookup($B41,Order205,2,False),"")</f>
        <v>CDF C1</v>
      </c>
      <c r="B41" s="466">
        <f>If(vlookup($J$5,Radio_Assignments,11,FALSE) = "",1,vlookup($J$5,Radio_Assignments,11,FALSE))</f>
        <v>1</v>
      </c>
      <c r="C41" s="467" t="str">
        <f>Iferror(vlookup($B41,Order205,4,False),"")</f>
        <v>COMMAND</v>
      </c>
      <c r="D41" s="74"/>
      <c r="E41" s="468">
        <f>Iferror(vlookup($B41,Order205,5,False),"")</f>
        <v>151.355</v>
      </c>
      <c r="F41" s="469" t="str">
        <f>Iferror(vlookup($B41,Order205,6,False),"")</f>
        <v>(T8)  103.5</v>
      </c>
      <c r="G41" s="470">
        <f>Iferror(vlookup($B41,Order205,7,False),"")</f>
        <v>159.3</v>
      </c>
      <c r="H41" s="556" t="str">
        <f>Iferror(vlookup($B41,Order205,8,False),"")</f>
        <v>OST</v>
      </c>
      <c r="I41" s="557" t="str">
        <f>Iferror(vlookup($B41,Order205,9,False),"")</f>
        <v>A</v>
      </c>
      <c r="J41" s="472" t="str">
        <f>Iferror(vlookup($B41,Order205,10,False),"")</f>
        <v/>
      </c>
      <c r="K41" s="45"/>
    </row>
    <row r="42" ht="13.5" customHeight="1">
      <c r="A42" s="473" t="str">
        <f>iferror(vlookup($J$5,Radio_Assignments,3,FALSE),"")</f>
        <v>CDF T3</v>
      </c>
      <c r="B42" s="474">
        <f>vlookup($J$5,Radio_Assignments,2,FALSE)</f>
        <v>2</v>
      </c>
      <c r="C42" s="475" t="str">
        <f>vlookup($J$5,Radio_Assignments,5,FALSE)</f>
        <v>TACTICAL</v>
      </c>
      <c r="D42" s="77"/>
      <c r="E42" s="476">
        <f>vlookup($J$5,Radio_Assignments,6,FALSE)</f>
        <v>151.175</v>
      </c>
      <c r="F42" s="477" t="str">
        <f>vlookup($J$5,Radio_Assignments,7,FALSE)</f>
        <v>(T16) 192.8</v>
      </c>
      <c r="G42" s="478">
        <f>vlookup($J$5,Radio_Assignments,8,FALSE)</f>
        <v>151.175</v>
      </c>
      <c r="H42" s="558" t="str">
        <f>vlookup($J$5,Radio_Assignments,9,FALSE)</f>
        <v>(T16) 192.8</v>
      </c>
      <c r="I42" s="559" t="str">
        <f>vlookup($J$5,Radio_Assignments,10,FALSE)</f>
        <v>A</v>
      </c>
      <c r="J42" s="480" t="str">
        <f>vlookup($J$5,Radio_Assignments,11,FALSE)</f>
        <v/>
      </c>
      <c r="K42" s="55"/>
    </row>
    <row r="43" ht="13.5" customHeight="1">
      <c r="A43" s="473" t="str">
        <f>Iferror(vlookup($B43,Order205,2,False),"")</f>
        <v>A/G CMD</v>
      </c>
      <c r="B43" s="466">
        <f>If(vlookup($J$5,Radio_Assignments,12,FALSE) = "",14,vlookup($J$5,Radio_Assignments,12,FALSE))</f>
        <v>14</v>
      </c>
      <c r="C43" s="475" t="str">
        <f>Iferror(vlookup($B43,Order205,4,False),"")</f>
        <v>A/G CMD</v>
      </c>
      <c r="D43" s="77"/>
      <c r="E43" s="476" t="str">
        <f>Iferror(vlookup($B43,Order205,5,False),"")</f>
        <v>166.6125</v>
      </c>
      <c r="F43" s="477" t="str">
        <f>Iferror(vlookup($B43,Order205,6,False),"")</f>
        <v/>
      </c>
      <c r="G43" s="478" t="str">
        <f>Iferror(vlookup($B43,Order205,7,False),"")</f>
        <v>166.6125</v>
      </c>
      <c r="H43" s="560">
        <f>Iferror(vlookup($B43,Order205,8,False),"")</f>
        <v>0</v>
      </c>
      <c r="I43" s="561" t="str">
        <f>Iferror(vlookup($B43,Order205,9,False),"")</f>
        <v>A</v>
      </c>
      <c r="J43" s="482" t="str">
        <f>Iferror(vlookup($B43,Order205,10,False),"")</f>
        <v/>
      </c>
      <c r="K43" s="55"/>
    </row>
    <row r="44" ht="13.5" customHeight="1">
      <c r="A44" s="473" t="str">
        <f>'205 Worksheet'!$C$10</f>
        <v>CALCORD</v>
      </c>
      <c r="B44" s="466">
        <f>'205 Worksheet'!$B$10</f>
        <v>15</v>
      </c>
      <c r="C44" s="475" t="str">
        <f>'205 Worksheet'!$E$10</f>
        <v>TACTICAL</v>
      </c>
      <c r="D44" s="77"/>
      <c r="E44" s="476">
        <f>'205 Worksheet'!$F$10</f>
        <v>156.075</v>
      </c>
      <c r="F44" s="558" t="str">
        <f>'205 Worksheet'!$G$10</f>
        <v>(T6)  156.7</v>
      </c>
      <c r="G44" s="478">
        <f>'205 Worksheet'!$H$10</f>
        <v>156.075</v>
      </c>
      <c r="H44" s="558" t="str">
        <f>'205 Worksheet'!$I$10</f>
        <v>(T6)  156.7</v>
      </c>
      <c r="I44" s="562" t="str">
        <f>'205 Worksheet'!$K$10</f>
        <v/>
      </c>
      <c r="J44" s="480" t="str">
        <f>'205 Worksheet'!$L$10</f>
        <v/>
      </c>
      <c r="K44" s="55"/>
    </row>
    <row r="45" ht="13.5" customHeight="1">
      <c r="A45" s="473" t="str">
        <f>'205 Worksheet'!$C$11</f>
        <v>A/G YNP</v>
      </c>
      <c r="B45" s="466">
        <f>'205 Worksheet'!$B$11</f>
        <v>16</v>
      </c>
      <c r="C45" s="475" t="str">
        <f>'205 Worksheet'!$E$11</f>
        <v>A/G</v>
      </c>
      <c r="D45" s="77"/>
      <c r="E45" s="476" t="str">
        <f>'205 Worksheet'!$F$11</f>
        <v>168.5625</v>
      </c>
      <c r="F45" s="558" t="str">
        <f>'205 Worksheet'!$G$11</f>
        <v/>
      </c>
      <c r="G45" s="485" t="str">
        <f>'205 Worksheet'!$H$11</f>
        <v>168.5625</v>
      </c>
      <c r="H45" s="563">
        <f>'205 Worksheet'!$I$11</f>
        <v>0</v>
      </c>
      <c r="I45" s="564" t="str">
        <f>'205 Worksheet'!$K$11</f>
        <v/>
      </c>
      <c r="J45" s="487" t="str">
        <f>'205 Worksheet'!$L$11</f>
        <v/>
      </c>
      <c r="K45" s="94"/>
    </row>
    <row r="46" ht="13.5" customHeight="1">
      <c r="A46" s="455" t="s">
        <v>435</v>
      </c>
      <c r="B46" s="165"/>
      <c r="C46" s="488" t="str">
        <f>'101 General Info'!$C$33</f>
        <v/>
      </c>
      <c r="D46" s="165"/>
      <c r="E46" s="165"/>
      <c r="F46" s="489" t="s">
        <v>436</v>
      </c>
      <c r="G46" s="490" t="str">
        <f>'101 General Info'!$D$33</f>
        <v>RESL</v>
      </c>
      <c r="H46" s="491"/>
      <c r="I46" s="491"/>
      <c r="J46" s="491"/>
      <c r="K46" s="210"/>
    </row>
    <row r="47" ht="13.5" customHeight="1">
      <c r="A47" s="492"/>
      <c r="B47" s="493"/>
      <c r="C47" s="494"/>
      <c r="G47" s="494"/>
      <c r="H47" s="495" t="s">
        <v>449</v>
      </c>
      <c r="I47" s="435"/>
      <c r="J47" s="435"/>
      <c r="K47" s="496"/>
    </row>
    <row r="48" ht="13.5" customHeight="1">
      <c r="A48" s="497" t="s">
        <v>312</v>
      </c>
      <c r="B48" s="498" t="s">
        <v>389</v>
      </c>
      <c r="C48" s="499">
        <f>F3-3</f>
        <v>43890</v>
      </c>
      <c r="D48" s="77"/>
      <c r="E48" s="500" t="s">
        <v>438</v>
      </c>
      <c r="F48" s="501"/>
      <c r="G48" s="501"/>
      <c r="H48" s="502" t="s">
        <v>439</v>
      </c>
      <c r="I48" s="77"/>
      <c r="J48" s="503">
        <f>Sum(G11:G28)</f>
        <v>0</v>
      </c>
      <c r="K48" s="55"/>
    </row>
    <row r="49" ht="13.5" customHeight="1">
      <c r="A49" s="504" t="s">
        <v>332</v>
      </c>
      <c r="B49" s="505"/>
      <c r="C49" s="506"/>
      <c r="D49" s="506"/>
      <c r="E49" s="507"/>
      <c r="F49" s="508"/>
      <c r="G49" s="508"/>
      <c r="H49" s="509" t="s">
        <v>414</v>
      </c>
      <c r="K49" s="509"/>
    </row>
  </sheetData>
  <mergeCells count="113">
    <mergeCell ref="A16:D16"/>
    <mergeCell ref="E16:F16"/>
    <mergeCell ref="A17:D17"/>
    <mergeCell ref="E17:F17"/>
    <mergeCell ref="A18:D18"/>
    <mergeCell ref="E18:F18"/>
    <mergeCell ref="E19:F19"/>
    <mergeCell ref="A19:D19"/>
    <mergeCell ref="A20:D20"/>
    <mergeCell ref="E20:F20"/>
    <mergeCell ref="A21:D21"/>
    <mergeCell ref="E21:F21"/>
    <mergeCell ref="A22:D22"/>
    <mergeCell ref="E22:F22"/>
    <mergeCell ref="A26:D26"/>
    <mergeCell ref="A27:D27"/>
    <mergeCell ref="E27:F27"/>
    <mergeCell ref="A28:D28"/>
    <mergeCell ref="E28:F28"/>
    <mergeCell ref="A23:D23"/>
    <mergeCell ref="E23:F23"/>
    <mergeCell ref="A24:D24"/>
    <mergeCell ref="E24:F24"/>
    <mergeCell ref="A25:D25"/>
    <mergeCell ref="E25:F25"/>
    <mergeCell ref="E26:F26"/>
    <mergeCell ref="J23:K23"/>
    <mergeCell ref="J24:K24"/>
    <mergeCell ref="J25:K25"/>
    <mergeCell ref="J26:K26"/>
    <mergeCell ref="J27:K27"/>
    <mergeCell ref="J28:K28"/>
    <mergeCell ref="C29:K29"/>
    <mergeCell ref="A30:K30"/>
    <mergeCell ref="A31:K31"/>
    <mergeCell ref="A32:K32"/>
    <mergeCell ref="A33:K33"/>
    <mergeCell ref="A34:K34"/>
    <mergeCell ref="A35:K35"/>
    <mergeCell ref="A36:K36"/>
    <mergeCell ref="J42:K42"/>
    <mergeCell ref="J43:K43"/>
    <mergeCell ref="J44:K44"/>
    <mergeCell ref="J45:K45"/>
    <mergeCell ref="J46:K46"/>
    <mergeCell ref="A37:K37"/>
    <mergeCell ref="A38:K38"/>
    <mergeCell ref="A39:B39"/>
    <mergeCell ref="C39:K39"/>
    <mergeCell ref="C40:D40"/>
    <mergeCell ref="J40:K40"/>
    <mergeCell ref="J41:K41"/>
    <mergeCell ref="C47:F47"/>
    <mergeCell ref="C48:D48"/>
    <mergeCell ref="H48:I48"/>
    <mergeCell ref="J48:K48"/>
    <mergeCell ref="H49:J49"/>
    <mergeCell ref="C41:D41"/>
    <mergeCell ref="C42:D42"/>
    <mergeCell ref="C43:D43"/>
    <mergeCell ref="C44:D44"/>
    <mergeCell ref="C45:D45"/>
    <mergeCell ref="A46:B46"/>
    <mergeCell ref="C46:E46"/>
    <mergeCell ref="E1:H1"/>
    <mergeCell ref="I1:K1"/>
    <mergeCell ref="A2:D2"/>
    <mergeCell ref="E2:H2"/>
    <mergeCell ref="I2:K3"/>
    <mergeCell ref="A3:D3"/>
    <mergeCell ref="J4:K4"/>
    <mergeCell ref="A4:D4"/>
    <mergeCell ref="A5:C5"/>
    <mergeCell ref="D5:G5"/>
    <mergeCell ref="I5:I6"/>
    <mergeCell ref="J5:K6"/>
    <mergeCell ref="A6:B6"/>
    <mergeCell ref="C6:H6"/>
    <mergeCell ref="A7:B7"/>
    <mergeCell ref="C7:F7"/>
    <mergeCell ref="G7:H8"/>
    <mergeCell ref="I7:I8"/>
    <mergeCell ref="J7:K7"/>
    <mergeCell ref="C8:F8"/>
    <mergeCell ref="C9:H9"/>
    <mergeCell ref="A8:B8"/>
    <mergeCell ref="A9:B9"/>
    <mergeCell ref="A10:D10"/>
    <mergeCell ref="E10:F10"/>
    <mergeCell ref="A11:D11"/>
    <mergeCell ref="E11:F11"/>
    <mergeCell ref="E12:F12"/>
    <mergeCell ref="A12:D12"/>
    <mergeCell ref="A13:D13"/>
    <mergeCell ref="E13:F13"/>
    <mergeCell ref="A14:D14"/>
    <mergeCell ref="E14:F14"/>
    <mergeCell ref="A15:D15"/>
    <mergeCell ref="E15:F15"/>
    <mergeCell ref="J8:K8"/>
    <mergeCell ref="I9:K10"/>
    <mergeCell ref="J11:K11"/>
    <mergeCell ref="J12:K12"/>
    <mergeCell ref="J13:K13"/>
    <mergeCell ref="J14:K14"/>
    <mergeCell ref="J15:K15"/>
    <mergeCell ref="J16:K16"/>
    <mergeCell ref="J17:K17"/>
    <mergeCell ref="J18:K18"/>
    <mergeCell ref="J19:K19"/>
    <mergeCell ref="J20:K20"/>
    <mergeCell ref="J21:K21"/>
    <mergeCell ref="J22:K22"/>
  </mergeCells>
  <conditionalFormatting sqref="E11:F28">
    <cfRule type="containsText" dxfId="6" priority="1" operator="containsText" text="Assigned">
      <formula>NOT(ISERROR(SEARCH(("Assigned"),(E11))))</formula>
    </cfRule>
  </conditionalFormatting>
  <conditionalFormatting sqref="E11:K28">
    <cfRule type="expression" dxfId="7" priority="2">
      <formula> AND($I11 &lt;&gt; Concatenate($F$4,"-",$H$4) ,NOT((isformula(E11))))</formula>
    </cfRule>
  </conditionalFormatting>
  <conditionalFormatting sqref="E11:K28">
    <cfRule type="expression" dxfId="8" priority="3">
      <formula> $I11 &lt;&gt; Concatenate($F$4,"-",$H$4)</formula>
    </cfRule>
  </conditionalFormatting>
  <conditionalFormatting sqref="E11:K28">
    <cfRule type="expression" dxfId="9" priority="4">
      <formula> NOT((isformula(E11)))</formula>
    </cfRule>
  </conditionalFormatting>
  <conditionalFormatting sqref="A11:D28">
    <cfRule type="expression" dxfId="8" priority="5">
      <formula> $I11 &lt;&gt; Concatenate($F$4,"-",$H$4)</formula>
    </cfRule>
  </conditionalFormatting>
  <dataValidations>
    <dataValidation type="list" allowBlank="1" sqref="A11:A28">
      <formula1>ResourceID!$B$2:$B49</formula1>
    </dataValidation>
    <dataValidation type="list" allowBlank="1" sqref="A30:A33">
      <formula1>WorkAssignments</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pageSetUpPr fitToPage="1"/>
  </sheetPr>
  <sheetViews>
    <sheetView workbookViewId="0"/>
  </sheetViews>
  <sheetFormatPr customHeight="1" defaultColWidth="12.63" defaultRowHeight="15.75"/>
  <cols>
    <col customWidth="1" min="1" max="1" width="16.63"/>
    <col customWidth="1" min="2" max="2" width="10.13"/>
    <col customWidth="1" min="3" max="3" width="4.88"/>
    <col customWidth="1" min="4" max="4" width="4.63"/>
    <col customWidth="1" min="5" max="5" width="9.38"/>
    <col customWidth="1" min="6" max="6" width="9.63"/>
    <col customWidth="1" min="7" max="7" width="9.38"/>
    <col customWidth="1" min="8" max="8" width="10.25"/>
    <col customWidth="1" min="9" max="9" width="10.63"/>
    <col customWidth="1" min="10" max="10" width="10.38"/>
    <col customWidth="1" min="11" max="11" width="5.5"/>
  </cols>
  <sheetData>
    <row r="1" ht="13.5" customHeight="1">
      <c r="A1" s="418"/>
      <c r="B1" s="418"/>
      <c r="C1" s="419" t="s">
        <v>440</v>
      </c>
      <c r="D1" s="77"/>
      <c r="E1" s="77"/>
      <c r="F1" s="77"/>
      <c r="G1" s="77"/>
      <c r="H1" s="77"/>
      <c r="I1" s="510" t="s">
        <v>414</v>
      </c>
    </row>
    <row r="2" ht="13.5" customHeight="1">
      <c r="A2" s="511" t="s">
        <v>282</v>
      </c>
      <c r="B2" s="74"/>
      <c r="C2" s="74"/>
      <c r="D2" s="45"/>
      <c r="E2" s="511" t="s">
        <v>283</v>
      </c>
      <c r="F2" s="74"/>
      <c r="G2" s="74"/>
      <c r="H2" s="45"/>
      <c r="I2" s="512" t="s">
        <v>441</v>
      </c>
      <c r="J2" s="513" t="s">
        <v>442</v>
      </c>
      <c r="K2" s="86"/>
    </row>
    <row r="3" ht="13.5" customHeight="1">
      <c r="A3" s="514" t="str">
        <f>'101 General Info'!C2</f>
        <v>NO NAME</v>
      </c>
      <c r="D3" s="94"/>
      <c r="E3" s="423" t="s">
        <v>284</v>
      </c>
      <c r="F3" s="424">
        <f>OpDate</f>
        <v>43893</v>
      </c>
      <c r="G3" s="425" t="s">
        <v>130</v>
      </c>
      <c r="H3" s="426">
        <f>OpDateTo</f>
        <v>43894</v>
      </c>
      <c r="I3" s="515" t="str">
        <f>'203'!E9</f>
        <v>I</v>
      </c>
      <c r="J3" s="516" t="str">
        <f> TRIM('203'!E11)</f>
        <v>B - NWCG</v>
      </c>
      <c r="K3" s="517"/>
    </row>
    <row r="4" ht="13.5" customHeight="1">
      <c r="A4" s="166"/>
      <c r="D4" s="94"/>
      <c r="E4" s="423" t="s">
        <v>131</v>
      </c>
      <c r="F4" s="428" t="str">
        <f>OpStart</f>
        <v>0700</v>
      </c>
      <c r="G4" s="429" t="s">
        <v>133</v>
      </c>
      <c r="H4" s="430" t="str">
        <f>OpEnd</f>
        <v>0700</v>
      </c>
      <c r="I4" s="107"/>
      <c r="K4" s="108"/>
    </row>
    <row r="5" ht="13.5" customHeight="1">
      <c r="A5" s="518" t="s">
        <v>417</v>
      </c>
      <c r="B5" s="74"/>
      <c r="C5" s="74"/>
      <c r="D5" s="74"/>
      <c r="E5" s="74"/>
      <c r="F5" s="74"/>
      <c r="G5" s="74"/>
      <c r="H5" s="74"/>
      <c r="I5" s="519" t="s">
        <v>422</v>
      </c>
      <c r="J5" s="520" t="str">
        <f>IFERROR(vlookup(J3,PhonicAlphabet!A:B,2,FALSE), "")</f>
        <v/>
      </c>
      <c r="K5" s="115"/>
    </row>
    <row r="6" ht="13.5" customHeight="1">
      <c r="A6" s="521" t="s">
        <v>419</v>
      </c>
      <c r="B6" s="522" t="str">
        <f>'203'!E5</f>
        <v/>
      </c>
      <c r="C6" s="523"/>
      <c r="D6" s="523"/>
      <c r="E6" s="523"/>
      <c r="F6" s="523"/>
      <c r="G6" s="524" t="s">
        <v>443</v>
      </c>
      <c r="H6" s="525" t="str">
        <f>'203'!E7</f>
        <v/>
      </c>
      <c r="I6" s="523"/>
      <c r="J6" s="523"/>
      <c r="K6" s="526"/>
    </row>
    <row r="7" ht="13.5" customHeight="1">
      <c r="A7" s="527" t="s">
        <v>420</v>
      </c>
      <c r="B7" s="528" t="str">
        <f>'203'!F9</f>
        <v>Joseph Branch (Example)</v>
      </c>
      <c r="C7" s="529"/>
      <c r="D7" s="529"/>
      <c r="E7" s="529"/>
      <c r="F7" s="529"/>
      <c r="G7" s="530" t="s">
        <v>444</v>
      </c>
      <c r="H7" s="531" t="str">
        <f> IFerror(vlookup(I3,SafetyOfficers,2,False),"")</f>
        <v/>
      </c>
      <c r="I7" s="529"/>
      <c r="J7" s="529"/>
      <c r="K7" s="532"/>
    </row>
    <row r="8" ht="13.5" customHeight="1">
      <c r="A8" s="533" t="s">
        <v>421</v>
      </c>
      <c r="B8" s="534" t="str">
        <f>'203'!F11</f>
        <v>Jack Templeton (example)</v>
      </c>
      <c r="C8" s="535"/>
      <c r="D8" s="535"/>
      <c r="E8" s="535"/>
      <c r="F8" s="535"/>
      <c r="G8" s="536" t="s">
        <v>445</v>
      </c>
      <c r="H8" s="537" t="str">
        <f>'203'!F41</f>
        <v/>
      </c>
      <c r="I8" s="535"/>
      <c r="J8" s="535"/>
      <c r="K8" s="538"/>
    </row>
    <row r="9" ht="13.5" customHeight="1">
      <c r="A9" s="518" t="s">
        <v>446</v>
      </c>
      <c r="B9" s="74"/>
      <c r="C9" s="539" t="str">
        <f>'101 General Info'!D39</f>
        <v>** Resources Below in Bold are 12 Hour **</v>
      </c>
      <c r="D9" s="74"/>
      <c r="E9" s="74"/>
      <c r="F9" s="74"/>
      <c r="G9" s="74"/>
      <c r="H9" s="45"/>
      <c r="I9" s="540"/>
      <c r="J9" s="74"/>
      <c r="K9" s="45"/>
    </row>
    <row r="10" ht="13.5" customHeight="1">
      <c r="A10" s="377" t="s">
        <v>425</v>
      </c>
      <c r="B10" s="77"/>
      <c r="C10" s="541" t="str">
        <f>'101 General Info'!E38</f>
        <v>ALS</v>
      </c>
      <c r="D10" s="541" t="str">
        <f>'101 General Info'!G38</f>
        <v>LWD</v>
      </c>
      <c r="E10" s="447" t="s">
        <v>426</v>
      </c>
      <c r="F10" s="55"/>
      <c r="G10" s="448" t="s">
        <v>427</v>
      </c>
      <c r="H10" s="462" t="s">
        <v>428</v>
      </c>
      <c r="I10" s="542" t="s">
        <v>447</v>
      </c>
      <c r="J10" s="318" t="s">
        <v>448</v>
      </c>
      <c r="K10" s="543"/>
    </row>
    <row r="11" ht="13.5" customHeight="1">
      <c r="A11" s="355" t="str">
        <f>IF(_xlfn.isformula(H11), "", VLOOKUP(H11,Indirect(ResDataAll),2,False))</f>
        <v/>
      </c>
      <c r="B11" s="74"/>
      <c r="C11" s="462" t="str">
        <f> IFERROR(vlookup(A11,Indirect(ResData),5, FALSE), "")</f>
        <v/>
      </c>
      <c r="D11" s="544" t="str">
        <f> IFERROR(vlookup(A11,Indirect(ResData),6, FALSE), "")</f>
        <v/>
      </c>
      <c r="E11" s="414" t="str">
        <f> IFERROR(vlookup(A11,Indirect(ResData),2, FALSE), "")</f>
        <v/>
      </c>
      <c r="F11" s="74"/>
      <c r="G11" s="565" t="str">
        <f> IFERROR(vlookup(A11,Indirect(ResData),3, FALSE), "")</f>
        <v/>
      </c>
      <c r="H11" s="414" t="str">
        <f t="array" ref="H11"> IFERROR(vlookup(A11,{Indirect(ResID),Indirect(ResDataAll)},2, FALSE), "")</f>
        <v/>
      </c>
      <c r="I11" s="355" t="str">
        <f> IFERROR(vlookup(A11,Indirect(ResData),4, FALSE), "")</f>
        <v/>
      </c>
      <c r="J11" s="453"/>
      <c r="K11" s="45"/>
    </row>
    <row r="12" ht="13.5" customHeight="1">
      <c r="A12" s="355" t="str">
        <f>IF(_xlfn.isformula(H12), "", VLOOKUP(H12,Indirect(ResDataAll),2,False))</f>
        <v/>
      </c>
      <c r="B12" s="74"/>
      <c r="C12" s="462" t="str">
        <f> IFERROR(vlookup(A12,Indirect(ResData),5, FALSE), "")</f>
        <v/>
      </c>
      <c r="D12" s="544" t="str">
        <f> IFERROR(vlookup(A12,Indirect(ResData),6, FALSE), "")</f>
        <v/>
      </c>
      <c r="E12" s="414" t="str">
        <f> IFERROR(vlookup(A12,Indirect(ResData),2, FALSE), "")</f>
        <v/>
      </c>
      <c r="F12" s="74"/>
      <c r="G12" s="565" t="str">
        <f> IFERROR(vlookup(A12,Indirect(ResData),3, FALSE), "")</f>
        <v/>
      </c>
      <c r="H12" s="414" t="str">
        <f t="array" ref="H12"> IFERROR(vlookup(A12,{Indirect(ResID),Indirect(ResDataAll)},2, FALSE), "")</f>
        <v/>
      </c>
      <c r="I12" s="355" t="str">
        <f> IFERROR(vlookup(A12,Indirect(ResData),4, FALSE), "")</f>
        <v/>
      </c>
      <c r="J12" s="454" t="str">
        <f t="shared" ref="J12:J28" si="1"> IF(A12 = "","",J11)</f>
        <v/>
      </c>
      <c r="K12" s="45"/>
    </row>
    <row r="13" ht="13.5" customHeight="1">
      <c r="A13" s="355" t="str">
        <f>IF(_xlfn.isformula(H13), "", VLOOKUP(H13,Indirect(ResDataAll),2,False))</f>
        <v/>
      </c>
      <c r="B13" s="74"/>
      <c r="C13" s="462" t="str">
        <f> IFERROR(vlookup(A13,Indirect(ResData),5, FALSE), "")</f>
        <v/>
      </c>
      <c r="D13" s="544" t="str">
        <f> IFERROR(vlookup(A13,Indirect(ResData),6, FALSE), "")</f>
        <v/>
      </c>
      <c r="E13" s="414" t="str">
        <f> IFERROR(vlookup(A13,Indirect(ResData),2, FALSE), "")</f>
        <v/>
      </c>
      <c r="F13" s="74"/>
      <c r="G13" s="565" t="str">
        <f> IFERROR(vlookup(A13,Indirect(ResData),3, FALSE), "")</f>
        <v/>
      </c>
      <c r="H13" s="414" t="str">
        <f t="array" ref="H13"> IFERROR(vlookup(A13,{Indirect(ResID),Indirect(ResDataAll)},2, FALSE), "")</f>
        <v/>
      </c>
      <c r="I13" s="355" t="str">
        <f> IFERROR(vlookup(A13,Indirect(ResData),4, FALSE), "")</f>
        <v/>
      </c>
      <c r="J13" s="454" t="str">
        <f t="shared" si="1"/>
        <v/>
      </c>
      <c r="K13" s="45"/>
    </row>
    <row r="14" ht="13.5" customHeight="1">
      <c r="A14" s="355" t="str">
        <f>IF(_xlfn.isformula(H14), "", VLOOKUP(H14,Indirect(ResDataAll),2,False))</f>
        <v/>
      </c>
      <c r="B14" s="74"/>
      <c r="C14" s="462" t="str">
        <f> IFERROR(vlookup(A14,Indirect(ResData),5, FALSE), "")</f>
        <v/>
      </c>
      <c r="D14" s="544" t="str">
        <f> IFERROR(vlookup(A14,Indirect(ResData),6, FALSE), "")</f>
        <v/>
      </c>
      <c r="E14" s="450" t="str">
        <f> IFERROR(vlookup(A14,Indirect(ResData),2, FALSE), "")</f>
        <v/>
      </c>
      <c r="F14" s="74"/>
      <c r="G14" s="566" t="str">
        <f> IFERROR(vlookup(A14,Indirect(ResData),3, FALSE), "")</f>
        <v/>
      </c>
      <c r="H14" s="414" t="str">
        <f t="array" ref="H14"> IFERROR(vlookup(A14,{Indirect(ResID),Indirect(ResDataAll)},2, FALSE), "")</f>
        <v/>
      </c>
      <c r="I14" s="452" t="str">
        <f> IFERROR(vlookup(A14,Indirect(ResData),4, FALSE), "")</f>
        <v/>
      </c>
      <c r="J14" s="454" t="str">
        <f t="shared" si="1"/>
        <v/>
      </c>
      <c r="K14" s="45"/>
    </row>
    <row r="15" ht="13.5" customHeight="1">
      <c r="A15" s="355" t="str">
        <f>IF(_xlfn.isformula(H15), "", VLOOKUP(H15,Indirect(ResDataAll),2,False))</f>
        <v/>
      </c>
      <c r="B15" s="74"/>
      <c r="C15" s="462" t="str">
        <f> IFERROR(vlookup(A15,Indirect(ResData),5, FALSE), "")</f>
        <v/>
      </c>
      <c r="D15" s="544" t="str">
        <f> IFERROR(vlookup(A15,Indirect(ResData),6, FALSE), "")</f>
        <v/>
      </c>
      <c r="E15" s="450" t="str">
        <f> IFERROR(vlookup(A15,Indirect(ResData),2, FALSE), "")</f>
        <v/>
      </c>
      <c r="F15" s="74"/>
      <c r="G15" s="566" t="str">
        <f> IFERROR(vlookup(A15,Indirect(ResData),3, FALSE), "")</f>
        <v/>
      </c>
      <c r="H15" s="414" t="str">
        <f t="array" ref="H15"> IFERROR(vlookup(A15,{Indirect(ResID),Indirect(ResDataAll)},2, FALSE), "")</f>
        <v/>
      </c>
      <c r="I15" s="452" t="str">
        <f> IFERROR(vlookup(A15,Indirect(ResData),4, FALSE), "")</f>
        <v/>
      </c>
      <c r="J15" s="454" t="str">
        <f t="shared" si="1"/>
        <v/>
      </c>
      <c r="K15" s="45"/>
    </row>
    <row r="16" ht="13.5" customHeight="1">
      <c r="A16" s="355" t="str">
        <f>IF(_xlfn.isformula(H16), "", VLOOKUP(H16,Indirect(ResDataAll),2,False))</f>
        <v/>
      </c>
      <c r="B16" s="74"/>
      <c r="C16" s="462" t="str">
        <f> IFERROR(vlookup(A16,Indirect(ResData),5, FALSE), "")</f>
        <v/>
      </c>
      <c r="D16" s="544" t="str">
        <f> IFERROR(vlookup(A16,Indirect(ResData),6, FALSE), "")</f>
        <v/>
      </c>
      <c r="E16" s="450" t="str">
        <f> IFERROR(vlookup(A16,Indirect(ResData),2, FALSE), "")</f>
        <v/>
      </c>
      <c r="F16" s="74"/>
      <c r="G16" s="566" t="str">
        <f> IFERROR(vlookup(A16,Indirect(ResData),3, FALSE), "")</f>
        <v/>
      </c>
      <c r="H16" s="414" t="str">
        <f t="array" ref="H16"> IFERROR(vlookup(A16,{Indirect(ResID),Indirect(ResDataAll)},2, FALSE), "")</f>
        <v/>
      </c>
      <c r="I16" s="452" t="str">
        <f> IFERROR(vlookup(A16,Indirect(ResData),4, FALSE), "")</f>
        <v/>
      </c>
      <c r="J16" s="454" t="str">
        <f t="shared" si="1"/>
        <v/>
      </c>
      <c r="K16" s="45"/>
    </row>
    <row r="17" ht="13.5" customHeight="1">
      <c r="A17" s="355" t="str">
        <f>IF(_xlfn.isformula(H17), "", VLOOKUP(H17,Indirect(ResDataAll),2,False))</f>
        <v/>
      </c>
      <c r="B17" s="74"/>
      <c r="C17" s="462" t="str">
        <f> IFERROR(vlookup(A17,Indirect(ResData),5, FALSE), "")</f>
        <v/>
      </c>
      <c r="D17" s="544" t="str">
        <f> IFERROR(vlookup(A17,Indirect(ResData),6, FALSE), "")</f>
        <v/>
      </c>
      <c r="E17" s="450" t="str">
        <f> IFERROR(vlookup(A17,Indirect(ResData),2, FALSE), "")</f>
        <v/>
      </c>
      <c r="F17" s="74"/>
      <c r="G17" s="566" t="str">
        <f> IFERROR(vlookup(A17,Indirect(ResData),3, FALSE), "")</f>
        <v/>
      </c>
      <c r="H17" s="414" t="str">
        <f t="array" ref="H17"> IFERROR(vlookup(A17,{Indirect(ResID),Indirect(ResDataAll)},2, FALSE), "")</f>
        <v/>
      </c>
      <c r="I17" s="452" t="str">
        <f> IFERROR(vlookup(A17,Indirect(ResData),4, FALSE), "")</f>
        <v/>
      </c>
      <c r="J17" s="454" t="str">
        <f t="shared" si="1"/>
        <v/>
      </c>
      <c r="K17" s="45"/>
    </row>
    <row r="18" ht="13.5" customHeight="1">
      <c r="A18" s="355" t="str">
        <f>IF(_xlfn.isformula(H18), "", VLOOKUP(H18,Indirect(ResDataAll),2,False))</f>
        <v/>
      </c>
      <c r="B18" s="74"/>
      <c r="C18" s="462" t="str">
        <f> IFERROR(vlookup(A18,Indirect(ResData),5, FALSE), "")</f>
        <v/>
      </c>
      <c r="D18" s="544" t="str">
        <f> IFERROR(vlookup(A18,Indirect(ResData),6, FALSE), "")</f>
        <v/>
      </c>
      <c r="E18" s="450" t="str">
        <f> IFERROR(vlookup(A18,Indirect(ResData),2, FALSE), "")</f>
        <v/>
      </c>
      <c r="F18" s="74"/>
      <c r="G18" s="566" t="str">
        <f> IFERROR(vlookup(A18,Indirect(ResData),3, FALSE), "")</f>
        <v/>
      </c>
      <c r="H18" s="414" t="str">
        <f t="array" ref="H18"> IFERROR(vlookup(A18,{Indirect(ResID),Indirect(ResDataAll)},2, FALSE), "")</f>
        <v/>
      </c>
      <c r="I18" s="452" t="str">
        <f> IFERROR(vlookup(A18,Indirect(ResData),4, FALSE), "")</f>
        <v/>
      </c>
      <c r="J18" s="454" t="str">
        <f t="shared" si="1"/>
        <v/>
      </c>
      <c r="K18" s="45"/>
    </row>
    <row r="19" ht="13.5" customHeight="1">
      <c r="A19" s="355" t="str">
        <f>IF(_xlfn.isformula(H19), "", VLOOKUP(H19,Indirect(ResDataAll),2,False))</f>
        <v/>
      </c>
      <c r="B19" s="74"/>
      <c r="C19" s="462" t="str">
        <f> IFERROR(vlookup(A19,Indirect(ResData),5, FALSE), "")</f>
        <v/>
      </c>
      <c r="D19" s="544" t="str">
        <f> IFERROR(vlookup(A19,Indirect(ResData),6, FALSE), "")</f>
        <v/>
      </c>
      <c r="E19" s="450" t="str">
        <f> IFERROR(vlookup(A19,Indirect(ResData),2, FALSE), "")</f>
        <v/>
      </c>
      <c r="F19" s="74"/>
      <c r="G19" s="566" t="str">
        <f> IFERROR(vlookup(A19,Indirect(ResData),3, FALSE), "")</f>
        <v/>
      </c>
      <c r="H19" s="414" t="str">
        <f t="array" ref="H19"> IFERROR(vlookup(A19,{Indirect(ResID),Indirect(ResDataAll)},2, FALSE), "")</f>
        <v/>
      </c>
      <c r="I19" s="452" t="str">
        <f> IFERROR(vlookup(A19,Indirect(ResData),4, FALSE), "")</f>
        <v/>
      </c>
      <c r="J19" s="454" t="str">
        <f t="shared" si="1"/>
        <v/>
      </c>
      <c r="K19" s="45"/>
    </row>
    <row r="20" ht="13.5" customHeight="1">
      <c r="A20" s="355" t="str">
        <f>IF(_xlfn.isformula(H20), "", VLOOKUP(H20,Indirect(ResDataAll),2,False))</f>
        <v/>
      </c>
      <c r="B20" s="74"/>
      <c r="C20" s="462" t="str">
        <f> IFERROR(vlookup(A20,Indirect(ResData),5, FALSE), "")</f>
        <v/>
      </c>
      <c r="D20" s="544" t="str">
        <f> IFERROR(vlookup(A20,Indirect(ResData),6, FALSE), "")</f>
        <v/>
      </c>
      <c r="E20" s="450" t="str">
        <f> IFERROR(vlookup(A20,Indirect(ResData),2, FALSE), "")</f>
        <v/>
      </c>
      <c r="F20" s="74"/>
      <c r="G20" s="566" t="str">
        <f> IFERROR(vlookup(A20,Indirect(ResData),3, FALSE), "")</f>
        <v/>
      </c>
      <c r="H20" s="414" t="str">
        <f t="array" ref="H20"> IFERROR(vlookup(A20,{Indirect(ResID),Indirect(ResDataAll)},2, FALSE), "")</f>
        <v/>
      </c>
      <c r="I20" s="452" t="str">
        <f> IFERROR(vlookup(A20,Indirect(ResData),4, FALSE), "")</f>
        <v/>
      </c>
      <c r="J20" s="454" t="str">
        <f t="shared" si="1"/>
        <v/>
      </c>
      <c r="K20" s="45"/>
    </row>
    <row r="21" ht="13.5" customHeight="1">
      <c r="A21" s="355" t="str">
        <f>IF(_xlfn.isformula(H21), "", VLOOKUP(H21,Indirect(ResDataAll),2,False))</f>
        <v/>
      </c>
      <c r="B21" s="74"/>
      <c r="C21" s="462" t="str">
        <f> IFERROR(vlookup(A21,Indirect(ResData),5, FALSE), "")</f>
        <v/>
      </c>
      <c r="D21" s="544" t="str">
        <f> IFERROR(vlookup(A21,Indirect(ResData),6, FALSE), "")</f>
        <v/>
      </c>
      <c r="E21" s="450" t="str">
        <f> IFERROR(vlookup(A21,Indirect(ResData),2, FALSE), "")</f>
        <v/>
      </c>
      <c r="F21" s="74"/>
      <c r="G21" s="566" t="str">
        <f> IFERROR(vlookup(A21,Indirect(ResData),3, FALSE), "")</f>
        <v/>
      </c>
      <c r="H21" s="414" t="str">
        <f t="array" ref="H21"> IFERROR(vlookup(A21,{Indirect(ResID),Indirect(ResDataAll)},2, FALSE), "")</f>
        <v/>
      </c>
      <c r="I21" s="452" t="str">
        <f> IFERROR(vlookup(A21,Indirect(ResData),4, FALSE), "")</f>
        <v/>
      </c>
      <c r="J21" s="454" t="str">
        <f t="shared" si="1"/>
        <v/>
      </c>
      <c r="K21" s="45"/>
    </row>
    <row r="22" ht="13.5" customHeight="1">
      <c r="A22" s="355" t="str">
        <f>IF(_xlfn.isformula(H22), "", VLOOKUP(H22,Indirect(ResDataAll),2,False))</f>
        <v/>
      </c>
      <c r="B22" s="74"/>
      <c r="C22" s="462" t="str">
        <f> IFERROR(vlookup(A22,Indirect(ResData),5, FALSE), "")</f>
        <v/>
      </c>
      <c r="D22" s="544" t="str">
        <f> IFERROR(vlookup(A22,Indirect(ResData),6, FALSE), "")</f>
        <v/>
      </c>
      <c r="E22" s="450" t="str">
        <f> IFERROR(vlookup(A22,Indirect(ResData),2, FALSE), "")</f>
        <v/>
      </c>
      <c r="F22" s="74"/>
      <c r="G22" s="566" t="str">
        <f> IFERROR(vlookup(A22,Indirect(ResData),3, FALSE), "")</f>
        <v/>
      </c>
      <c r="H22" s="414" t="str">
        <f t="array" ref="H22"> IFERROR(vlookup(A22,{Indirect(ResID),Indirect(ResDataAll)},2, FALSE), "")</f>
        <v/>
      </c>
      <c r="I22" s="452" t="str">
        <f> IFERROR(vlookup(A22,Indirect(ResData),4, FALSE), "")</f>
        <v/>
      </c>
      <c r="J22" s="454" t="str">
        <f t="shared" si="1"/>
        <v/>
      </c>
      <c r="K22" s="45"/>
    </row>
    <row r="23" ht="13.5" customHeight="1">
      <c r="A23" s="355" t="str">
        <f>IF(_xlfn.isformula(H23), "", VLOOKUP(H23,Indirect(ResDataAll),2,False))</f>
        <v/>
      </c>
      <c r="B23" s="74"/>
      <c r="C23" s="462" t="str">
        <f> IFERROR(vlookup(A23,Indirect(ResData),5, FALSE), "")</f>
        <v/>
      </c>
      <c r="D23" s="544" t="str">
        <f> IFERROR(vlookup(A23,Indirect(ResData),6, FALSE), "")</f>
        <v/>
      </c>
      <c r="E23" s="450" t="str">
        <f> IFERROR(vlookup(A23,Indirect(ResData),2, FALSE), "")</f>
        <v/>
      </c>
      <c r="F23" s="74"/>
      <c r="G23" s="566" t="str">
        <f> IFERROR(vlookup(A23,Indirect(ResData),3, FALSE), "")</f>
        <v/>
      </c>
      <c r="H23" s="414" t="str">
        <f t="array" ref="H23"> IFERROR(vlookup(A23,{Indirect(ResID),Indirect(ResDataAll)},2, FALSE), "")</f>
        <v/>
      </c>
      <c r="I23" s="452" t="str">
        <f> IFERROR(vlookup(A23,Indirect(ResData),4, FALSE), "")</f>
        <v/>
      </c>
      <c r="J23" s="454" t="str">
        <f t="shared" si="1"/>
        <v/>
      </c>
      <c r="K23" s="45"/>
    </row>
    <row r="24" ht="13.5" customHeight="1">
      <c r="A24" s="355" t="str">
        <f>IF(_xlfn.isformula(H24), "", VLOOKUP(H24,Indirect(ResDataAll),2,False))</f>
        <v/>
      </c>
      <c r="B24" s="74"/>
      <c r="C24" s="462" t="str">
        <f> IFERROR(vlookup(A24,Indirect(ResData),5, FALSE), "")</f>
        <v/>
      </c>
      <c r="D24" s="544" t="str">
        <f> IFERROR(vlookup(A24,Indirect(ResData),6, FALSE), "")</f>
        <v/>
      </c>
      <c r="E24" s="450" t="str">
        <f> IFERROR(vlookup(A24,Indirect(ResData),2, FALSE), "")</f>
        <v/>
      </c>
      <c r="F24" s="74"/>
      <c r="G24" s="566" t="str">
        <f> IFERROR(vlookup(A24,Indirect(ResData),3, FALSE), "")</f>
        <v/>
      </c>
      <c r="H24" s="414" t="str">
        <f t="array" ref="H24"> IFERROR(vlookup(A24,{Indirect(ResID),Indirect(ResDataAll)},2, FALSE), "")</f>
        <v/>
      </c>
      <c r="I24" s="452" t="str">
        <f> IFERROR(vlookup(A24,Indirect(ResData),4, FALSE), "")</f>
        <v/>
      </c>
      <c r="J24" s="454" t="str">
        <f t="shared" si="1"/>
        <v/>
      </c>
      <c r="K24" s="45"/>
    </row>
    <row r="25" ht="13.5" customHeight="1">
      <c r="A25" s="355" t="str">
        <f>IF(_xlfn.isformula(H25), "", VLOOKUP(H25,Indirect(ResDataAll),2,False))</f>
        <v/>
      </c>
      <c r="B25" s="74"/>
      <c r="C25" s="462" t="str">
        <f> IFERROR(vlookup(A25,Indirect(ResData),5, FALSE), "")</f>
        <v/>
      </c>
      <c r="D25" s="544" t="str">
        <f> IFERROR(vlookup(A25,Indirect(ResData),6, FALSE), "")</f>
        <v/>
      </c>
      <c r="E25" s="450" t="str">
        <f> IFERROR(vlookup(A25,Indirect(ResData),2, FALSE), "")</f>
        <v/>
      </c>
      <c r="F25" s="74"/>
      <c r="G25" s="566" t="str">
        <f> IFERROR(vlookup(A25,Indirect(ResData),3, FALSE), "")</f>
        <v/>
      </c>
      <c r="H25" s="414" t="str">
        <f t="array" ref="H25"> IFERROR(vlookup(A25,{Indirect(ResID),Indirect(ResDataAll)},2, FALSE), "")</f>
        <v/>
      </c>
      <c r="I25" s="452" t="str">
        <f> IFERROR(vlookup(A25,Indirect(ResData),4, FALSE), "")</f>
        <v/>
      </c>
      <c r="J25" s="454" t="str">
        <f t="shared" si="1"/>
        <v/>
      </c>
      <c r="K25" s="45"/>
    </row>
    <row r="26" ht="13.5" customHeight="1">
      <c r="A26" s="355" t="str">
        <f>IF(_xlfn.isformula(H26), "", VLOOKUP(H26,Indirect(ResDataAll),2,False))</f>
        <v/>
      </c>
      <c r="B26" s="74"/>
      <c r="C26" s="462" t="str">
        <f> IFERROR(vlookup(A26,Indirect(ResData),5, FALSE), "")</f>
        <v/>
      </c>
      <c r="D26" s="544" t="str">
        <f> IFERROR(vlookup(A26,Indirect(ResData),6, FALSE), "")</f>
        <v/>
      </c>
      <c r="E26" s="450" t="str">
        <f> IFERROR(vlookup(A26,Indirect(ResData),2, FALSE), "")</f>
        <v/>
      </c>
      <c r="F26" s="74"/>
      <c r="G26" s="566" t="str">
        <f> IFERROR(vlookup(A26,Indirect(ResData),3, FALSE), "")</f>
        <v/>
      </c>
      <c r="H26" s="414" t="str">
        <f t="array" ref="H26"> IFERROR(vlookup(A26,{Indirect(ResID),Indirect(ResDataAll)},2, FALSE), "")</f>
        <v/>
      </c>
      <c r="I26" s="452" t="str">
        <f> IFERROR(vlookup(A26,Indirect(ResData),4, FALSE), "")</f>
        <v/>
      </c>
      <c r="J26" s="454" t="str">
        <f t="shared" si="1"/>
        <v/>
      </c>
      <c r="K26" s="45"/>
    </row>
    <row r="27" ht="13.5" customHeight="1">
      <c r="A27" s="355" t="str">
        <f>IF(_xlfn.isformula(H27), "", VLOOKUP(H27,Indirect(ResDataAll),2,False))</f>
        <v/>
      </c>
      <c r="B27" s="74"/>
      <c r="C27" s="462" t="str">
        <f> IFERROR(vlookup(A27,Indirect(ResData),5, FALSE), "")</f>
        <v/>
      </c>
      <c r="D27" s="544" t="str">
        <f> IFERROR(vlookup(A27,Indirect(ResData),6, FALSE), "")</f>
        <v/>
      </c>
      <c r="E27" s="450" t="str">
        <f> IFERROR(vlookup(A27,Indirect(ResData),2, FALSE), "")</f>
        <v/>
      </c>
      <c r="F27" s="74"/>
      <c r="G27" s="566" t="str">
        <f> IFERROR(vlookup(A27,Indirect(ResData),3, FALSE), "")</f>
        <v/>
      </c>
      <c r="H27" s="414" t="str">
        <f t="array" ref="H27"> IFERROR(vlookup(A27,{Indirect(ResID),Indirect(ResDataAll)},2, FALSE), "")</f>
        <v/>
      </c>
      <c r="I27" s="452" t="str">
        <f> IFERROR(vlookup(A27,Indirect(ResData),4, FALSE), "")</f>
        <v/>
      </c>
      <c r="J27" s="454" t="str">
        <f t="shared" si="1"/>
        <v/>
      </c>
      <c r="K27" s="45"/>
    </row>
    <row r="28" ht="13.5" customHeight="1">
      <c r="A28" s="355" t="str">
        <f>IF(_xlfn.isformula(H28), "", VLOOKUP(H28,Indirect(ResDataAll),2,False))</f>
        <v/>
      </c>
      <c r="B28" s="74"/>
      <c r="C28" s="462" t="str">
        <f> IFERROR(vlookup(A28,Indirect(ResData),5, FALSE), "")</f>
        <v/>
      </c>
      <c r="D28" s="544" t="str">
        <f> IFERROR(vlookup(A28,Indirect(ResData),6, FALSE), "")</f>
        <v/>
      </c>
      <c r="E28" s="450" t="str">
        <f> IFERROR(vlookup(A28,Indirect(ResData),2, FALSE), "")</f>
        <v/>
      </c>
      <c r="F28" s="74"/>
      <c r="G28" s="566" t="str">
        <f> IFERROR(vlookup(A28,Indirect(ResData),3, FALSE), "")</f>
        <v/>
      </c>
      <c r="H28" s="414" t="str">
        <f t="array" ref="H28"> IFERROR(vlookup(A28,{Indirect(ResID),Indirect(ResDataAll)},2, FALSE), "")</f>
        <v/>
      </c>
      <c r="I28" s="452" t="str">
        <f> IFERROR(vlookup(A28,Indirect(ResData),4, FALSE), "")</f>
        <v/>
      </c>
      <c r="J28" s="454" t="str">
        <f t="shared" si="1"/>
        <v/>
      </c>
      <c r="K28" s="45"/>
    </row>
    <row r="29" ht="13.5" customHeight="1">
      <c r="A29" s="455" t="s">
        <v>429</v>
      </c>
      <c r="B29" s="456"/>
      <c r="C29" s="457" t="str">
        <f> if((COUNTIF(A11:A29,"&gt;*") + COUNTBLANK(A11:A29)) &gt; 19,"Adding rows has a negative effect on certain formulas. Maybe create another page?"," ")</f>
        <v> </v>
      </c>
      <c r="D29" s="165"/>
      <c r="E29" s="165"/>
      <c r="F29" s="165"/>
      <c r="G29" s="165"/>
      <c r="H29" s="165"/>
      <c r="I29" s="165"/>
      <c r="J29" s="165"/>
      <c r="K29" s="210"/>
    </row>
    <row r="30" ht="13.5" customHeight="1">
      <c r="A30" s="458"/>
      <c r="K30" s="94"/>
    </row>
    <row r="31" ht="13.5" customHeight="1">
      <c r="A31" s="458"/>
      <c r="K31" s="94"/>
    </row>
    <row r="32" ht="13.5" customHeight="1">
      <c r="A32" s="458"/>
      <c r="K32" s="94"/>
    </row>
    <row r="33" ht="13.5" customHeight="1">
      <c r="A33" s="458"/>
      <c r="K33" s="94"/>
    </row>
    <row r="34" ht="13.5" customHeight="1">
      <c r="A34" s="459" t="s">
        <v>430</v>
      </c>
      <c r="B34" s="165"/>
      <c r="C34" s="165"/>
      <c r="D34" s="165"/>
      <c r="E34" s="165"/>
      <c r="F34" s="165"/>
      <c r="G34" s="165"/>
      <c r="H34" s="165"/>
      <c r="I34" s="165"/>
      <c r="J34" s="165"/>
      <c r="K34" s="210"/>
    </row>
    <row r="35" ht="13.5" customHeight="1">
      <c r="A35" s="311"/>
      <c r="K35" s="94"/>
    </row>
    <row r="36" ht="13.5" customHeight="1">
      <c r="A36" s="311"/>
      <c r="K36" s="94"/>
    </row>
    <row r="37" ht="13.5" customHeight="1">
      <c r="A37" s="311"/>
      <c r="K37" s="94"/>
    </row>
    <row r="38" ht="13.5" customHeight="1">
      <c r="A38" s="314"/>
      <c r="B38" s="77"/>
      <c r="C38" s="77"/>
      <c r="D38" s="77"/>
      <c r="E38" s="77"/>
      <c r="F38" s="77"/>
      <c r="G38" s="77"/>
      <c r="H38" s="77"/>
      <c r="I38" s="77"/>
      <c r="J38" s="77"/>
      <c r="K38" s="55"/>
    </row>
    <row r="39" ht="13.5" customHeight="1">
      <c r="A39" s="545" t="s">
        <v>431</v>
      </c>
      <c r="K39" s="94"/>
    </row>
    <row r="40" ht="13.5" customHeight="1">
      <c r="A40" s="452" t="str">
        <f> "Name"</f>
        <v>Name</v>
      </c>
      <c r="B40" s="462" t="str">
        <f> "Ch"</f>
        <v>Ch</v>
      </c>
      <c r="C40" s="463" t="str">
        <f> "Function"</f>
        <v>Function</v>
      </c>
      <c r="D40" s="74"/>
      <c r="E40" s="462" t="str">
        <f> "Rx Freq"</f>
        <v>Rx Freq</v>
      </c>
      <c r="F40" s="462" t="str">
        <f> "Rx Tone"</f>
        <v>Rx Tone</v>
      </c>
      <c r="G40" s="462" t="str">
        <f> "Tx Freq"</f>
        <v>Tx Freq</v>
      </c>
      <c r="H40" s="462" t="str">
        <f> "Tx Tone"</f>
        <v>Tx Tone</v>
      </c>
      <c r="I40" s="464" t="s">
        <v>433</v>
      </c>
      <c r="J40" s="464" t="s">
        <v>434</v>
      </c>
      <c r="K40" s="45"/>
    </row>
    <row r="41" ht="13.5" customHeight="1">
      <c r="A41" s="465" t="str">
        <f>Iferror(vlookup($B41,Order205,2,False),"")</f>
        <v>CDF C1</v>
      </c>
      <c r="B41" s="466" t="str">
        <f>If(vlookup($J$3,Radio_Assignments,12,FALSE) = "",1,vlookup($J$3,Radio_Assignments,12,FALSE))</f>
        <v>P2.1</v>
      </c>
      <c r="C41" s="467" t="str">
        <f>Iferror(vlookup($B41,Order205,4,False),"")</f>
        <v>COMMAND</v>
      </c>
      <c r="D41" s="74"/>
      <c r="E41" s="468">
        <f>Iferror(vlookup($B41,Order205,5,False),"")</f>
        <v>151.355</v>
      </c>
      <c r="F41" s="469" t="str">
        <f>Iferror(vlookup($B41,Order205,6,False),"")</f>
        <v>(T8)  103.5</v>
      </c>
      <c r="G41" s="470">
        <f>Iferror(vlookup($B41,Order205,7,False),"")</f>
        <v>159.3</v>
      </c>
      <c r="H41" s="469" t="str">
        <f>Iferror(vlookup($B41,Order205,8,False),"")</f>
        <v>OST</v>
      </c>
      <c r="I41" s="471" t="str">
        <f>Iferror(vlookup($B41,Order205,9,False),"")</f>
        <v>A</v>
      </c>
      <c r="J41" s="472" t="str">
        <f>Iferror(vlookup($B41,Order205,10,False),"")</f>
        <v/>
      </c>
      <c r="K41" s="45"/>
    </row>
    <row r="42" ht="13.5" customHeight="1">
      <c r="A42" s="473" t="str">
        <f>iferror(vlookup($J$3,Radio_Assignments,3,FALSE),"")</f>
        <v>STF OPS T2</v>
      </c>
      <c r="B42" s="474" t="str">
        <f>vlookup($J$3,Radio_Assignments,2,FALSE)</f>
        <v>P2.3</v>
      </c>
      <c r="C42" s="475" t="str">
        <f>vlookup($J$3,Radio_Assignments,5,FALSE)</f>
        <v>COMMAND</v>
      </c>
      <c r="D42" s="77"/>
      <c r="E42" s="476" t="str">
        <f>vlookup($J$3,Radio_Assignments,6,FALSE)</f>
        <v>170.5000</v>
      </c>
      <c r="F42" s="477">
        <f>vlookup($J$3,Radio_Assignments,7,FALSE)</f>
        <v>0</v>
      </c>
      <c r="G42" s="478" t="str">
        <f>vlookup($J$3,Radio_Assignments,8,FALSE)</f>
        <v>168.7500</v>
      </c>
      <c r="H42" s="477">
        <f>vlookup($J$3,Radio_Assignments,9,FALSE)</f>
        <v>0</v>
      </c>
      <c r="I42" s="479" t="str">
        <f>vlookup($J$3,Radio_Assignments,10,FALSE)</f>
        <v>A</v>
      </c>
      <c r="J42" s="480" t="str">
        <f>vlookup($J$3,Radio_Assignments,11,FALSE)</f>
        <v/>
      </c>
      <c r="K42" s="55"/>
    </row>
    <row r="43" ht="13.5" customHeight="1">
      <c r="A43" s="473" t="str">
        <f>Iferror(vlookup($B43,Order205,2,False),"")</f>
        <v>A/G CMD</v>
      </c>
      <c r="B43" s="466" t="str">
        <f>If(vlookup($J$3,Radio_Assignments,13,FALSE) = "",14,vlookup($J$3,Radio_Assignments,13,FALSE))</f>
        <v>P2.15</v>
      </c>
      <c r="C43" s="475" t="str">
        <f>Iferror(vlookup($B43,Order205,4,False),"")</f>
        <v>A/G CMD</v>
      </c>
      <c r="D43" s="77"/>
      <c r="E43" s="476" t="str">
        <f>Iferror(vlookup($B43,Order205,5,False),"")</f>
        <v>166.6125</v>
      </c>
      <c r="F43" s="477" t="str">
        <f>Iferror(vlookup($B43,Order205,6,False),"")</f>
        <v/>
      </c>
      <c r="G43" s="478" t="str">
        <f>Iferror(vlookup($B43,Order205,7,False),"")</f>
        <v>166.6125</v>
      </c>
      <c r="H43" s="477">
        <f>Iferror(vlookup($B43,Order205,8,False),"")</f>
        <v>0</v>
      </c>
      <c r="I43" s="481" t="str">
        <f>Iferror(vlookup($B43,Order205,9,False),"")</f>
        <v>A</v>
      </c>
      <c r="J43" s="482" t="str">
        <f>Iferror(vlookup($B43,Order205,10,False),"")</f>
        <v/>
      </c>
      <c r="K43" s="55"/>
    </row>
    <row r="44" ht="13.5" customHeight="1">
      <c r="A44" s="473" t="str">
        <f>'205 Worksheet'!$C$10</f>
        <v>CALCORD</v>
      </c>
      <c r="B44" s="466">
        <f>'205 Worksheet'!$B$10</f>
        <v>15</v>
      </c>
      <c r="C44" s="475" t="str">
        <f>'205 Worksheet'!$E$10</f>
        <v>TACTICAL</v>
      </c>
      <c r="D44" s="77"/>
      <c r="E44" s="476">
        <f>'205 Worksheet'!$F$10</f>
        <v>156.075</v>
      </c>
      <c r="F44" s="558" t="str">
        <f>'205 Worksheet'!$G$10</f>
        <v>(T6)  156.7</v>
      </c>
      <c r="G44" s="478">
        <f>'205 Worksheet'!$H$10</f>
        <v>156.075</v>
      </c>
      <c r="H44" s="477" t="str">
        <f>'205 Worksheet'!$I$10</f>
        <v>(T6)  156.7</v>
      </c>
      <c r="I44" s="483" t="str">
        <f>'205 Worksheet'!$K$10</f>
        <v/>
      </c>
      <c r="J44" s="480" t="str">
        <f>'205 Worksheet'!$L$10</f>
        <v/>
      </c>
      <c r="K44" s="55"/>
    </row>
    <row r="45" ht="13.5" customHeight="1">
      <c r="A45" s="473" t="str">
        <f>'205 Worksheet'!$C$11</f>
        <v>A/G YNP</v>
      </c>
      <c r="B45" s="466">
        <f>'205 Worksheet'!$B$11</f>
        <v>16</v>
      </c>
      <c r="C45" s="475" t="str">
        <f>'205 Worksheet'!$E$11</f>
        <v>A/G</v>
      </c>
      <c r="D45" s="77"/>
      <c r="E45" s="476" t="str">
        <f>'205 Worksheet'!$F$11</f>
        <v>168.5625</v>
      </c>
      <c r="F45" s="558" t="str">
        <f>'205 Worksheet'!$G$11</f>
        <v/>
      </c>
      <c r="G45" s="485" t="str">
        <f>'205 Worksheet'!$H$11</f>
        <v>168.5625</v>
      </c>
      <c r="H45" s="484">
        <f>'205 Worksheet'!$I$11</f>
        <v>0</v>
      </c>
      <c r="I45" s="486" t="str">
        <f>'205 Worksheet'!$K$11</f>
        <v/>
      </c>
      <c r="J45" s="487" t="str">
        <f>'205 Worksheet'!$L$11</f>
        <v/>
      </c>
      <c r="K45" s="94"/>
    </row>
    <row r="46" ht="13.5" customHeight="1">
      <c r="A46" s="455" t="s">
        <v>435</v>
      </c>
      <c r="B46" s="165"/>
      <c r="C46" s="488" t="str">
        <f>'101 General Info'!$C$33</f>
        <v/>
      </c>
      <c r="D46" s="165"/>
      <c r="E46" s="165"/>
      <c r="F46" s="165"/>
      <c r="G46" s="490" t="str">
        <f>'101 General Info'!$D$33</f>
        <v>RESL</v>
      </c>
      <c r="H46" s="546" t="str">
        <f> IF(Code('101 General Info'!D34) = 9745, "Signature:____________________________","")</f>
        <v/>
      </c>
      <c r="I46" s="165"/>
      <c r="J46" s="165"/>
      <c r="K46" s="210"/>
    </row>
    <row r="47" ht="13.5" customHeight="1">
      <c r="A47" s="547" t="str">
        <f> IF(Code('101 General Info'!D34) = 9745, "Approved by:","")</f>
        <v/>
      </c>
      <c r="C47" s="548" t="str">
        <f> IF(Code('101 General Info'!D34) = 9745, '101 General Info'!$C$31,"")</f>
        <v/>
      </c>
      <c r="G47" s="548" t="str">
        <f> IF(Code('101 General Info'!D34) = 9745, "PSC","")</f>
        <v/>
      </c>
      <c r="H47" s="495" t="s">
        <v>449</v>
      </c>
      <c r="K47" s="94"/>
    </row>
    <row r="48" ht="13.5" customHeight="1">
      <c r="A48" s="549" t="s">
        <v>312</v>
      </c>
      <c r="B48" s="550"/>
      <c r="C48" s="550"/>
      <c r="D48" s="498" t="s">
        <v>389</v>
      </c>
      <c r="E48" s="77"/>
      <c r="F48" s="499">
        <f>F3 - 1</f>
        <v>43892</v>
      </c>
      <c r="G48" s="500" t="s">
        <v>438</v>
      </c>
      <c r="H48" s="551"/>
      <c r="I48" s="551"/>
      <c r="J48" s="552" t="s">
        <v>439</v>
      </c>
      <c r="K48" s="567">
        <f>Sum(G11:G28)</f>
        <v>0</v>
      </c>
    </row>
    <row r="49" ht="13.5" customHeight="1">
      <c r="A49" s="504" t="s">
        <v>332</v>
      </c>
      <c r="B49" s="493"/>
      <c r="C49" s="493"/>
      <c r="D49" s="505"/>
      <c r="E49" s="505"/>
      <c r="F49" s="506"/>
      <c r="G49" s="507"/>
      <c r="H49" s="509" t="s">
        <v>414</v>
      </c>
    </row>
  </sheetData>
  <mergeCells count="107">
    <mergeCell ref="A10:B10"/>
    <mergeCell ref="E10:F10"/>
    <mergeCell ref="A11:B11"/>
    <mergeCell ref="E11:F11"/>
    <mergeCell ref="J11:K11"/>
    <mergeCell ref="E12:F12"/>
    <mergeCell ref="J12:K12"/>
    <mergeCell ref="A12:B12"/>
    <mergeCell ref="A13:B13"/>
    <mergeCell ref="E13:F13"/>
    <mergeCell ref="J13:K13"/>
    <mergeCell ref="A14:B14"/>
    <mergeCell ref="J14:K14"/>
    <mergeCell ref="J15:K15"/>
    <mergeCell ref="E18:F18"/>
    <mergeCell ref="E19:F19"/>
    <mergeCell ref="E20:F20"/>
    <mergeCell ref="E14:F14"/>
    <mergeCell ref="E15:F15"/>
    <mergeCell ref="E16:F16"/>
    <mergeCell ref="J16:K16"/>
    <mergeCell ref="E17:F17"/>
    <mergeCell ref="J17:K17"/>
    <mergeCell ref="J18:K18"/>
    <mergeCell ref="E23:F23"/>
    <mergeCell ref="E24:F24"/>
    <mergeCell ref="J19:K19"/>
    <mergeCell ref="J20:K20"/>
    <mergeCell ref="E21:F21"/>
    <mergeCell ref="J21:K21"/>
    <mergeCell ref="E22:F22"/>
    <mergeCell ref="J22:K22"/>
    <mergeCell ref="J23:K23"/>
    <mergeCell ref="J24:K24"/>
    <mergeCell ref="A22:B22"/>
    <mergeCell ref="A23:B23"/>
    <mergeCell ref="A24:B24"/>
    <mergeCell ref="A25:B25"/>
    <mergeCell ref="E25:F25"/>
    <mergeCell ref="J25:K25"/>
    <mergeCell ref="E26:F26"/>
    <mergeCell ref="J26:K26"/>
    <mergeCell ref="A26:B26"/>
    <mergeCell ref="A27:B27"/>
    <mergeCell ref="E27:F27"/>
    <mergeCell ref="J27:K27"/>
    <mergeCell ref="A28:B28"/>
    <mergeCell ref="E28:F28"/>
    <mergeCell ref="J28:K28"/>
    <mergeCell ref="C29:K29"/>
    <mergeCell ref="A30:K30"/>
    <mergeCell ref="A31:K31"/>
    <mergeCell ref="A32:K32"/>
    <mergeCell ref="A33:K33"/>
    <mergeCell ref="A34:K34"/>
    <mergeCell ref="A35:K35"/>
    <mergeCell ref="A36:K36"/>
    <mergeCell ref="A37:K37"/>
    <mergeCell ref="A38:K38"/>
    <mergeCell ref="A39:K39"/>
    <mergeCell ref="C40:D40"/>
    <mergeCell ref="J40:K40"/>
    <mergeCell ref="J41:K41"/>
    <mergeCell ref="J44:K44"/>
    <mergeCell ref="J45:K45"/>
    <mergeCell ref="C41:D41"/>
    <mergeCell ref="C42:D42"/>
    <mergeCell ref="J42:K42"/>
    <mergeCell ref="C43:D43"/>
    <mergeCell ref="J43:K43"/>
    <mergeCell ref="C44:D44"/>
    <mergeCell ref="C45:D45"/>
    <mergeCell ref="A3:D3"/>
    <mergeCell ref="A4:D4"/>
    <mergeCell ref="J3:K4"/>
    <mergeCell ref="J5:K5"/>
    <mergeCell ref="C1:H1"/>
    <mergeCell ref="I1:K1"/>
    <mergeCell ref="A2:D2"/>
    <mergeCell ref="E2:H2"/>
    <mergeCell ref="J2:K2"/>
    <mergeCell ref="I3:I4"/>
    <mergeCell ref="A5:H5"/>
    <mergeCell ref="C9:H9"/>
    <mergeCell ref="I9:K9"/>
    <mergeCell ref="B6:F6"/>
    <mergeCell ref="H6:K6"/>
    <mergeCell ref="B7:F7"/>
    <mergeCell ref="H7:K7"/>
    <mergeCell ref="B8:F8"/>
    <mergeCell ref="H8:K8"/>
    <mergeCell ref="A9:B9"/>
    <mergeCell ref="A15:B15"/>
    <mergeCell ref="A16:B16"/>
    <mergeCell ref="A17:B17"/>
    <mergeCell ref="A18:B18"/>
    <mergeCell ref="A19:B19"/>
    <mergeCell ref="A20:B20"/>
    <mergeCell ref="A21:B21"/>
    <mergeCell ref="A46:B46"/>
    <mergeCell ref="C46:F46"/>
    <mergeCell ref="H46:K46"/>
    <mergeCell ref="A47:B47"/>
    <mergeCell ref="C47:F47"/>
    <mergeCell ref="H47:K47"/>
    <mergeCell ref="D48:E48"/>
    <mergeCell ref="H49:K49"/>
  </mergeCells>
  <conditionalFormatting sqref="E11:F28">
    <cfRule type="containsText" dxfId="6" priority="1" operator="containsText" text="Assigned">
      <formula>NOT(ISERROR(SEARCH(("Assigned"),(E11))))</formula>
    </cfRule>
  </conditionalFormatting>
  <conditionalFormatting sqref="E11:K28">
    <cfRule type="expression" dxfId="7" priority="2">
      <formula> AND($I11 &lt;&gt; Concatenate($F$4,"-",$H$4) ,NOT((isformula(E11))))</formula>
    </cfRule>
  </conditionalFormatting>
  <conditionalFormatting sqref="A11:K28">
    <cfRule type="expression" dxfId="8" priority="3">
      <formula> $I11 &lt;&gt; Concatenate($F$4,"-",$H$4)</formula>
    </cfRule>
  </conditionalFormatting>
  <conditionalFormatting sqref="C11:K28">
    <cfRule type="expression" dxfId="9" priority="4">
      <formula> NOT((isformula(C11)))</formula>
    </cfRule>
  </conditionalFormatting>
  <dataValidations>
    <dataValidation type="list" allowBlank="1" sqref="A11:A28">
      <formula1>ResourceID!$B$2:$B49</formula1>
    </dataValidation>
    <dataValidation type="list" allowBlank="1" sqref="A30:A33">
      <formula1>WorkAssignments</formula1>
    </dataValidation>
  </dataValidations>
  <printOptions horizontalCentered="1"/>
  <pageMargins bottom="0.75" footer="0.0" header="0.0" left="0.25" right="0.25" top="0.75"/>
  <pageSetup orientation="portrait" pageOrder="overThenDown"/>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pageSetUpPr fitToPage="1"/>
  </sheetPr>
  <sheetViews>
    <sheetView workbookViewId="0"/>
  </sheetViews>
  <sheetFormatPr customHeight="1" defaultColWidth="12.63" defaultRowHeight="15.75"/>
  <cols>
    <col customWidth="1" min="1" max="1" width="16.63"/>
    <col customWidth="1" min="2" max="2" width="10.13"/>
    <col customWidth="1" min="3" max="3" width="4.88"/>
    <col customWidth="1" min="4" max="4" width="4.63"/>
    <col customWidth="1" min="5" max="5" width="9.38"/>
    <col customWidth="1" min="6" max="6" width="9.63"/>
    <col customWidth="1" min="7" max="7" width="9.38"/>
    <col customWidth="1" min="8" max="8" width="10.25"/>
    <col customWidth="1" min="9" max="9" width="10.63"/>
    <col customWidth="1" min="10" max="10" width="10.38"/>
    <col customWidth="1" min="11" max="11" width="5.5"/>
  </cols>
  <sheetData>
    <row r="1" ht="13.5" customHeight="1">
      <c r="A1" s="417"/>
      <c r="B1" s="77"/>
      <c r="C1" s="419" t="s">
        <v>440</v>
      </c>
      <c r="D1" s="77"/>
      <c r="E1" s="77"/>
      <c r="F1" s="77"/>
      <c r="G1" s="77"/>
      <c r="H1" s="77"/>
      <c r="I1" s="510" t="s">
        <v>414</v>
      </c>
    </row>
    <row r="2" ht="13.5" customHeight="1">
      <c r="A2" s="511" t="s">
        <v>282</v>
      </c>
      <c r="B2" s="74"/>
      <c r="C2" s="74"/>
      <c r="D2" s="45"/>
      <c r="E2" s="511" t="s">
        <v>283</v>
      </c>
      <c r="F2" s="74"/>
      <c r="G2" s="74"/>
      <c r="H2" s="45"/>
      <c r="I2" s="512" t="s">
        <v>441</v>
      </c>
      <c r="J2" s="513" t="s">
        <v>442</v>
      </c>
      <c r="K2" s="86"/>
    </row>
    <row r="3" ht="13.5" customHeight="1">
      <c r="A3" s="514" t="str">
        <f>IncName</f>
        <v>NO NAME</v>
      </c>
      <c r="D3" s="94"/>
      <c r="E3" s="423" t="s">
        <v>284</v>
      </c>
      <c r="F3" s="424">
        <f>OpDate</f>
        <v>43893</v>
      </c>
      <c r="G3" s="425" t="s">
        <v>130</v>
      </c>
      <c r="H3" s="426">
        <f>OpDateTo</f>
        <v>43894</v>
      </c>
      <c r="I3" s="515" t="str">
        <f>'203'!E9</f>
        <v>I</v>
      </c>
      <c r="J3" s="516" t="str">
        <f> TRIM('203'!E12)</f>
        <v>M</v>
      </c>
      <c r="K3" s="517"/>
    </row>
    <row r="4" ht="13.5" customHeight="1">
      <c r="A4" s="166"/>
      <c r="D4" s="94"/>
      <c r="E4" s="423" t="s">
        <v>131</v>
      </c>
      <c r="F4" s="428" t="str">
        <f>OpStart</f>
        <v>0700</v>
      </c>
      <c r="G4" s="429" t="s">
        <v>133</v>
      </c>
      <c r="H4" s="430" t="str">
        <f>OpEnd</f>
        <v>0700</v>
      </c>
      <c r="I4" s="107"/>
      <c r="K4" s="108"/>
    </row>
    <row r="5" ht="13.5" customHeight="1">
      <c r="A5" s="518" t="s">
        <v>417</v>
      </c>
      <c r="B5" s="74"/>
      <c r="C5" s="74"/>
      <c r="D5" s="74"/>
      <c r="E5" s="74"/>
      <c r="F5" s="74"/>
      <c r="G5" s="74"/>
      <c r="H5" s="74"/>
      <c r="I5" s="519" t="s">
        <v>422</v>
      </c>
      <c r="J5" s="520" t="str">
        <f>if(LEN(J3) = 3,IFERROR(vlookup(Left(J3,1),PhonicAlphabet!A:B,2,FALSE)) &amp; "/" &amp; IFERROR(vlookup(MID(J3,3,1),PhonicAlphabet!A:B,2,FALSE)),IFERROR(vlookup(J3,PhonicAlphabet!A:B,2,FALSE), ""))</f>
        <v>Mike</v>
      </c>
      <c r="K5" s="115"/>
    </row>
    <row r="6" ht="13.5" customHeight="1">
      <c r="A6" s="521" t="s">
        <v>419</v>
      </c>
      <c r="B6" s="522" t="str">
        <f>'203'!E5</f>
        <v/>
      </c>
      <c r="C6" s="523"/>
      <c r="D6" s="523"/>
      <c r="E6" s="523"/>
      <c r="F6" s="523"/>
      <c r="G6" s="524" t="s">
        <v>443</v>
      </c>
      <c r="H6" s="525" t="str">
        <f>'203'!E7</f>
        <v/>
      </c>
      <c r="I6" s="523"/>
      <c r="J6" s="523"/>
      <c r="K6" s="526"/>
    </row>
    <row r="7" ht="13.5" customHeight="1">
      <c r="A7" s="527" t="s">
        <v>420</v>
      </c>
      <c r="B7" s="528" t="str">
        <f>'203'!F9</f>
        <v>Joseph Branch (Example)</v>
      </c>
      <c r="C7" s="529"/>
      <c r="D7" s="529"/>
      <c r="E7" s="529"/>
      <c r="F7" s="529"/>
      <c r="G7" s="530" t="s">
        <v>444</v>
      </c>
      <c r="H7" s="531" t="str">
        <f> IFerror(vlookup(I3,SafetyOfficers,2,False),"")</f>
        <v/>
      </c>
      <c r="I7" s="529"/>
      <c r="J7" s="529"/>
      <c r="K7" s="532"/>
    </row>
    <row r="8" ht="13.5" customHeight="1">
      <c r="A8" s="533" t="s">
        <v>421</v>
      </c>
      <c r="B8" s="534" t="str">
        <f>'203'!F12</f>
        <v/>
      </c>
      <c r="C8" s="535"/>
      <c r="D8" s="535"/>
      <c r="E8" s="535"/>
      <c r="F8" s="535"/>
      <c r="G8" s="536" t="s">
        <v>445</v>
      </c>
      <c r="H8" s="537" t="str">
        <f>'203'!F41</f>
        <v/>
      </c>
      <c r="I8" s="535"/>
      <c r="J8" s="535"/>
      <c r="K8" s="538"/>
    </row>
    <row r="9" ht="13.5" customHeight="1">
      <c r="A9" s="518" t="s">
        <v>446</v>
      </c>
      <c r="B9" s="74"/>
      <c r="C9" s="539" t="str">
        <f>'101 General Info'!D39</f>
        <v>** Resources Below in Bold are 12 Hour **</v>
      </c>
      <c r="D9" s="74"/>
      <c r="E9" s="74"/>
      <c r="F9" s="74"/>
      <c r="G9" s="74"/>
      <c r="H9" s="45"/>
      <c r="I9" s="540"/>
      <c r="J9" s="74"/>
      <c r="K9" s="45"/>
    </row>
    <row r="10" ht="13.5" customHeight="1">
      <c r="A10" s="377" t="s">
        <v>425</v>
      </c>
      <c r="B10" s="77"/>
      <c r="C10" s="541" t="str">
        <f>SuppField1</f>
        <v>ALS</v>
      </c>
      <c r="D10" s="541" t="str">
        <f>'101 General Info'!G38</f>
        <v>LWD</v>
      </c>
      <c r="E10" s="447" t="s">
        <v>426</v>
      </c>
      <c r="F10" s="55"/>
      <c r="G10" s="448" t="s">
        <v>427</v>
      </c>
      <c r="H10" s="462" t="s">
        <v>428</v>
      </c>
      <c r="I10" s="542" t="s">
        <v>447</v>
      </c>
      <c r="J10" s="318" t="s">
        <v>448</v>
      </c>
      <c r="K10" s="543"/>
    </row>
    <row r="11" ht="13.5" customHeight="1">
      <c r="A11" s="355" t="str">
        <f>IF(_xlfn.isformula(H11), "", VLOOKUP(H11,Indirect(ResDataAll),2,False))</f>
        <v/>
      </c>
      <c r="B11" s="74"/>
      <c r="C11" s="462" t="str">
        <f> IFERROR(vlookup(A11,Indirect(ResData),5, FALSE), "")</f>
        <v/>
      </c>
      <c r="D11" s="544" t="str">
        <f> IFERROR(vlookup(A11,Indirect(ResData),6, FALSE), "")</f>
        <v/>
      </c>
      <c r="E11" s="450" t="str">
        <f> IFERROR(vlookup(A11,Indirect(ResData),2, FALSE), "")</f>
        <v/>
      </c>
      <c r="F11" s="74"/>
      <c r="G11" s="451" t="str">
        <f> IFERROR(vlookup(A11,Indirect(ResData),3, FALSE), "")</f>
        <v/>
      </c>
      <c r="H11" s="414" t="str">
        <f t="array" ref="H11"> IFERROR(vlookup(A11,{Indirect(ResID),Indirect(ResDataAll)},2, FALSE), "")</f>
        <v/>
      </c>
      <c r="I11" s="452" t="str">
        <f> IFERROR(vlookup(A11,Indirect(ResData),4, FALSE), "")</f>
        <v/>
      </c>
      <c r="J11" s="453"/>
      <c r="K11" s="45"/>
    </row>
    <row r="12" ht="13.5" customHeight="1">
      <c r="A12" s="355" t="str">
        <f>IF(_xlfn.isformula(H12), "", VLOOKUP(H12,Indirect(ResDataAll),2,False))</f>
        <v/>
      </c>
      <c r="B12" s="74"/>
      <c r="C12" s="462" t="str">
        <f> IFERROR(vlookup(A12,Indirect(ResData),5, FALSE), "")</f>
        <v/>
      </c>
      <c r="D12" s="544" t="str">
        <f> IFERROR(vlookup(A12,Indirect(ResData),6, FALSE), "")</f>
        <v/>
      </c>
      <c r="E12" s="450" t="str">
        <f> IFERROR(vlookup(A12,Indirect(ResData),2, FALSE), "")</f>
        <v/>
      </c>
      <c r="F12" s="74"/>
      <c r="G12" s="451" t="str">
        <f> IFERROR(vlookup(A12,Indirect(ResData),3, FALSE), "")</f>
        <v/>
      </c>
      <c r="H12" s="414" t="str">
        <f t="array" ref="H12"> IFERROR(vlookup(A12,{Indirect(ResID),Indirect(ResDataAll)},2, FALSE), "")</f>
        <v/>
      </c>
      <c r="I12" s="452" t="str">
        <f> IFERROR(vlookup(A12,Indirect(ResData),4, FALSE), "")</f>
        <v/>
      </c>
      <c r="J12" s="454" t="str">
        <f t="shared" ref="J12:J28" si="1"> IF(A12 = "","",J11)</f>
        <v/>
      </c>
      <c r="K12" s="45"/>
    </row>
    <row r="13" ht="13.5" customHeight="1">
      <c r="A13" s="355" t="str">
        <f>IF(_xlfn.isformula(H13), "", VLOOKUP(H13,Indirect(ResDataAll),2,False))</f>
        <v/>
      </c>
      <c r="B13" s="74"/>
      <c r="C13" s="462" t="str">
        <f> IFERROR(vlookup(A13,Indirect(ResData),5, FALSE), "")</f>
        <v/>
      </c>
      <c r="D13" s="544" t="str">
        <f> IFERROR(vlookup(A13,Indirect(ResData),6, FALSE), "")</f>
        <v/>
      </c>
      <c r="E13" s="450" t="str">
        <f> IFERROR(vlookup(A13,Indirect(ResData),2, FALSE), "")</f>
        <v/>
      </c>
      <c r="F13" s="74"/>
      <c r="G13" s="451" t="str">
        <f> IFERROR(vlookup(A13,Indirect(ResData),3, FALSE), "")</f>
        <v/>
      </c>
      <c r="H13" s="414" t="str">
        <f t="array" ref="H13"> IFERROR(vlookup(A13,{Indirect(ResID),Indirect(ResDataAll)},2, FALSE), "")</f>
        <v/>
      </c>
      <c r="I13" s="452" t="str">
        <f> IFERROR(vlookup(A13,Indirect(ResData),4, FALSE), "")</f>
        <v/>
      </c>
      <c r="J13" s="454" t="str">
        <f t="shared" si="1"/>
        <v/>
      </c>
      <c r="K13" s="45"/>
    </row>
    <row r="14" ht="13.5" customHeight="1">
      <c r="A14" s="355" t="str">
        <f>IF(_xlfn.isformula(H14), "", VLOOKUP(H14,Indirect(ResDataAll),2,False))</f>
        <v/>
      </c>
      <c r="B14" s="74"/>
      <c r="C14" s="462" t="str">
        <f> IFERROR(vlookup(A14,Indirect(ResData),5, FALSE), "")</f>
        <v/>
      </c>
      <c r="D14" s="544" t="str">
        <f> IFERROR(vlookup(A14,Indirect(ResData),6, FALSE), "")</f>
        <v/>
      </c>
      <c r="E14" s="450" t="str">
        <f> IFERROR(vlookup(A14,Indirect(ResData),2, FALSE), "")</f>
        <v/>
      </c>
      <c r="F14" s="74"/>
      <c r="G14" s="451" t="str">
        <f> IFERROR(vlookup(A14,Indirect(ResData),3, FALSE), "")</f>
        <v/>
      </c>
      <c r="H14" s="414" t="str">
        <f t="array" ref="H14"> IFERROR(vlookup(A14,{Indirect(ResID),Indirect(ResDataAll)},2, FALSE), "")</f>
        <v/>
      </c>
      <c r="I14" s="452" t="str">
        <f> IFERROR(vlookup(A14,Indirect(ResData),4, FALSE), "")</f>
        <v/>
      </c>
      <c r="J14" s="454" t="str">
        <f t="shared" si="1"/>
        <v/>
      </c>
      <c r="K14" s="45"/>
    </row>
    <row r="15" ht="13.5" customHeight="1">
      <c r="A15" s="355" t="str">
        <f>IF(_xlfn.isformula(H15), "", VLOOKUP(H15,Indirect(ResDataAll),2,False))</f>
        <v/>
      </c>
      <c r="B15" s="74"/>
      <c r="C15" s="462" t="str">
        <f> IFERROR(vlookup(A15,Indirect(ResData),5, FALSE), "")</f>
        <v/>
      </c>
      <c r="D15" s="544" t="str">
        <f> IFERROR(vlookup(A15,Indirect(ResData),6, FALSE), "")</f>
        <v/>
      </c>
      <c r="E15" s="450" t="str">
        <f> IFERROR(vlookup(A15,Indirect(ResData),2, FALSE), "")</f>
        <v/>
      </c>
      <c r="F15" s="74"/>
      <c r="G15" s="451" t="str">
        <f> IFERROR(vlookup(A15,Indirect(ResData),3, FALSE), "")</f>
        <v/>
      </c>
      <c r="H15" s="414" t="str">
        <f t="array" ref="H15"> IFERROR(vlookup(A15,{Indirect(ResID),Indirect(ResDataAll)},2, FALSE), "")</f>
        <v/>
      </c>
      <c r="I15" s="452" t="str">
        <f> IFERROR(vlookup(A15,Indirect(ResData),4, FALSE), "")</f>
        <v/>
      </c>
      <c r="J15" s="454" t="str">
        <f t="shared" si="1"/>
        <v/>
      </c>
      <c r="K15" s="45"/>
    </row>
    <row r="16" ht="13.5" customHeight="1">
      <c r="A16" s="355" t="str">
        <f>IF(_xlfn.isformula(H16), "", VLOOKUP(H16,Indirect(ResDataAll),2,False))</f>
        <v/>
      </c>
      <c r="B16" s="74"/>
      <c r="C16" s="462" t="str">
        <f> IFERROR(vlookup(A16,Indirect(ResData),5, FALSE), "")</f>
        <v/>
      </c>
      <c r="D16" s="544" t="str">
        <f> IFERROR(vlookup(A16,Indirect(ResData),6, FALSE), "")</f>
        <v/>
      </c>
      <c r="E16" s="450" t="str">
        <f> IFERROR(vlookup(A16,Indirect(ResData),2, FALSE), "")</f>
        <v/>
      </c>
      <c r="F16" s="74"/>
      <c r="G16" s="451" t="str">
        <f> IFERROR(vlookup(A16,Indirect(ResData),3, FALSE), "")</f>
        <v/>
      </c>
      <c r="H16" s="414" t="str">
        <f t="array" ref="H16"> IFERROR(vlookup(A16,{Indirect(ResID),Indirect(ResDataAll)},2, FALSE), "")</f>
        <v/>
      </c>
      <c r="I16" s="452" t="str">
        <f> IFERROR(vlookup(A16,Indirect(ResData),4, FALSE), "")</f>
        <v/>
      </c>
      <c r="J16" s="454" t="str">
        <f t="shared" si="1"/>
        <v/>
      </c>
      <c r="K16" s="45"/>
    </row>
    <row r="17" ht="13.5" customHeight="1">
      <c r="A17" s="355" t="str">
        <f>IF(_xlfn.isformula(H17), "", VLOOKUP(H17,Indirect(ResDataAll),2,False))</f>
        <v/>
      </c>
      <c r="B17" s="74"/>
      <c r="C17" s="462" t="str">
        <f> IFERROR(vlookup(A17,Indirect(ResData),5, FALSE), "")</f>
        <v/>
      </c>
      <c r="D17" s="544" t="str">
        <f> IFERROR(vlookup(A17,Indirect(ResData),6, FALSE), "")</f>
        <v/>
      </c>
      <c r="E17" s="450" t="str">
        <f> IFERROR(vlookup(A17,Indirect(ResData),2, FALSE), "")</f>
        <v/>
      </c>
      <c r="F17" s="74"/>
      <c r="G17" s="451" t="str">
        <f> IFERROR(vlookup(A17,Indirect(ResData),3, FALSE), "")</f>
        <v/>
      </c>
      <c r="H17" s="414" t="str">
        <f t="array" ref="H17"> IFERROR(vlookup(A17,{Indirect(ResID),Indirect(ResDataAll)},2, FALSE), "")</f>
        <v/>
      </c>
      <c r="I17" s="452" t="str">
        <f> IFERROR(vlookup(A17,Indirect(ResData),4, FALSE), "")</f>
        <v/>
      </c>
      <c r="J17" s="454" t="str">
        <f t="shared" si="1"/>
        <v/>
      </c>
      <c r="K17" s="45"/>
    </row>
    <row r="18" ht="13.5" customHeight="1">
      <c r="A18" s="355" t="str">
        <f>IF(_xlfn.isformula(H18), "", VLOOKUP(H18,Indirect(ResDataAll),2,False))</f>
        <v/>
      </c>
      <c r="B18" s="74"/>
      <c r="C18" s="462" t="str">
        <f> IFERROR(vlookup(A18,Indirect(ResData),5, FALSE), "")</f>
        <v/>
      </c>
      <c r="D18" s="544" t="str">
        <f> IFERROR(vlookup(A18,Indirect(ResData),6, FALSE), "")</f>
        <v/>
      </c>
      <c r="E18" s="450" t="str">
        <f> IFERROR(vlookup(A18,Indirect(ResData),2, FALSE), "")</f>
        <v/>
      </c>
      <c r="F18" s="74"/>
      <c r="G18" s="451" t="str">
        <f> IFERROR(vlookup(A18,Indirect(ResData),3, FALSE), "")</f>
        <v/>
      </c>
      <c r="H18" s="414" t="str">
        <f t="array" ref="H18"> IFERROR(vlookup(A18,{Indirect(ResID),Indirect(ResDataAll)},2, FALSE), "")</f>
        <v/>
      </c>
      <c r="I18" s="452" t="str">
        <f> IFERROR(vlookup(A18,Indirect(ResData),4, FALSE), "")</f>
        <v/>
      </c>
      <c r="J18" s="454" t="str">
        <f t="shared" si="1"/>
        <v/>
      </c>
      <c r="K18" s="45"/>
    </row>
    <row r="19" ht="13.5" customHeight="1">
      <c r="A19" s="355" t="str">
        <f>IF(_xlfn.isformula(H19), "", VLOOKUP(H19,Indirect(ResDataAll),2,False))</f>
        <v/>
      </c>
      <c r="B19" s="74"/>
      <c r="C19" s="462" t="str">
        <f> IFERROR(vlookup(A19,Indirect(ResData),5, FALSE), "")</f>
        <v/>
      </c>
      <c r="D19" s="544" t="str">
        <f> IFERROR(vlookup(A19,Indirect(ResData),6, FALSE), "")</f>
        <v/>
      </c>
      <c r="E19" s="450" t="str">
        <f> IFERROR(vlookup(A19,Indirect(ResData),2, FALSE), "")</f>
        <v/>
      </c>
      <c r="F19" s="74"/>
      <c r="G19" s="451" t="str">
        <f> IFERROR(vlookup(A19,Indirect(ResData),3, FALSE), "")</f>
        <v/>
      </c>
      <c r="H19" s="414" t="str">
        <f t="array" ref="H19"> IFERROR(vlookup(A19,{Indirect(ResID),Indirect(ResDataAll)},2, FALSE), "")</f>
        <v/>
      </c>
      <c r="I19" s="452" t="str">
        <f> IFERROR(vlookup(A19,Indirect(ResData),4, FALSE), "")</f>
        <v/>
      </c>
      <c r="J19" s="454" t="str">
        <f t="shared" si="1"/>
        <v/>
      </c>
      <c r="K19" s="45"/>
    </row>
    <row r="20" ht="13.5" customHeight="1">
      <c r="A20" s="355" t="str">
        <f>IF(_xlfn.isformula(H20), "", VLOOKUP(H20,Indirect(ResDataAll),2,False))</f>
        <v/>
      </c>
      <c r="B20" s="74"/>
      <c r="C20" s="462" t="str">
        <f> IFERROR(vlookup(A20,Indirect(ResData),5, FALSE), "")</f>
        <v/>
      </c>
      <c r="D20" s="544" t="str">
        <f> IFERROR(vlookup(A20,Indirect(ResData),6, FALSE), "")</f>
        <v/>
      </c>
      <c r="E20" s="450" t="str">
        <f> IFERROR(vlookup(A20,Indirect(ResData),2, FALSE), "")</f>
        <v/>
      </c>
      <c r="F20" s="74"/>
      <c r="G20" s="451" t="str">
        <f> IFERROR(vlookup(A20,Indirect(ResData),3, FALSE), "")</f>
        <v/>
      </c>
      <c r="H20" s="414" t="str">
        <f t="array" ref="H20"> IFERROR(vlookup(A20,{Indirect(ResID),Indirect(ResDataAll)},2, FALSE), "")</f>
        <v/>
      </c>
      <c r="I20" s="452" t="str">
        <f> IFERROR(vlookup(A20,Indirect(ResData),4, FALSE), "")</f>
        <v/>
      </c>
      <c r="J20" s="454" t="str">
        <f t="shared" si="1"/>
        <v/>
      </c>
      <c r="K20" s="45"/>
    </row>
    <row r="21" ht="13.5" customHeight="1">
      <c r="A21" s="355" t="str">
        <f>IF(_xlfn.isformula(H21), "", VLOOKUP(H21,Indirect(ResDataAll),2,False))</f>
        <v/>
      </c>
      <c r="B21" s="74"/>
      <c r="C21" s="462" t="str">
        <f> IFERROR(vlookup(A21,Indirect(ResData),5, FALSE), "")</f>
        <v/>
      </c>
      <c r="D21" s="544" t="str">
        <f> IFERROR(vlookup(A21,Indirect(ResData),6, FALSE), "")</f>
        <v/>
      </c>
      <c r="E21" s="450" t="str">
        <f> IFERROR(vlookup(A21,Indirect(ResData),2, FALSE), "")</f>
        <v/>
      </c>
      <c r="F21" s="74"/>
      <c r="G21" s="451" t="str">
        <f> IFERROR(vlookup(A21,Indirect(ResData),3, FALSE), "")</f>
        <v/>
      </c>
      <c r="H21" s="414" t="str">
        <f t="array" ref="H21"> IFERROR(vlookup(A21,{Indirect(ResID),Indirect(ResDataAll)},2, FALSE), "")</f>
        <v/>
      </c>
      <c r="I21" s="452" t="str">
        <f> IFERROR(vlookup(A21,Indirect(ResData),4, FALSE), "")</f>
        <v/>
      </c>
      <c r="J21" s="454" t="str">
        <f t="shared" si="1"/>
        <v/>
      </c>
      <c r="K21" s="45"/>
    </row>
    <row r="22" ht="13.5" customHeight="1">
      <c r="A22" s="355" t="str">
        <f>IF(_xlfn.isformula(H22), "", VLOOKUP(H22,Indirect(ResDataAll),2,False))</f>
        <v/>
      </c>
      <c r="B22" s="74"/>
      <c r="C22" s="462" t="str">
        <f> IFERROR(vlookup(A22,Indirect(ResData),5, FALSE), "")</f>
        <v/>
      </c>
      <c r="D22" s="544" t="str">
        <f> IFERROR(vlookup(A22,Indirect(ResData),6, FALSE), "")</f>
        <v/>
      </c>
      <c r="E22" s="450" t="str">
        <f> IFERROR(vlookup(A22,Indirect(ResData),2, FALSE), "")</f>
        <v/>
      </c>
      <c r="F22" s="74"/>
      <c r="G22" s="451" t="str">
        <f> IFERROR(vlookup(A22,Indirect(ResData),3, FALSE), "")</f>
        <v/>
      </c>
      <c r="H22" s="414" t="str">
        <f t="array" ref="H22"> IFERROR(vlookup(A22,{Indirect(ResID),Indirect(ResDataAll)},2, FALSE), "")</f>
        <v/>
      </c>
      <c r="I22" s="452" t="str">
        <f> IFERROR(vlookup(A22,Indirect(ResData),4, FALSE), "")</f>
        <v/>
      </c>
      <c r="J22" s="454" t="str">
        <f t="shared" si="1"/>
        <v/>
      </c>
      <c r="K22" s="45"/>
    </row>
    <row r="23" ht="13.5" customHeight="1">
      <c r="A23" s="355" t="str">
        <f>IF(_xlfn.isformula(H23), "", VLOOKUP(H23,Indirect(ResDataAll),2,False))</f>
        <v/>
      </c>
      <c r="B23" s="74"/>
      <c r="C23" s="462" t="str">
        <f> IFERROR(vlookup(A23,Indirect(ResData),5, FALSE), "")</f>
        <v/>
      </c>
      <c r="D23" s="544" t="str">
        <f> IFERROR(vlookup(A23,Indirect(ResData),6, FALSE), "")</f>
        <v/>
      </c>
      <c r="E23" s="450" t="str">
        <f> IFERROR(vlookup(A23,Indirect(ResData),2, FALSE), "")</f>
        <v/>
      </c>
      <c r="F23" s="74"/>
      <c r="G23" s="451" t="str">
        <f> IFERROR(vlookup(A23,Indirect(ResData),3, FALSE), "")</f>
        <v/>
      </c>
      <c r="H23" s="414" t="str">
        <f t="array" ref="H23"> IFERROR(vlookup(A23,{Indirect(ResID),Indirect(ResDataAll)},2, FALSE), "")</f>
        <v/>
      </c>
      <c r="I23" s="452" t="str">
        <f> IFERROR(vlookup(A23,Indirect(ResData),4, FALSE), "")</f>
        <v/>
      </c>
      <c r="J23" s="454" t="str">
        <f t="shared" si="1"/>
        <v/>
      </c>
      <c r="K23" s="45"/>
    </row>
    <row r="24" ht="13.5" customHeight="1">
      <c r="A24" s="355" t="str">
        <f>IF(_xlfn.isformula(H24), "", VLOOKUP(H24,Indirect(ResDataAll),2,False))</f>
        <v/>
      </c>
      <c r="B24" s="74"/>
      <c r="C24" s="462" t="str">
        <f> IFERROR(vlookup(A24,Indirect(ResData),5, FALSE), "")</f>
        <v/>
      </c>
      <c r="D24" s="544" t="str">
        <f> IFERROR(vlookup(A24,Indirect(ResData),6, FALSE), "")</f>
        <v/>
      </c>
      <c r="E24" s="450" t="str">
        <f> IFERROR(vlookup(A24,Indirect(ResData),2, FALSE), "")</f>
        <v/>
      </c>
      <c r="F24" s="74"/>
      <c r="G24" s="451" t="str">
        <f> IFERROR(vlookup(A24,Indirect(ResData),3, FALSE), "")</f>
        <v/>
      </c>
      <c r="H24" s="414" t="str">
        <f t="array" ref="H24"> IFERROR(vlookup(A24,{Indirect(ResID),Indirect(ResDataAll)},2, FALSE), "")</f>
        <v/>
      </c>
      <c r="I24" s="452" t="str">
        <f> IFERROR(vlookup(A24,Indirect(ResData),4, FALSE), "")</f>
        <v/>
      </c>
      <c r="J24" s="454" t="str">
        <f t="shared" si="1"/>
        <v/>
      </c>
      <c r="K24" s="45"/>
    </row>
    <row r="25" ht="13.5" customHeight="1">
      <c r="A25" s="355" t="str">
        <f>IF(_xlfn.isformula(H25), "", VLOOKUP(H25,Indirect(ResDataAll),2,False))</f>
        <v/>
      </c>
      <c r="B25" s="74"/>
      <c r="C25" s="462" t="str">
        <f> IFERROR(vlookup(A25,Indirect(ResData),5, FALSE), "")</f>
        <v/>
      </c>
      <c r="D25" s="544" t="str">
        <f> IFERROR(vlookup(A25,Indirect(ResData),6, FALSE), "")</f>
        <v/>
      </c>
      <c r="E25" s="450" t="str">
        <f> IFERROR(vlookup(A25,Indirect(ResData),2, FALSE), "")</f>
        <v/>
      </c>
      <c r="F25" s="74"/>
      <c r="G25" s="451" t="str">
        <f> IFERROR(vlookup(A25,Indirect(ResData),3, FALSE), "")</f>
        <v/>
      </c>
      <c r="H25" s="414" t="str">
        <f t="array" ref="H25"> IFERROR(vlookup(A25,{Indirect(ResID),Indirect(ResDataAll)},2, FALSE), "")</f>
        <v/>
      </c>
      <c r="I25" s="452" t="str">
        <f> IFERROR(vlookup(A25,Indirect(ResData),4, FALSE), "")</f>
        <v/>
      </c>
      <c r="J25" s="454" t="str">
        <f t="shared" si="1"/>
        <v/>
      </c>
      <c r="K25" s="45"/>
    </row>
    <row r="26" ht="13.5" customHeight="1">
      <c r="A26" s="355" t="str">
        <f>IF(_xlfn.isformula(H26), "", VLOOKUP(H26,Indirect(ResDataAll),2,False))</f>
        <v/>
      </c>
      <c r="B26" s="74"/>
      <c r="C26" s="462" t="str">
        <f> IFERROR(vlookup(A26,Indirect(ResData),5, FALSE), "")</f>
        <v/>
      </c>
      <c r="D26" s="544" t="str">
        <f> IFERROR(vlookup(A26,Indirect(ResData),6, FALSE), "")</f>
        <v/>
      </c>
      <c r="E26" s="450" t="str">
        <f> IFERROR(vlookup(A26,Indirect(ResData),2, FALSE), "")</f>
        <v/>
      </c>
      <c r="F26" s="74"/>
      <c r="G26" s="451" t="str">
        <f> IFERROR(vlookup(A26,Indirect(ResData),3, FALSE), "")</f>
        <v/>
      </c>
      <c r="H26" s="414" t="str">
        <f t="array" ref="H26"> IFERROR(vlookup(A26,{Indirect(ResID),Indirect(ResDataAll)},2, FALSE), "")</f>
        <v/>
      </c>
      <c r="I26" s="452" t="str">
        <f> IFERROR(vlookup(A26,Indirect(ResData),4, FALSE), "")</f>
        <v/>
      </c>
      <c r="J26" s="454" t="str">
        <f t="shared" si="1"/>
        <v/>
      </c>
      <c r="K26" s="45"/>
    </row>
    <row r="27" ht="13.5" customHeight="1">
      <c r="A27" s="355" t="str">
        <f>IF(_xlfn.isformula(H27), "", VLOOKUP(H27,Indirect(ResDataAll),2,False))</f>
        <v/>
      </c>
      <c r="B27" s="74"/>
      <c r="C27" s="462" t="str">
        <f> IFERROR(vlookup(A27,Indirect(ResData),5, FALSE), "")</f>
        <v/>
      </c>
      <c r="D27" s="544" t="str">
        <f> IFERROR(vlookup(A27,Indirect(ResData),6, FALSE), "")</f>
        <v/>
      </c>
      <c r="E27" s="450" t="str">
        <f> IFERROR(vlookup(A27,Indirect(ResData),2, FALSE), "")</f>
        <v/>
      </c>
      <c r="F27" s="74"/>
      <c r="G27" s="451" t="str">
        <f> IFERROR(vlookup(A27,Indirect(ResData),3, FALSE), "")</f>
        <v/>
      </c>
      <c r="H27" s="414" t="str">
        <f t="array" ref="H27"> IFERROR(vlookup(A27,{Indirect(ResID),Indirect(ResDataAll)},2, FALSE), "")</f>
        <v/>
      </c>
      <c r="I27" s="452" t="str">
        <f> IFERROR(vlookup(A27,Indirect(ResData),4, FALSE), "")</f>
        <v/>
      </c>
      <c r="J27" s="454" t="str">
        <f t="shared" si="1"/>
        <v/>
      </c>
      <c r="K27" s="45"/>
    </row>
    <row r="28" ht="13.5" customHeight="1">
      <c r="A28" s="355" t="str">
        <f>IF(_xlfn.isformula(H28), "", VLOOKUP(H28,Indirect(ResDataAll),2,False))</f>
        <v/>
      </c>
      <c r="B28" s="74"/>
      <c r="C28" s="462" t="str">
        <f> IFERROR(vlookup(A28,Indirect(ResData),5, FALSE), "")</f>
        <v/>
      </c>
      <c r="D28" s="544" t="str">
        <f> IFERROR(vlookup(A28,Indirect(ResData),6, FALSE), "")</f>
        <v/>
      </c>
      <c r="E28" s="450" t="str">
        <f> IFERROR(vlookup(A28,Indirect(ResData),2, FALSE), "")</f>
        <v/>
      </c>
      <c r="F28" s="74"/>
      <c r="G28" s="451" t="str">
        <f> IFERROR(vlookup(A28,Indirect(ResData),3, FALSE), "")</f>
        <v/>
      </c>
      <c r="H28" s="414" t="str">
        <f t="array" ref="H28"> IFERROR(vlookup(A28,{Indirect(ResID),Indirect(ResDataAll)},2, FALSE), "")</f>
        <v/>
      </c>
      <c r="I28" s="452" t="str">
        <f> IFERROR(vlookup(A28,Indirect(ResData),4, FALSE), "")</f>
        <v/>
      </c>
      <c r="J28" s="454" t="str">
        <f t="shared" si="1"/>
        <v/>
      </c>
      <c r="K28" s="45"/>
    </row>
    <row r="29" ht="13.5" customHeight="1">
      <c r="A29" s="455" t="s">
        <v>429</v>
      </c>
      <c r="B29" s="456"/>
      <c r="C29" s="457" t="str">
        <f> if((COUNTIF(A11:A29,"&gt;*") + COUNTBLANK(A11:A29)) &gt; 19,"Adding rows has a negative effect on certain formulas. Maybe create another page?"," ")</f>
        <v> </v>
      </c>
      <c r="D29" s="165"/>
      <c r="E29" s="165"/>
      <c r="F29" s="165"/>
      <c r="G29" s="165"/>
      <c r="H29" s="165"/>
      <c r="I29" s="165"/>
      <c r="J29" s="165"/>
      <c r="K29" s="210"/>
    </row>
    <row r="30" ht="13.5" customHeight="1">
      <c r="A30" s="458"/>
      <c r="K30" s="94"/>
    </row>
    <row r="31" ht="13.5" customHeight="1">
      <c r="A31" s="458"/>
      <c r="K31" s="94"/>
    </row>
    <row r="32" ht="13.5" customHeight="1">
      <c r="A32" s="458"/>
      <c r="K32" s="94"/>
    </row>
    <row r="33" ht="13.5" customHeight="1">
      <c r="A33" s="458"/>
      <c r="K33" s="94"/>
    </row>
    <row r="34" ht="13.5" customHeight="1">
      <c r="A34" s="459" t="s">
        <v>430</v>
      </c>
      <c r="B34" s="165"/>
      <c r="C34" s="165"/>
      <c r="D34" s="165"/>
      <c r="E34" s="165"/>
      <c r="F34" s="165"/>
      <c r="G34" s="165"/>
      <c r="H34" s="165"/>
      <c r="I34" s="165"/>
      <c r="J34" s="165"/>
      <c r="K34" s="210"/>
    </row>
    <row r="35" ht="13.5" customHeight="1">
      <c r="A35" s="311"/>
      <c r="K35" s="94"/>
    </row>
    <row r="36" ht="13.5" customHeight="1">
      <c r="A36" s="311"/>
      <c r="K36" s="94"/>
    </row>
    <row r="37" ht="13.5" customHeight="1">
      <c r="A37" s="311"/>
      <c r="K37" s="94"/>
    </row>
    <row r="38" ht="13.5" customHeight="1">
      <c r="A38" s="314"/>
      <c r="B38" s="77"/>
      <c r="C38" s="77"/>
      <c r="D38" s="77"/>
      <c r="E38" s="77"/>
      <c r="F38" s="77"/>
      <c r="G38" s="77"/>
      <c r="H38" s="77"/>
      <c r="I38" s="77"/>
      <c r="J38" s="77"/>
      <c r="K38" s="55"/>
    </row>
    <row r="39" ht="13.5" customHeight="1">
      <c r="A39" s="545" t="s">
        <v>431</v>
      </c>
      <c r="K39" s="94"/>
    </row>
    <row r="40" ht="13.5" customHeight="1">
      <c r="A40" s="452" t="str">
        <f> "Name"</f>
        <v>Name</v>
      </c>
      <c r="B40" s="462" t="str">
        <f> "Ch"</f>
        <v>Ch</v>
      </c>
      <c r="C40" s="463" t="str">
        <f> "Function"</f>
        <v>Function</v>
      </c>
      <c r="D40" s="74"/>
      <c r="E40" s="462" t="str">
        <f> "Rx Freq"</f>
        <v>Rx Freq</v>
      </c>
      <c r="F40" s="462" t="str">
        <f> "Rx Tone"</f>
        <v>Rx Tone</v>
      </c>
      <c r="G40" s="462" t="str">
        <f> "Tx Freq"</f>
        <v>Tx Freq</v>
      </c>
      <c r="H40" s="462" t="str">
        <f> "Tx Tone"</f>
        <v>Tx Tone</v>
      </c>
      <c r="I40" s="464" t="s">
        <v>433</v>
      </c>
      <c r="J40" s="464" t="s">
        <v>434</v>
      </c>
      <c r="K40" s="45"/>
    </row>
    <row r="41" ht="13.5" customHeight="1">
      <c r="A41" s="465" t="str">
        <f>Iferror(vlookup($B41,Order205,2,False),"")</f>
        <v>CDF C1</v>
      </c>
      <c r="B41" s="466">
        <f>If(vlookup($J$3,Radio_Assignments,11,FALSE) = "",1,vlookup($J$3,Radio_Assignments,11,FALSE))</f>
        <v>1</v>
      </c>
      <c r="C41" s="467" t="str">
        <f>Iferror(vlookup($B41,Order205,4,False),"")</f>
        <v>COMMAND</v>
      </c>
      <c r="D41" s="74"/>
      <c r="E41" s="468">
        <f>Iferror(vlookup($B41,Order205,5,False),"")</f>
        <v>151.355</v>
      </c>
      <c r="F41" s="469" t="str">
        <f>Iferror(vlookup($B41,Order205,6,False),"")</f>
        <v>(T8)  103.5</v>
      </c>
      <c r="G41" s="470">
        <f>Iferror(vlookup($B41,Order205,7,False),"")</f>
        <v>159.3</v>
      </c>
      <c r="H41" s="556" t="str">
        <f>Iferror(vlookup($B41,Order205,8,False),"")</f>
        <v>OST</v>
      </c>
      <c r="I41" s="557" t="str">
        <f>Iferror(vlookup($B41,Order205,9,False),"")</f>
        <v>A</v>
      </c>
      <c r="J41" s="472" t="str">
        <f>Iferror(vlookup($B41,Order205,10,False),"")</f>
        <v/>
      </c>
      <c r="K41" s="45"/>
    </row>
    <row r="42" ht="13.5" customHeight="1">
      <c r="A42" s="473" t="str">
        <f>iferror(vlookup($J$3,Radio_Assignments,3,FALSE),"")</f>
        <v>STF OPS T2</v>
      </c>
      <c r="B42" s="474" t="str">
        <f>vlookup($J$3,Radio_Assignments,2,FALSE)</f>
        <v>P2.5</v>
      </c>
      <c r="C42" s="475" t="str">
        <f>vlookup($J$3,Radio_Assignments,5,FALSE)</f>
        <v>COMMAND</v>
      </c>
      <c r="D42" s="77"/>
      <c r="E42" s="476" t="str">
        <f>vlookup($J$3,Radio_Assignments,6,FALSE)</f>
        <v>170.5000</v>
      </c>
      <c r="F42" s="477">
        <f>vlookup($J$3,Radio_Assignments,7,FALSE)</f>
        <v>0</v>
      </c>
      <c r="G42" s="478" t="str">
        <f>vlookup($J$3,Radio_Assignments,8,FALSE)</f>
        <v>168.7500</v>
      </c>
      <c r="H42" s="558">
        <f>vlookup($J$3,Radio_Assignments,9,FALSE)</f>
        <v>0</v>
      </c>
      <c r="I42" s="559" t="str">
        <f>vlookup($J$3,Radio_Assignments,10,FALSE)</f>
        <v>A</v>
      </c>
      <c r="J42" s="480" t="str">
        <f>vlookup($J$3,Radio_Assignments,11,FALSE)</f>
        <v/>
      </c>
      <c r="K42" s="55"/>
    </row>
    <row r="43" ht="13.5" customHeight="1">
      <c r="A43" s="473" t="str">
        <f>Iferror(vlookup($B43,Order205,2,False),"")</f>
        <v>A/G CMD</v>
      </c>
      <c r="B43" s="466">
        <f>If(vlookup($J$3,Radio_Assignments,12,FALSE) = "",14,vlookup($J$3,Radio_Assignments,12,FALSE))</f>
        <v>14</v>
      </c>
      <c r="C43" s="475" t="str">
        <f>Iferror(vlookup($B43,Order205,4,False),"")</f>
        <v>A/G CMD</v>
      </c>
      <c r="D43" s="77"/>
      <c r="E43" s="476" t="str">
        <f>Iferror(vlookup($B43,Order205,5,False),"")</f>
        <v>166.6125</v>
      </c>
      <c r="F43" s="477" t="str">
        <f>Iferror(vlookup($B43,Order205,6,False),"")</f>
        <v/>
      </c>
      <c r="G43" s="478" t="str">
        <f>Iferror(vlookup($B43,Order205,7,False),"")</f>
        <v>166.6125</v>
      </c>
      <c r="H43" s="560">
        <f>Iferror(vlookup($B43,Order205,8,False),"")</f>
        <v>0</v>
      </c>
      <c r="I43" s="561" t="str">
        <f>Iferror(vlookup($B43,Order205,9,False),"")</f>
        <v>A</v>
      </c>
      <c r="J43" s="482" t="str">
        <f>Iferror(vlookup($B43,Order205,10,False),"")</f>
        <v/>
      </c>
      <c r="K43" s="55"/>
    </row>
    <row r="44" ht="13.5" customHeight="1">
      <c r="A44" s="473" t="str">
        <f>'205 Worksheet'!$C$10</f>
        <v>CALCORD</v>
      </c>
      <c r="B44" s="466">
        <f>'205 Worksheet'!$B$10</f>
        <v>15</v>
      </c>
      <c r="C44" s="475" t="str">
        <f>'205 Worksheet'!$E$10</f>
        <v>TACTICAL</v>
      </c>
      <c r="D44" s="77"/>
      <c r="E44" s="476">
        <f>'205 Worksheet'!$F$10</f>
        <v>156.075</v>
      </c>
      <c r="F44" s="558" t="str">
        <f>'205 Worksheet'!$G$10</f>
        <v>(T6)  156.7</v>
      </c>
      <c r="G44" s="478">
        <f>'205 Worksheet'!$H$10</f>
        <v>156.075</v>
      </c>
      <c r="H44" s="558" t="str">
        <f>'205 Worksheet'!$I$10</f>
        <v>(T6)  156.7</v>
      </c>
      <c r="I44" s="562" t="str">
        <f>'205 Worksheet'!$K$10</f>
        <v/>
      </c>
      <c r="J44" s="480" t="str">
        <f>'205 Worksheet'!$L$10</f>
        <v/>
      </c>
      <c r="K44" s="55"/>
    </row>
    <row r="45" ht="13.5" customHeight="1">
      <c r="A45" s="473" t="str">
        <f>'205 Worksheet'!$C$11</f>
        <v>A/G YNP</v>
      </c>
      <c r="B45" s="466">
        <f>'205 Worksheet'!$B$11</f>
        <v>16</v>
      </c>
      <c r="C45" s="475" t="str">
        <f>'205 Worksheet'!$E$11</f>
        <v>A/G</v>
      </c>
      <c r="D45" s="77"/>
      <c r="E45" s="476" t="str">
        <f>'205 Worksheet'!$F$11</f>
        <v>168.5625</v>
      </c>
      <c r="F45" s="558" t="str">
        <f>'205 Worksheet'!$G$11</f>
        <v/>
      </c>
      <c r="G45" s="485" t="str">
        <f>'205 Worksheet'!$H$11</f>
        <v>168.5625</v>
      </c>
      <c r="H45" s="563">
        <f>'205 Worksheet'!$I$11</f>
        <v>0</v>
      </c>
      <c r="I45" s="564" t="str">
        <f>'205 Worksheet'!$K$11</f>
        <v/>
      </c>
      <c r="J45" s="487" t="str">
        <f>'205 Worksheet'!$L$11</f>
        <v/>
      </c>
      <c r="K45" s="94"/>
    </row>
    <row r="46" ht="13.5" customHeight="1">
      <c r="A46" s="455" t="s">
        <v>435</v>
      </c>
      <c r="B46" s="165"/>
      <c r="C46" s="488" t="str">
        <f>'101 General Info'!$C$33</f>
        <v/>
      </c>
      <c r="D46" s="165"/>
      <c r="E46" s="165"/>
      <c r="F46" s="165"/>
      <c r="G46" s="490" t="str">
        <f>'101 General Info'!$D$33</f>
        <v>RESL</v>
      </c>
      <c r="H46" s="546" t="str">
        <f> IF(Code('101 General Info'!D34) = 9745, "Signature:____________________________","")</f>
        <v/>
      </c>
      <c r="I46" s="165"/>
      <c r="J46" s="165"/>
      <c r="K46" s="210"/>
    </row>
    <row r="47" ht="13.5" customHeight="1">
      <c r="A47" s="547" t="str">
        <f> IF(Code('101 General Info'!D34) = 9745, "Approved by:","")</f>
        <v/>
      </c>
      <c r="C47" s="548" t="str">
        <f> IF(Code('101 General Info'!D34) = 9745, '101 General Info'!$C$31,"")</f>
        <v/>
      </c>
      <c r="G47" s="548" t="str">
        <f> IF(Code('101 General Info'!D34) = 9745, "PSC","")</f>
        <v/>
      </c>
      <c r="H47" s="495" t="s">
        <v>449</v>
      </c>
      <c r="K47" s="94"/>
    </row>
    <row r="48" ht="13.5" customHeight="1">
      <c r="A48" s="549" t="s">
        <v>312</v>
      </c>
      <c r="B48" s="550"/>
      <c r="C48" s="550"/>
      <c r="D48" s="498" t="s">
        <v>389</v>
      </c>
      <c r="E48" s="77"/>
      <c r="F48" s="499">
        <f>F3 - 1</f>
        <v>43892</v>
      </c>
      <c r="G48" s="500" t="s">
        <v>438</v>
      </c>
      <c r="H48" s="551"/>
      <c r="I48" s="551"/>
      <c r="J48" s="552" t="s">
        <v>439</v>
      </c>
      <c r="K48" s="553">
        <f>Sumproduct(ABS(G11:G28))</f>
        <v>0</v>
      </c>
    </row>
    <row r="49" ht="13.5" customHeight="1">
      <c r="A49" s="504" t="s">
        <v>332</v>
      </c>
      <c r="B49" s="493"/>
      <c r="C49" s="493"/>
      <c r="D49" s="505"/>
      <c r="E49" s="505"/>
      <c r="F49" s="506"/>
      <c r="G49" s="507"/>
      <c r="H49" s="509" t="s">
        <v>414</v>
      </c>
    </row>
  </sheetData>
  <mergeCells count="108">
    <mergeCell ref="A13:B13"/>
    <mergeCell ref="A14:B14"/>
    <mergeCell ref="A15:B15"/>
    <mergeCell ref="A16:B16"/>
    <mergeCell ref="A17:B17"/>
    <mergeCell ref="A18:B18"/>
    <mergeCell ref="A19:B19"/>
    <mergeCell ref="A27:B27"/>
    <mergeCell ref="A28:B28"/>
    <mergeCell ref="A20:B20"/>
    <mergeCell ref="A21:B21"/>
    <mergeCell ref="A22:B22"/>
    <mergeCell ref="A23:B23"/>
    <mergeCell ref="A24:B24"/>
    <mergeCell ref="A25:B25"/>
    <mergeCell ref="A26:B26"/>
    <mergeCell ref="J25:K25"/>
    <mergeCell ref="J26:K26"/>
    <mergeCell ref="J18:K18"/>
    <mergeCell ref="J19:K19"/>
    <mergeCell ref="J20:K20"/>
    <mergeCell ref="J21:K21"/>
    <mergeCell ref="J22:K22"/>
    <mergeCell ref="J23:K23"/>
    <mergeCell ref="J24:K24"/>
    <mergeCell ref="J27:K27"/>
    <mergeCell ref="J28:K28"/>
    <mergeCell ref="C29:K29"/>
    <mergeCell ref="A30:K30"/>
    <mergeCell ref="A31:K31"/>
    <mergeCell ref="A32:K32"/>
    <mergeCell ref="A33:K33"/>
    <mergeCell ref="J41:K41"/>
    <mergeCell ref="J42:K42"/>
    <mergeCell ref="J43:K43"/>
    <mergeCell ref="J44:K44"/>
    <mergeCell ref="J45:K45"/>
    <mergeCell ref="H46:K46"/>
    <mergeCell ref="H47:K47"/>
    <mergeCell ref="H49:K49"/>
    <mergeCell ref="A34:K34"/>
    <mergeCell ref="A35:K35"/>
    <mergeCell ref="A36:K36"/>
    <mergeCell ref="A37:K37"/>
    <mergeCell ref="A38:K38"/>
    <mergeCell ref="A39:K39"/>
    <mergeCell ref="J40:K40"/>
    <mergeCell ref="A46:B46"/>
    <mergeCell ref="A47:B47"/>
    <mergeCell ref="C47:F47"/>
    <mergeCell ref="D48:E48"/>
    <mergeCell ref="C40:D40"/>
    <mergeCell ref="C41:D41"/>
    <mergeCell ref="C42:D42"/>
    <mergeCell ref="C43:D43"/>
    <mergeCell ref="C44:D44"/>
    <mergeCell ref="C45:D45"/>
    <mergeCell ref="C46:F46"/>
    <mergeCell ref="A1:B1"/>
    <mergeCell ref="C1:H1"/>
    <mergeCell ref="I1:K1"/>
    <mergeCell ref="A2:D2"/>
    <mergeCell ref="E2:H2"/>
    <mergeCell ref="J2:K2"/>
    <mergeCell ref="A3:D3"/>
    <mergeCell ref="A4:D4"/>
    <mergeCell ref="A5:H5"/>
    <mergeCell ref="B6:F6"/>
    <mergeCell ref="B7:F7"/>
    <mergeCell ref="B8:F8"/>
    <mergeCell ref="A9:B9"/>
    <mergeCell ref="C9:H9"/>
    <mergeCell ref="I3:I4"/>
    <mergeCell ref="J3:K4"/>
    <mergeCell ref="J5:K5"/>
    <mergeCell ref="H6:K6"/>
    <mergeCell ref="H7:K7"/>
    <mergeCell ref="H8:K8"/>
    <mergeCell ref="I9:K9"/>
    <mergeCell ref="A10:B10"/>
    <mergeCell ref="E10:F10"/>
    <mergeCell ref="A11:B11"/>
    <mergeCell ref="E11:F11"/>
    <mergeCell ref="A12:B12"/>
    <mergeCell ref="E12:F12"/>
    <mergeCell ref="E13:F13"/>
    <mergeCell ref="E21:F21"/>
    <mergeCell ref="E22:F22"/>
    <mergeCell ref="E23:F23"/>
    <mergeCell ref="E24:F24"/>
    <mergeCell ref="E25:F25"/>
    <mergeCell ref="E26:F26"/>
    <mergeCell ref="E27:F27"/>
    <mergeCell ref="E28:F28"/>
    <mergeCell ref="E14:F14"/>
    <mergeCell ref="E15:F15"/>
    <mergeCell ref="E16:F16"/>
    <mergeCell ref="E17:F17"/>
    <mergeCell ref="E18:F18"/>
    <mergeCell ref="E19:F19"/>
    <mergeCell ref="E20:F20"/>
    <mergeCell ref="J11:K11"/>
    <mergeCell ref="J12:K12"/>
    <mergeCell ref="J13:K13"/>
    <mergeCell ref="J14:K14"/>
    <mergeCell ref="J15:K15"/>
    <mergeCell ref="J16:K16"/>
    <mergeCell ref="J17:K17"/>
  </mergeCells>
  <conditionalFormatting sqref="E11:F28">
    <cfRule type="containsText" dxfId="6" priority="1" operator="containsText" text="Assigned">
      <formula>NOT(ISERROR(SEARCH(("Assigned"),(E11))))</formula>
    </cfRule>
  </conditionalFormatting>
  <conditionalFormatting sqref="E11:F28 H11:K28">
    <cfRule type="expression" dxfId="7" priority="2">
      <formula> AND($I11 &lt;&gt; Concatenate($F$4,"-",$H$4) ,NOT((isformula(E11))))</formula>
    </cfRule>
  </conditionalFormatting>
  <conditionalFormatting sqref="A11:F28 H11:K28">
    <cfRule type="expression" dxfId="8" priority="3">
      <formula> $I11 &lt;&gt; Concatenate($F$4,"-",$H$4)</formula>
    </cfRule>
  </conditionalFormatting>
  <conditionalFormatting sqref="C11:F28 H11:K28">
    <cfRule type="expression" dxfId="9" priority="4">
      <formula> NOT((isformula(C11)))</formula>
    </cfRule>
  </conditionalFormatting>
  <dataValidations>
    <dataValidation type="list" allowBlank="1" sqref="A11:A28">
      <formula1>ResourceID!$B$2:$B49</formula1>
    </dataValidation>
    <dataValidation type="list" allowBlank="1" sqref="A30:A33">
      <formula1>WorkAssignments</formula1>
    </dataValidation>
  </dataValidations>
  <printOptions horizontalCentered="1"/>
  <pageMargins bottom="0.75" footer="0.0" header="0.0" left="0.25" right="0.25" top="0.75"/>
  <pageSetup orientation="portrait" pageOrder="overThenDown"/>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1.75"/>
    <col customWidth="1" min="4" max="5" width="26.25"/>
    <col customWidth="1" min="6" max="6" width="31.25"/>
  </cols>
  <sheetData>
    <row r="1">
      <c r="A1" s="41" t="s">
        <v>450</v>
      </c>
      <c r="C1" s="42" t="s">
        <v>451</v>
      </c>
      <c r="E1" s="568"/>
    </row>
    <row r="2">
      <c r="B2" s="41"/>
      <c r="C2" s="41"/>
      <c r="D2" s="569"/>
      <c r="E2" s="569"/>
    </row>
    <row r="3">
      <c r="B3" s="41"/>
      <c r="C3" s="41"/>
      <c r="D3" s="569"/>
      <c r="E3" s="323"/>
    </row>
    <row r="4">
      <c r="D4" s="570" t="str">
        <f>'202B'!I2</f>
        <v>#REF!</v>
      </c>
      <c r="E4" s="571" t="s">
        <v>408</v>
      </c>
      <c r="F4" s="571" t="s">
        <v>409</v>
      </c>
    </row>
    <row r="5">
      <c r="B5" s="363" t="str">
        <f>'203'!D9</f>
        <v>Branch</v>
      </c>
      <c r="C5" s="363" t="str">
        <f>'203'!E9</f>
        <v>I</v>
      </c>
      <c r="D5" s="396" t="str">
        <f t="shared" ref="D5:D34" si="1">IF(isodd(D$4),E5,F5)</f>
        <v>#REF!</v>
      </c>
      <c r="E5" s="572" t="s">
        <v>452</v>
      </c>
      <c r="F5" s="573" t="s">
        <v>453</v>
      </c>
    </row>
    <row r="6">
      <c r="B6" s="363" t="str">
        <f>'203'!D10</f>
        <v>Division/Group</v>
      </c>
      <c r="C6" s="363" t="str">
        <f>'203'!E10</f>
        <v>A - FEMA</v>
      </c>
      <c r="D6" s="396" t="str">
        <f t="shared" si="1"/>
        <v>#REF!</v>
      </c>
      <c r="E6" s="574" t="s">
        <v>454</v>
      </c>
      <c r="F6" s="575" t="s">
        <v>455</v>
      </c>
    </row>
    <row r="7">
      <c r="B7" s="363" t="str">
        <f>'203'!D11</f>
        <v>Division/Group</v>
      </c>
      <c r="C7" s="363" t="str">
        <f>'203'!E11</f>
        <v>B - NWCG</v>
      </c>
      <c r="D7" s="396" t="str">
        <f t="shared" si="1"/>
        <v>#REF!</v>
      </c>
      <c r="E7" s="574" t="s">
        <v>456</v>
      </c>
      <c r="F7" s="575" t="s">
        <v>457</v>
      </c>
    </row>
    <row r="8">
      <c r="B8" s="363" t="str">
        <f>'203'!D12</f>
        <v>Division/Group</v>
      </c>
      <c r="C8" s="363" t="str">
        <f>'203'!E12</f>
        <v>M</v>
      </c>
      <c r="D8" s="396" t="str">
        <f t="shared" si="1"/>
        <v>#REF!</v>
      </c>
      <c r="E8" s="574"/>
      <c r="F8" s="574"/>
    </row>
    <row r="9">
      <c r="B9" s="363" t="str">
        <f>'203'!D13</f>
        <v>Division/Group</v>
      </c>
      <c r="C9" s="363" t="str">
        <f>'203'!E13</f>
        <v/>
      </c>
      <c r="D9" s="396" t="str">
        <f t="shared" si="1"/>
        <v>#REF!</v>
      </c>
      <c r="E9" s="576"/>
      <c r="F9" s="576"/>
    </row>
    <row r="10">
      <c r="B10" s="363" t="str">
        <f>'203'!D14</f>
        <v>Division/Group</v>
      </c>
      <c r="C10" s="363" t="str">
        <f>'203'!E14</f>
        <v/>
      </c>
      <c r="D10" s="396" t="str">
        <f t="shared" si="1"/>
        <v>#REF!</v>
      </c>
      <c r="E10" s="574"/>
      <c r="F10" s="574"/>
    </row>
    <row r="11">
      <c r="B11" s="363" t="str">
        <f>'203'!D15</f>
        <v>Branch</v>
      </c>
      <c r="C11" s="363" t="str">
        <f>'203'!E15</f>
        <v>II</v>
      </c>
      <c r="D11" s="396" t="str">
        <f t="shared" si="1"/>
        <v>#REF!</v>
      </c>
      <c r="E11" s="572" t="s">
        <v>458</v>
      </c>
      <c r="F11" s="573" t="s">
        <v>459</v>
      </c>
    </row>
    <row r="12">
      <c r="B12" s="363" t="str">
        <f>'203'!D16</f>
        <v>Division/Group</v>
      </c>
      <c r="C12" s="363" t="str">
        <f>'203'!E16</f>
        <v/>
      </c>
      <c r="D12" s="396" t="str">
        <f t="shared" si="1"/>
        <v>#REF!</v>
      </c>
      <c r="E12" s="415" t="s">
        <v>460</v>
      </c>
      <c r="F12" s="573" t="s">
        <v>461</v>
      </c>
    </row>
    <row r="13">
      <c r="B13" s="363" t="str">
        <f>'203'!D17</f>
        <v>Division/Group</v>
      </c>
      <c r="C13" s="363" t="str">
        <f>'203'!E17</f>
        <v/>
      </c>
      <c r="D13" s="396" t="str">
        <f t="shared" si="1"/>
        <v>#REF!</v>
      </c>
      <c r="E13" s="576" t="s">
        <v>462</v>
      </c>
      <c r="F13" s="573" t="s">
        <v>463</v>
      </c>
    </row>
    <row r="14">
      <c r="B14" s="363" t="str">
        <f>'203'!D18</f>
        <v>Division/Group</v>
      </c>
      <c r="C14" s="363" t="str">
        <f>'203'!E18</f>
        <v/>
      </c>
      <c r="D14" s="396" t="str">
        <f t="shared" si="1"/>
        <v>#REF!</v>
      </c>
      <c r="E14" s="574"/>
      <c r="F14" s="574"/>
    </row>
    <row r="15">
      <c r="B15" s="363" t="str">
        <f>'203'!D19</f>
        <v>Division/Group</v>
      </c>
      <c r="C15" s="363" t="str">
        <f>'203'!E19</f>
        <v/>
      </c>
      <c r="D15" s="396" t="str">
        <f t="shared" si="1"/>
        <v>#REF!</v>
      </c>
      <c r="E15" s="574"/>
      <c r="F15" s="574"/>
    </row>
    <row r="16">
      <c r="B16" s="363" t="str">
        <f>'203'!D20</f>
        <v>Division/Group</v>
      </c>
      <c r="C16" s="363" t="str">
        <f>'203'!E20</f>
        <v/>
      </c>
      <c r="D16" s="396" t="str">
        <f t="shared" si="1"/>
        <v>#REF!</v>
      </c>
      <c r="E16" s="574"/>
      <c r="F16" s="574"/>
    </row>
    <row r="17">
      <c r="B17" s="363" t="str">
        <f>'203'!D21</f>
        <v>Branch</v>
      </c>
      <c r="C17" s="363" t="str">
        <f>'203'!E21</f>
        <v>III</v>
      </c>
      <c r="D17" s="396" t="str">
        <f t="shared" si="1"/>
        <v>#REF!</v>
      </c>
      <c r="E17" s="572"/>
      <c r="F17" s="577"/>
    </row>
    <row r="18">
      <c r="B18" s="363" t="str">
        <f>'203'!D22</f>
        <v>Division/Group</v>
      </c>
      <c r="C18" s="363" t="str">
        <f>'203'!E22</f>
        <v/>
      </c>
      <c r="D18" s="396" t="str">
        <f t="shared" si="1"/>
        <v>#REF!</v>
      </c>
      <c r="E18" s="574"/>
      <c r="F18" s="575"/>
    </row>
    <row r="19">
      <c r="B19" s="363" t="str">
        <f>'203'!D23</f>
        <v>Division/Group</v>
      </c>
      <c r="C19" s="363" t="str">
        <f>'203'!E23</f>
        <v/>
      </c>
      <c r="D19" s="396" t="str">
        <f t="shared" si="1"/>
        <v>#REF!</v>
      </c>
      <c r="E19" s="415"/>
      <c r="F19" s="415"/>
    </row>
    <row r="20">
      <c r="B20" s="363" t="str">
        <f>'203'!D24</f>
        <v>Division/Group</v>
      </c>
      <c r="C20" s="363" t="str">
        <f>'203'!E24</f>
        <v/>
      </c>
      <c r="D20" s="396" t="str">
        <f t="shared" si="1"/>
        <v>#REF!</v>
      </c>
      <c r="E20" s="574"/>
      <c r="F20" s="574"/>
    </row>
    <row r="21">
      <c r="B21" s="363" t="str">
        <f>'203'!D25</f>
        <v>Division/Group</v>
      </c>
      <c r="C21" s="363" t="str">
        <f>'203'!E25</f>
        <v/>
      </c>
      <c r="D21" s="396" t="str">
        <f t="shared" si="1"/>
        <v>#REF!</v>
      </c>
      <c r="E21" s="574"/>
      <c r="F21" s="574"/>
    </row>
    <row r="22">
      <c r="B22" s="363" t="str">
        <f>'203'!D26</f>
        <v>Division/Group</v>
      </c>
      <c r="C22" s="363" t="str">
        <f>'203'!E26</f>
        <v/>
      </c>
      <c r="D22" s="396" t="str">
        <f t="shared" si="1"/>
        <v>#REF!</v>
      </c>
      <c r="E22" s="574"/>
      <c r="F22" s="574"/>
    </row>
    <row r="23">
      <c r="B23" s="363" t="str">
        <f>'203'!D27</f>
        <v>Branch</v>
      </c>
      <c r="C23" s="363" t="str">
        <f>'203'!E27</f>
        <v>IV</v>
      </c>
      <c r="D23" s="396" t="str">
        <f t="shared" si="1"/>
        <v>#REF!</v>
      </c>
      <c r="E23" s="572"/>
      <c r="F23" s="577"/>
    </row>
    <row r="24">
      <c r="B24" s="363" t="str">
        <f>'203'!D28</f>
        <v>Division/Group</v>
      </c>
      <c r="C24" s="363" t="str">
        <f>'203'!E28</f>
        <v/>
      </c>
      <c r="D24" s="396" t="str">
        <f t="shared" si="1"/>
        <v>#REF!</v>
      </c>
      <c r="E24" s="415"/>
      <c r="F24" s="415"/>
    </row>
    <row r="25">
      <c r="B25" s="363" t="str">
        <f>'203'!D29</f>
        <v>Division/Group</v>
      </c>
      <c r="C25" s="363" t="str">
        <f>'203'!E29</f>
        <v/>
      </c>
      <c r="D25" s="396" t="str">
        <f t="shared" si="1"/>
        <v>#REF!</v>
      </c>
      <c r="E25" s="415"/>
      <c r="F25" s="415"/>
    </row>
    <row r="26">
      <c r="B26" s="363" t="str">
        <f>'203'!D30</f>
        <v>Division/Group</v>
      </c>
      <c r="C26" s="363" t="str">
        <f>'203'!E30</f>
        <v/>
      </c>
      <c r="D26" s="396" t="str">
        <f t="shared" si="1"/>
        <v>#REF!</v>
      </c>
      <c r="E26" s="415"/>
      <c r="F26" s="415"/>
    </row>
    <row r="27">
      <c r="B27" s="363" t="str">
        <f>'203'!D31</f>
        <v>Division/Group</v>
      </c>
      <c r="C27" s="363" t="str">
        <f>'203'!E31</f>
        <v/>
      </c>
      <c r="D27" s="396" t="str">
        <f t="shared" si="1"/>
        <v>#REF!</v>
      </c>
      <c r="E27" s="415"/>
      <c r="F27" s="415"/>
    </row>
    <row r="28">
      <c r="B28" s="363" t="str">
        <f>'203'!D32</f>
        <v>Division/Group</v>
      </c>
      <c r="C28" s="363" t="str">
        <f>'203'!E32</f>
        <v/>
      </c>
      <c r="D28" s="396" t="str">
        <f t="shared" si="1"/>
        <v>#REF!</v>
      </c>
      <c r="E28" s="415"/>
      <c r="F28" s="415"/>
    </row>
    <row r="29">
      <c r="B29" s="363" t="str">
        <f>'203'!D33</f>
        <v>Branch</v>
      </c>
      <c r="C29" s="363" t="str">
        <f>'203'!E33</f>
        <v>V</v>
      </c>
      <c r="D29" s="396" t="str">
        <f t="shared" si="1"/>
        <v>#REF!</v>
      </c>
      <c r="E29" s="572"/>
      <c r="F29" s="577"/>
    </row>
    <row r="30">
      <c r="B30" s="363" t="str">
        <f>'203'!D34</f>
        <v>Division/Group</v>
      </c>
      <c r="C30" s="363" t="str">
        <f>'203'!E34</f>
        <v/>
      </c>
      <c r="D30" s="396" t="str">
        <f t="shared" si="1"/>
        <v>#REF!</v>
      </c>
      <c r="E30" s="415"/>
      <c r="F30" s="415"/>
    </row>
    <row r="31">
      <c r="B31" s="363" t="str">
        <f>'203'!D35</f>
        <v>Division/Group</v>
      </c>
      <c r="C31" s="363" t="str">
        <f>'203'!E35</f>
        <v/>
      </c>
      <c r="D31" s="396" t="str">
        <f t="shared" si="1"/>
        <v>#REF!</v>
      </c>
      <c r="E31" s="415"/>
      <c r="F31" s="415"/>
    </row>
    <row r="32">
      <c r="B32" s="363" t="str">
        <f>'203'!D36</f>
        <v>Division/Group</v>
      </c>
      <c r="C32" s="363" t="str">
        <f>'203'!E36</f>
        <v/>
      </c>
      <c r="D32" s="396" t="str">
        <f t="shared" si="1"/>
        <v>#REF!</v>
      </c>
      <c r="E32" s="415"/>
      <c r="F32" s="415"/>
    </row>
    <row r="33">
      <c r="B33" s="363" t="str">
        <f>'203'!D37</f>
        <v>Division/Group</v>
      </c>
      <c r="C33" s="363" t="str">
        <f>'203'!E37</f>
        <v/>
      </c>
      <c r="D33" s="396" t="str">
        <f t="shared" si="1"/>
        <v>#REF!</v>
      </c>
      <c r="E33" s="415"/>
      <c r="F33" s="415"/>
    </row>
    <row r="34">
      <c r="B34" s="363" t="str">
        <f>'203'!D38</f>
        <v>Division/Group</v>
      </c>
      <c r="C34" s="363" t="str">
        <f>'203'!E38</f>
        <v/>
      </c>
      <c r="D34" s="396" t="str">
        <f t="shared" si="1"/>
        <v>#REF!</v>
      </c>
      <c r="E34" s="415"/>
      <c r="F34" s="415"/>
    </row>
  </sheetData>
  <conditionalFormatting sqref="B5:F34">
    <cfRule type="expression" dxfId="1" priority="1">
      <formula> (Search("Branch",$B5,1))</formula>
    </cfRule>
  </conditionalFormatting>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118" t="s">
        <v>464</v>
      </c>
      <c r="C2" s="313"/>
    </row>
    <row r="3">
      <c r="B3" s="41" t="s">
        <v>465</v>
      </c>
    </row>
    <row r="4">
      <c r="B4" s="41" t="s">
        <v>466</v>
      </c>
    </row>
    <row r="5">
      <c r="B5" s="118"/>
      <c r="G5" s="118"/>
    </row>
    <row r="6">
      <c r="B6" s="118" t="s">
        <v>467</v>
      </c>
      <c r="G6" s="118" t="s">
        <v>468</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sheetPr>
  <sheetViews>
    <sheetView workbookViewId="0"/>
  </sheetViews>
  <sheetFormatPr customHeight="1" defaultColWidth="12.63" defaultRowHeight="15.75"/>
  <cols>
    <col customWidth="1" min="1" max="1" width="20.38"/>
    <col customWidth="1" min="2" max="2" width="8.63"/>
    <col customWidth="1" min="3" max="3" width="15.25"/>
    <col customWidth="1" min="4" max="4" width="15.13"/>
    <col customWidth="1" min="5" max="5" width="12.75"/>
    <col customWidth="1" min="6" max="6" width="9.0"/>
    <col customWidth="1" min="7" max="7" width="10.0"/>
    <col customWidth="1" min="8" max="8" width="8.88"/>
    <col customWidth="1" min="9" max="9" width="10.75"/>
    <col customWidth="1" min="10" max="10" width="6.25"/>
    <col customWidth="1" min="11" max="11" width="26.5"/>
    <col customWidth="1" min="12" max="12" width="9.63"/>
    <col customWidth="1" min="13" max="13" width="10.25"/>
  </cols>
  <sheetData>
    <row r="1" ht="15.0" customHeight="1">
      <c r="A1" s="578" t="s">
        <v>469</v>
      </c>
      <c r="B1" s="578"/>
      <c r="C1" s="578"/>
      <c r="D1" s="579" t="s">
        <v>470</v>
      </c>
      <c r="L1" s="580"/>
      <c r="M1" s="580"/>
    </row>
    <row r="2">
      <c r="A2" s="399" t="s">
        <v>282</v>
      </c>
      <c r="B2" s="165"/>
      <c r="C2" s="165"/>
      <c r="D2" s="432" t="s">
        <v>471</v>
      </c>
      <c r="E2" s="581"/>
      <c r="F2" s="455" t="s">
        <v>472</v>
      </c>
      <c r="G2" s="582"/>
      <c r="H2" s="582"/>
      <c r="I2" s="582"/>
      <c r="J2" s="583"/>
      <c r="K2" s="584" t="s">
        <v>414</v>
      </c>
      <c r="L2" s="403"/>
      <c r="M2" s="403"/>
    </row>
    <row r="3">
      <c r="A3" s="404" t="str">
        <f>IncName</f>
        <v>NO NAME</v>
      </c>
      <c r="D3" s="311" t="s">
        <v>473</v>
      </c>
      <c r="E3" s="585">
        <f>G3-1</f>
        <v>43892</v>
      </c>
      <c r="F3" s="437" t="s">
        <v>284</v>
      </c>
      <c r="G3" s="586">
        <f>OpDate</f>
        <v>43893</v>
      </c>
      <c r="H3" s="505" t="s">
        <v>130</v>
      </c>
      <c r="I3" s="586">
        <f>OpDateTo</f>
        <v>43894</v>
      </c>
      <c r="J3" s="587"/>
      <c r="K3" s="588" t="s">
        <v>474</v>
      </c>
      <c r="L3" s="589" t="s">
        <v>475</v>
      </c>
      <c r="M3" s="590"/>
    </row>
    <row r="4" ht="23.25" customHeight="1">
      <c r="A4" s="104"/>
      <c r="B4" s="77"/>
      <c r="C4" s="77"/>
      <c r="D4" s="314" t="s">
        <v>476</v>
      </c>
      <c r="E4" s="591">
        <v>1930.0</v>
      </c>
      <c r="F4" s="441" t="s">
        <v>131</v>
      </c>
      <c r="G4" s="592" t="str">
        <f>OpStart</f>
        <v>0700</v>
      </c>
      <c r="H4" s="498" t="s">
        <v>133</v>
      </c>
      <c r="I4" s="592" t="str">
        <f>OpEnd</f>
        <v>0700</v>
      </c>
      <c r="J4" s="593"/>
      <c r="K4" s="594" t="s">
        <v>477</v>
      </c>
      <c r="L4" s="595">
        <v>2.0</v>
      </c>
      <c r="M4" s="115"/>
    </row>
    <row r="5" ht="25.5" customHeight="1">
      <c r="A5" s="444" t="s">
        <v>478</v>
      </c>
      <c r="B5" s="596"/>
      <c r="C5" s="597" t="s">
        <v>479</v>
      </c>
      <c r="D5" s="598" t="s">
        <v>480</v>
      </c>
      <c r="E5" s="74"/>
      <c r="F5" s="74"/>
      <c r="G5" s="74"/>
      <c r="H5" s="74"/>
      <c r="I5" s="74"/>
      <c r="J5" s="599"/>
      <c r="K5" s="600"/>
      <c r="L5" s="600"/>
      <c r="M5" s="600"/>
    </row>
    <row r="6">
      <c r="A6" s="601" t="s">
        <v>481</v>
      </c>
      <c r="B6" s="602" t="s">
        <v>482</v>
      </c>
      <c r="C6" s="602" t="s">
        <v>483</v>
      </c>
      <c r="D6" s="603" t="s">
        <v>484</v>
      </c>
      <c r="E6" s="604" t="s">
        <v>485</v>
      </c>
      <c r="F6" s="605" t="s">
        <v>486</v>
      </c>
      <c r="G6" s="605" t="s">
        <v>487</v>
      </c>
      <c r="H6" s="605" t="s">
        <v>488</v>
      </c>
      <c r="I6" s="605" t="s">
        <v>489</v>
      </c>
      <c r="J6" s="603" t="s">
        <v>433</v>
      </c>
      <c r="K6" s="602" t="s">
        <v>434</v>
      </c>
      <c r="L6" s="606" t="s">
        <v>490</v>
      </c>
      <c r="M6" s="606" t="s">
        <v>491</v>
      </c>
    </row>
    <row r="7">
      <c r="A7" s="607" t="s">
        <v>492</v>
      </c>
      <c r="B7" s="608" t="s">
        <v>493</v>
      </c>
      <c r="C7" s="609"/>
      <c r="D7" s="609"/>
      <c r="E7" s="609"/>
      <c r="F7" s="609"/>
      <c r="G7" s="609"/>
      <c r="H7" s="609"/>
      <c r="I7" s="609"/>
      <c r="J7" s="609"/>
      <c r="K7" s="610"/>
      <c r="L7" s="611"/>
      <c r="M7" s="611"/>
    </row>
    <row r="8">
      <c r="A8" s="612" t="s">
        <v>494</v>
      </c>
      <c r="B8" s="613">
        <v>1.0</v>
      </c>
      <c r="C8" s="614" t="s">
        <v>495</v>
      </c>
      <c r="D8" s="615" t="s">
        <v>496</v>
      </c>
      <c r="E8" s="616" t="str">
        <f> IF(ISERROR(vlookup(C8,RadioFreqs,2,FALSE)), "", vlookup(C8,RadioFreqs,2,FALSE))</f>
        <v>COMMAND</v>
      </c>
      <c r="F8" s="617">
        <f> IF(ISERROR(vlookup(C8,RadioFreqs,3,FALSE)), "", vlookup(C8,RadioFreqs,3,FALSE))</f>
        <v>151.355</v>
      </c>
      <c r="G8" s="618" t="str">
        <f> IF(ISERROR(vlookup(C8,RadioFreqs,4,FALSE)), "", vlookup(C8,RadioFreqs,4,FALSE))</f>
        <v>(T8)  103.5</v>
      </c>
      <c r="H8" s="617">
        <f> IF(ISERROR(vlookup(C8,RadioFreqs,5,FALSE)), "", vlookup(C8,RadioFreqs,5,FALSE))</f>
        <v>159.3</v>
      </c>
      <c r="I8" s="618" t="str">
        <f> IF(ISERROR(vlookup(C8,RadioFreqs,6,FALSE)), "", vlookup(C8,RadioFreqs,6,FALSE))</f>
        <v>OST</v>
      </c>
      <c r="J8" s="619" t="str">
        <f> IF(ISERROR(vlookup(C8,RadioFreqs,7,FALSE)), "", vlookup(C8,RadioFreqs,7,FALSE))</f>
        <v>A</v>
      </c>
      <c r="K8" s="620"/>
      <c r="L8" s="621"/>
      <c r="M8" s="621"/>
    </row>
    <row r="9">
      <c r="A9" s="622" t="s">
        <v>497</v>
      </c>
      <c r="B9" s="623">
        <v>14.0</v>
      </c>
      <c r="C9" s="624" t="s">
        <v>498</v>
      </c>
      <c r="D9" s="625" t="s">
        <v>496</v>
      </c>
      <c r="E9" s="616" t="str">
        <f> IF(ISERROR(vlookup(C9,RadioFreqs,2,FALSE)), "", vlookup(C9,RadioFreqs,2,FALSE))</f>
        <v>A/G CMD</v>
      </c>
      <c r="F9" s="617" t="str">
        <f> IF(ISERROR(vlookup(C9,RadioFreqs,3,FALSE)), "", vlookup(C9,RadioFreqs,3,FALSE))</f>
        <v>166.6125</v>
      </c>
      <c r="G9" s="618" t="str">
        <f> IF(ISERROR(vlookup(C9,RadioFreqs,4,FALSE)), "", vlookup(C9,RadioFreqs,4,FALSE))</f>
        <v/>
      </c>
      <c r="H9" s="617" t="str">
        <f> IF(ISERROR(vlookup(C9,RadioFreqs,5,FALSE)), "", vlookup(C9,RadioFreqs,5,FALSE))</f>
        <v>166.6125</v>
      </c>
      <c r="I9" s="618">
        <f> IF(ISERROR(vlookup(C9,RadioFreqs,6,FALSE)), "", vlookup(C9,RadioFreqs,6,FALSE))</f>
        <v>0</v>
      </c>
      <c r="J9" s="619" t="str">
        <f> IF(ISERROR(vlookup(C9,RadioFreqs,7,FALSE)), "", vlookup(C9,RadioFreqs,7,FALSE))</f>
        <v>A</v>
      </c>
      <c r="K9" s="620"/>
      <c r="L9" s="621"/>
      <c r="M9" s="621"/>
    </row>
    <row r="10">
      <c r="A10" s="622" t="s">
        <v>499</v>
      </c>
      <c r="B10" s="623">
        <v>15.0</v>
      </c>
      <c r="C10" s="624" t="s">
        <v>500</v>
      </c>
      <c r="D10" s="625" t="s">
        <v>496</v>
      </c>
      <c r="E10" s="616" t="str">
        <f> IF(ISERROR(vlookup(C10,RadioFreqs,2,FALSE)), "", vlookup(C10,RadioFreqs,2,FALSE))</f>
        <v>TACTICAL</v>
      </c>
      <c r="F10" s="617">
        <f> IF(ISERROR(vlookup(C10,RadioFreqs,3,FALSE)), "", vlookup(C10,RadioFreqs,3,FALSE))</f>
        <v>156.075</v>
      </c>
      <c r="G10" s="618" t="str">
        <f> IF(ISERROR(vlookup(C10,RadioFreqs,4,FALSE)), "", vlookup(C10,RadioFreqs,4,FALSE))</f>
        <v>(T6)  156.7</v>
      </c>
      <c r="H10" s="617">
        <f> IF(ISERROR(vlookup(C10,RadioFreqs,5,FALSE)), "", vlookup(C10,RadioFreqs,5,FALSE))</f>
        <v>156.075</v>
      </c>
      <c r="I10" s="618" t="str">
        <f> IF(ISERROR(vlookup(C10,RadioFreqs,6,FALSE)), "", vlookup(C10,RadioFreqs,6,FALSE))</f>
        <v>(T6)  156.7</v>
      </c>
      <c r="J10" s="619" t="str">
        <f> IF(ISERROR(vlookup(C10,RadioFreqs,7,FALSE)), "", vlookup(C10,RadioFreqs,7,FALSE))</f>
        <v>A</v>
      </c>
      <c r="K10" s="620"/>
      <c r="L10" s="621"/>
      <c r="M10" s="621"/>
    </row>
    <row r="11">
      <c r="A11" s="622" t="s">
        <v>501</v>
      </c>
      <c r="B11" s="626">
        <v>16.0</v>
      </c>
      <c r="C11" s="624" t="s">
        <v>502</v>
      </c>
      <c r="D11" s="625" t="s">
        <v>496</v>
      </c>
      <c r="E11" s="616" t="str">
        <f> IF(ISERROR(vlookup(C11,RadioFreqs,2,FALSE)), "", vlookup(C11,RadioFreqs,2,FALSE))</f>
        <v>A/G</v>
      </c>
      <c r="F11" s="617" t="str">
        <f> IF(ISERROR(vlookup(C11,RadioFreqs,3,FALSE)), "", vlookup(C11,RadioFreqs,3,FALSE))</f>
        <v>168.5625</v>
      </c>
      <c r="G11" s="618" t="str">
        <f> IF(ISERROR(vlookup(C11,RadioFreqs,4,FALSE)), "", vlookup(C11,RadioFreqs,4,FALSE))</f>
        <v/>
      </c>
      <c r="H11" s="617" t="str">
        <f> IF(ISERROR(vlookup(C11,RadioFreqs,5,FALSE)), "", vlookup(C11,RadioFreqs,5,FALSE))</f>
        <v>168.5625</v>
      </c>
      <c r="I11" s="618">
        <f> IF(ISERROR(vlookup(C11,RadioFreqs,6,FALSE)), "", vlookup(C11,RadioFreqs,6,FALSE))</f>
        <v>0</v>
      </c>
      <c r="J11" s="619" t="str">
        <f> IF(ISERROR(vlookup(C11,RadioFreqs,7,FALSE)), "", vlookup(C11,RadioFreqs,7,FALSE))</f>
        <v>A</v>
      </c>
      <c r="K11" s="620"/>
      <c r="L11" s="621"/>
      <c r="M11" s="621"/>
    </row>
    <row r="12">
      <c r="A12" s="627" t="s">
        <v>349</v>
      </c>
      <c r="B12" s="623">
        <v>2.0</v>
      </c>
      <c r="C12" s="624" t="s">
        <v>503</v>
      </c>
      <c r="D12" s="625" t="s">
        <v>504</v>
      </c>
      <c r="E12" s="616" t="str">
        <f> IF(ISERROR(vlookup(C12,RadioFreqs,2,FALSE)), "", vlookup(C12,RadioFreqs,2,FALSE))</f>
        <v>TACTICAL</v>
      </c>
      <c r="F12" s="617">
        <f> IF(ISERROR(vlookup(C12,RadioFreqs,3,FALSE)), "", vlookup(C12,RadioFreqs,3,FALSE))</f>
        <v>151.175</v>
      </c>
      <c r="G12" s="618" t="str">
        <f> IF(ISERROR(vlookup(C12,RadioFreqs,4,FALSE)), "", vlookup(C12,RadioFreqs,4,FALSE))</f>
        <v>(T16) 192.8</v>
      </c>
      <c r="H12" s="617">
        <f> IF(ISERROR(vlookup(C12,RadioFreqs,5,FALSE)), "", vlookup(C12,RadioFreqs,5,FALSE))</f>
        <v>151.175</v>
      </c>
      <c r="I12" s="618" t="str">
        <f> IF(ISERROR(vlookup(C12,RadioFreqs,6,FALSE)), "", vlookup(C12,RadioFreqs,6,FALSE))</f>
        <v>(T16) 192.8</v>
      </c>
      <c r="J12" s="619" t="str">
        <f> IF(ISERROR(vlookup(C12,RadioFreqs,7,FALSE)), "", vlookup(C12,RadioFreqs,7,FALSE))</f>
        <v>A</v>
      </c>
      <c r="K12" s="620"/>
      <c r="L12" s="621"/>
      <c r="M12" s="621"/>
    </row>
    <row r="13">
      <c r="A13" s="627"/>
      <c r="B13" s="623">
        <v>3.0</v>
      </c>
      <c r="C13" s="624" t="s">
        <v>505</v>
      </c>
      <c r="D13" s="625" t="s">
        <v>506</v>
      </c>
      <c r="E13" s="616" t="str">
        <f> IF(ISERROR(vlookup(C13,RadioFreqs,2,FALSE)), "", vlookup(C13,RadioFreqs,2,FALSE))</f>
        <v>TACTICAL</v>
      </c>
      <c r="F13" s="617">
        <f> IF(ISERROR(vlookup(C13,RadioFreqs,3,FALSE)), "", vlookup(C13,RadioFreqs,3,FALSE))</f>
        <v>151.19</v>
      </c>
      <c r="G13" s="618" t="str">
        <f> IF(ISERROR(vlookup(C13,RadioFreqs,4,FALSE)), "", vlookup(C13,RadioFreqs,4,FALSE))</f>
        <v>(T16) 192.8</v>
      </c>
      <c r="H13" s="617">
        <f> IF(ISERROR(vlookup(C13,RadioFreqs,5,FALSE)), "", vlookup(C13,RadioFreqs,5,FALSE))</f>
        <v>151.19</v>
      </c>
      <c r="I13" s="618" t="str">
        <f> IF(ISERROR(vlookup(C13,RadioFreqs,6,FALSE)), "", vlookup(C13,RadioFreqs,6,FALSE))</f>
        <v>(T16) 192.8</v>
      </c>
      <c r="J13" s="619" t="str">
        <f> IF(ISERROR(vlookup(C13,RadioFreqs,7,FALSE)), "", vlookup(C13,RadioFreqs,7,FALSE))</f>
        <v>A</v>
      </c>
      <c r="K13" s="620"/>
      <c r="L13" s="621"/>
      <c r="M13" s="621"/>
    </row>
    <row r="14">
      <c r="A14" s="627"/>
      <c r="B14" s="623">
        <v>4.0</v>
      </c>
      <c r="C14" s="624" t="s">
        <v>507</v>
      </c>
      <c r="D14" s="625"/>
      <c r="E14" s="616" t="str">
        <f> IF(ISERROR(vlookup(C14,RadioFreqs,2,FALSE)), "", vlookup(C14,RadioFreqs,2,FALSE))</f>
        <v>TACTICAL</v>
      </c>
      <c r="F14" s="617">
        <f> IF(ISERROR(vlookup(C14,RadioFreqs,3,FALSE)), "", vlookup(C14,RadioFreqs,3,FALSE))</f>
        <v>159.3225</v>
      </c>
      <c r="G14" s="618" t="str">
        <f> IF(ISERROR(vlookup(C14,RadioFreqs,4,FALSE)), "", vlookup(C14,RadioFreqs,4,FALSE))</f>
        <v>(T16) 192.8</v>
      </c>
      <c r="H14" s="617">
        <f> IF(ISERROR(vlookup(C14,RadioFreqs,5,FALSE)), "", vlookup(C14,RadioFreqs,5,FALSE))</f>
        <v>159.3225</v>
      </c>
      <c r="I14" s="618" t="str">
        <f> IF(ISERROR(vlookup(C14,RadioFreqs,6,FALSE)), "", vlookup(C14,RadioFreqs,6,FALSE))</f>
        <v>(T16) 192.8</v>
      </c>
      <c r="J14" s="619" t="str">
        <f> IF(ISERROR(vlookup(C14,RadioFreqs,7,FALSE)), "", vlookup(C14,RadioFreqs,7,FALSE))</f>
        <v>A</v>
      </c>
      <c r="K14" s="620"/>
      <c r="L14" s="621"/>
      <c r="M14" s="621"/>
    </row>
    <row r="15">
      <c r="A15" s="627"/>
      <c r="B15" s="623"/>
      <c r="C15" s="624"/>
      <c r="D15" s="625"/>
      <c r="E15" s="616" t="str">
        <f> IF(ISERROR(vlookup(C15,RadioFreqs,2,FALSE)), "", vlookup(C15,RadioFreqs,2,FALSE))</f>
        <v/>
      </c>
      <c r="F15" s="617" t="str">
        <f> IF(ISERROR(vlookup(C15,RadioFreqs,3,FALSE)), "", vlookup(C15,RadioFreqs,3,FALSE))</f>
        <v/>
      </c>
      <c r="G15" s="618" t="str">
        <f> IF(ISERROR(vlookup(C15,RadioFreqs,4,FALSE)), "", vlookup(C15,RadioFreqs,4,FALSE))</f>
        <v/>
      </c>
      <c r="H15" s="617" t="str">
        <f> IF(ISERROR(vlookup(C15,RadioFreqs,5,FALSE)), "", vlookup(C15,RadioFreqs,5,FALSE))</f>
        <v/>
      </c>
      <c r="I15" s="618" t="str">
        <f> IF(ISERROR(vlookup(C15,RadioFreqs,6,FALSE)), "", vlookup(C15,RadioFreqs,6,FALSE))</f>
        <v/>
      </c>
      <c r="J15" s="619" t="str">
        <f> IF(ISERROR(vlookup(C15,RadioFreqs,7,FALSE)), "", vlookup(C15,RadioFreqs,7,FALSE))</f>
        <v/>
      </c>
      <c r="K15" s="620"/>
      <c r="L15" s="621"/>
      <c r="M15" s="621"/>
    </row>
    <row r="16">
      <c r="A16" s="628"/>
      <c r="B16" s="629"/>
      <c r="C16" s="620"/>
      <c r="D16" s="630"/>
      <c r="E16" s="616" t="str">
        <f> IF(ISERROR(vlookup(C16,RadioFreqs,2,FALSE)), "", vlookup(C16,RadioFreqs,2,FALSE))</f>
        <v/>
      </c>
      <c r="F16" s="617" t="str">
        <f> IF(ISERROR(vlookup(C16,RadioFreqs,3,FALSE)), "", vlookup(C16,RadioFreqs,3,FALSE))</f>
        <v/>
      </c>
      <c r="G16" s="618" t="str">
        <f> IF(ISERROR(vlookup(C16,RadioFreqs,4,FALSE)), "", vlookup(C16,RadioFreqs,4,FALSE))</f>
        <v/>
      </c>
      <c r="H16" s="617" t="str">
        <f> IF(ISERROR(vlookup(C16,RadioFreqs,5,FALSE)), "", vlookup(C16,RadioFreqs,5,FALSE))</f>
        <v/>
      </c>
      <c r="I16" s="618" t="str">
        <f> IF(ISERROR(vlookup(C16,RadioFreqs,6,FALSE)), "", vlookup(C16,RadioFreqs,6,FALSE))</f>
        <v/>
      </c>
      <c r="J16" s="619" t="str">
        <f> IF(ISERROR(vlookup(C16,RadioFreqs,7,FALSE)), "", vlookup(C16,RadioFreqs,7,FALSE))</f>
        <v/>
      </c>
      <c r="K16" s="620"/>
      <c r="L16" s="621"/>
      <c r="M16" s="621"/>
    </row>
    <row r="17">
      <c r="A17" s="628"/>
      <c r="B17" s="629"/>
      <c r="C17" s="620"/>
      <c r="D17" s="630"/>
      <c r="E17" s="616" t="str">
        <f> IF(ISERROR(vlookup(C17,RadioFreqs,2,FALSE)), "", vlookup(C17,RadioFreqs,2,FALSE))</f>
        <v/>
      </c>
      <c r="F17" s="617" t="str">
        <f> IF(ISERROR(vlookup(C17,RadioFreqs,3,FALSE)), "", vlookup(C17,RadioFreqs,3,FALSE))</f>
        <v/>
      </c>
      <c r="G17" s="618" t="str">
        <f> IF(ISERROR(vlookup(C17,RadioFreqs,4,FALSE)), "", vlookup(C17,RadioFreqs,4,FALSE))</f>
        <v/>
      </c>
      <c r="H17" s="617" t="str">
        <f> IF(ISERROR(vlookup(C17,RadioFreqs,5,FALSE)), "", vlookup(C17,RadioFreqs,5,FALSE))</f>
        <v/>
      </c>
      <c r="I17" s="618" t="str">
        <f> IF(ISERROR(vlookup(C17,RadioFreqs,6,FALSE)), "", vlookup(C17,RadioFreqs,6,FALSE))</f>
        <v/>
      </c>
      <c r="J17" s="619" t="str">
        <f> IF(ISERROR(vlookup(C17,RadioFreqs,7,FALSE)), "", vlookup(C17,RadioFreqs,7,FALSE))</f>
        <v/>
      </c>
      <c r="K17" s="631"/>
      <c r="L17" s="632"/>
      <c r="M17" s="632"/>
    </row>
    <row r="18">
      <c r="A18" s="628"/>
      <c r="B18" s="629"/>
      <c r="C18" s="620"/>
      <c r="D18" s="630"/>
      <c r="E18" s="616" t="str">
        <f> IF(ISERROR(vlookup(C18,RadioFreqs,2,FALSE)), "", vlookup(C18,RadioFreqs,2,FALSE))</f>
        <v/>
      </c>
      <c r="F18" s="617" t="str">
        <f> IF(ISERROR(vlookup(C18,RadioFreqs,3,FALSE)), "", vlookup(C18,RadioFreqs,3,FALSE))</f>
        <v/>
      </c>
      <c r="G18" s="618" t="str">
        <f> IF(ISERROR(vlookup(C18,RadioFreqs,4,FALSE)), "", vlookup(C18,RadioFreqs,4,FALSE))</f>
        <v/>
      </c>
      <c r="H18" s="617" t="str">
        <f> IF(ISERROR(vlookup(C18,RadioFreqs,5,FALSE)), "", vlookup(C18,RadioFreqs,5,FALSE))</f>
        <v/>
      </c>
      <c r="I18" s="618" t="str">
        <f> IF(ISERROR(vlookup(C18,RadioFreqs,6,FALSE)), "", vlookup(C18,RadioFreqs,6,FALSE))</f>
        <v/>
      </c>
      <c r="J18" s="619" t="str">
        <f> IF(ISERROR(vlookup(C18,RadioFreqs,7,FALSE)), "", vlookup(C18,RadioFreqs,7,FALSE))</f>
        <v/>
      </c>
      <c r="K18" s="631"/>
      <c r="L18" s="632"/>
      <c r="M18" s="632"/>
    </row>
    <row r="19">
      <c r="A19" s="628"/>
      <c r="B19" s="629"/>
      <c r="C19" s="620"/>
      <c r="D19" s="630"/>
      <c r="E19" s="616" t="str">
        <f> IF(ISERROR(vlookup(C19,RadioFreqs,2,FALSE)), "", vlookup(C19,RadioFreqs,2,FALSE))</f>
        <v/>
      </c>
      <c r="F19" s="617" t="str">
        <f> IF(ISERROR(vlookup(C19,RadioFreqs,3,FALSE)), "", vlookup(C19,RadioFreqs,3,FALSE))</f>
        <v/>
      </c>
      <c r="G19" s="618" t="str">
        <f> IF(ISERROR(vlookup(C19,RadioFreqs,4,FALSE)), "", vlookup(C19,RadioFreqs,4,FALSE))</f>
        <v/>
      </c>
      <c r="H19" s="617" t="str">
        <f> IF(ISERROR(vlookup(C19,RadioFreqs,5,FALSE)), "", vlookup(C19,RadioFreqs,5,FALSE))</f>
        <v/>
      </c>
      <c r="I19" s="618" t="str">
        <f> IF(ISERROR(vlookup(C19,RadioFreqs,6,FALSE)), "", vlookup(C19,RadioFreqs,6,FALSE))</f>
        <v/>
      </c>
      <c r="J19" s="619" t="str">
        <f> IF(ISERROR(vlookup(C19,RadioFreqs,7,FALSE)), "", vlookup(C19,RadioFreqs,7,FALSE))</f>
        <v/>
      </c>
      <c r="K19" s="631"/>
      <c r="L19" s="621"/>
      <c r="M19" s="632"/>
    </row>
    <row r="20">
      <c r="A20" s="628"/>
      <c r="B20" s="629"/>
      <c r="C20" s="620"/>
      <c r="D20" s="630"/>
      <c r="E20" s="616" t="str">
        <f> IF(ISERROR(vlookup(C20,RadioFreqs,2,FALSE)), "", vlookup(C20,RadioFreqs,2,FALSE))</f>
        <v/>
      </c>
      <c r="F20" s="617" t="str">
        <f> IF(ISERROR(vlookup(C20,RadioFreqs,3,FALSE)), "", vlookup(C20,RadioFreqs,3,FALSE))</f>
        <v/>
      </c>
      <c r="G20" s="618" t="str">
        <f> IF(ISERROR(vlookup(C20,RadioFreqs,4,FALSE)), "", vlookup(C20,RadioFreqs,4,FALSE))</f>
        <v/>
      </c>
      <c r="H20" s="617" t="str">
        <f> IF(ISERROR(vlookup(C20,RadioFreqs,5,FALSE)), "", vlookup(C20,RadioFreqs,5,FALSE))</f>
        <v/>
      </c>
      <c r="I20" s="618" t="str">
        <f> IF(ISERROR(vlookup(C20,RadioFreqs,6,FALSE)), "", vlookup(C20,RadioFreqs,6,FALSE))</f>
        <v/>
      </c>
      <c r="J20" s="619" t="str">
        <f> IF(ISERROR(vlookup(C20,RadioFreqs,7,FALSE)), "", vlookup(C20,RadioFreqs,7,FALSE))</f>
        <v/>
      </c>
      <c r="K20" s="620"/>
      <c r="L20" s="621"/>
      <c r="M20" s="621"/>
    </row>
    <row r="21">
      <c r="A21" s="628"/>
      <c r="B21" s="629"/>
      <c r="C21" s="620"/>
      <c r="D21" s="630"/>
      <c r="E21" s="616" t="str">
        <f> IF(ISERROR(vlookup(C21,RadioFreqs,2,FALSE)), "", vlookup(C21,RadioFreqs,2,FALSE))</f>
        <v/>
      </c>
      <c r="F21" s="617" t="str">
        <f> IF(ISERROR(vlookup(C21,RadioFreqs,3,FALSE)), "", vlookup(C21,RadioFreqs,3,FALSE))</f>
        <v/>
      </c>
      <c r="G21" s="618" t="str">
        <f> IF(ISERROR(vlookup(C21,RadioFreqs,4,FALSE)), "", vlookup(C21,RadioFreqs,4,FALSE))</f>
        <v/>
      </c>
      <c r="H21" s="617" t="str">
        <f> IF(ISERROR(vlookup(C21,RadioFreqs,5,FALSE)), "", vlookup(C21,RadioFreqs,5,FALSE))</f>
        <v/>
      </c>
      <c r="I21" s="618" t="str">
        <f> IF(ISERROR(vlookup(C21,RadioFreqs,6,FALSE)), "", vlookup(C21,RadioFreqs,6,FALSE))</f>
        <v/>
      </c>
      <c r="J21" s="619" t="str">
        <f> IF(ISERROR(vlookup(C21,RadioFreqs,7,FALSE)), "", vlookup(C21,RadioFreqs,7,FALSE))</f>
        <v/>
      </c>
      <c r="K21" s="631"/>
      <c r="L21" s="632"/>
      <c r="M21" s="632"/>
    </row>
    <row r="22">
      <c r="A22" s="628"/>
      <c r="B22" s="629"/>
      <c r="C22" s="620"/>
      <c r="D22" s="630"/>
      <c r="E22" s="616" t="str">
        <f> IF(ISERROR(vlookup(C22,RadioFreqs,2,FALSE)), "", vlookup(C22,RadioFreqs,2,FALSE))</f>
        <v/>
      </c>
      <c r="F22" s="617" t="str">
        <f> IF(ISERROR(vlookup(C22,RadioFreqs,3,FALSE)), "", vlookup(C22,RadioFreqs,3,FALSE))</f>
        <v/>
      </c>
      <c r="G22" s="618" t="str">
        <f> IF(ISERROR(vlookup(C22,RadioFreqs,4,FALSE)), "", vlookup(C22,RadioFreqs,4,FALSE))</f>
        <v/>
      </c>
      <c r="H22" s="617" t="str">
        <f> IF(ISERROR(vlookup(C22,RadioFreqs,5,FALSE)), "", vlookup(C22,RadioFreqs,5,FALSE))</f>
        <v/>
      </c>
      <c r="I22" s="618" t="str">
        <f> IF(ISERROR(vlookup(C22,RadioFreqs,6,FALSE)), "", vlookup(C22,RadioFreqs,6,FALSE))</f>
        <v/>
      </c>
      <c r="J22" s="619" t="str">
        <f> IF(ISERROR(vlookup(C22,RadioFreqs,7,FALSE)), "", vlookup(C22,RadioFreqs,7,FALSE))</f>
        <v/>
      </c>
      <c r="K22" s="631"/>
      <c r="L22" s="621"/>
      <c r="M22" s="632"/>
    </row>
    <row r="23">
      <c r="A23" s="628"/>
      <c r="B23" s="629"/>
      <c r="C23" s="620"/>
      <c r="D23" s="630"/>
      <c r="E23" s="616" t="str">
        <f> IF(ISERROR(vlookup(C23,RadioFreqs,2,FALSE)), "", vlookup(C23,RadioFreqs,2,FALSE))</f>
        <v/>
      </c>
      <c r="F23" s="617" t="str">
        <f> IF(ISERROR(vlookup(C23,RadioFreqs,3,FALSE)), "", vlookup(C23,RadioFreqs,3,FALSE))</f>
        <v/>
      </c>
      <c r="G23" s="618" t="str">
        <f> IF(ISERROR(vlookup(C23,RadioFreqs,4,FALSE)), "", vlookup(C23,RadioFreqs,4,FALSE))</f>
        <v/>
      </c>
      <c r="H23" s="617" t="str">
        <f> IF(ISERROR(vlookup(C23,RadioFreqs,5,FALSE)), "", vlookup(C23,RadioFreqs,5,FALSE))</f>
        <v/>
      </c>
      <c r="I23" s="618" t="str">
        <f> IF(ISERROR(vlookup(C23,RadioFreqs,6,FALSE)), "", vlookup(C23,RadioFreqs,6,FALSE))</f>
        <v/>
      </c>
      <c r="J23" s="619" t="str">
        <f> IF(ISERROR(vlookup(C23,RadioFreqs,7,FALSE)), "", vlookup(C23,RadioFreqs,7,FALSE))</f>
        <v/>
      </c>
      <c r="K23" s="620"/>
      <c r="L23" s="621"/>
      <c r="M23" s="621"/>
    </row>
    <row r="24">
      <c r="A24" s="628"/>
      <c r="B24" s="629"/>
      <c r="C24" s="620"/>
      <c r="D24" s="630"/>
      <c r="E24" s="616" t="str">
        <f> IF(ISERROR(vlookup(C24,RadioFreqs,2,FALSE)), "", vlookup(C24,RadioFreqs,2,FALSE))</f>
        <v/>
      </c>
      <c r="F24" s="617" t="str">
        <f> IF(ISERROR(vlookup(C24,RadioFreqs,3,FALSE)), "", vlookup(C24,RadioFreqs,3,FALSE))</f>
        <v/>
      </c>
      <c r="G24" s="618" t="str">
        <f> IF(ISERROR(vlookup(C24,RadioFreqs,4,FALSE)), "", vlookup(C24,RadioFreqs,4,FALSE))</f>
        <v/>
      </c>
      <c r="H24" s="617" t="str">
        <f> IF(ISERROR(vlookup(C24,RadioFreqs,5,FALSE)), "", vlookup(C24,RadioFreqs,5,FALSE))</f>
        <v/>
      </c>
      <c r="I24" s="618" t="str">
        <f> IF(ISERROR(vlookup(C24,RadioFreqs,6,FALSE)), "", vlookup(C24,RadioFreqs,6,FALSE))</f>
        <v/>
      </c>
      <c r="J24" s="619" t="str">
        <f> IF(ISERROR(vlookup(C24,RadioFreqs,7,FALSE)), "", vlookup(C24,RadioFreqs,7,FALSE))</f>
        <v/>
      </c>
      <c r="K24" s="620"/>
      <c r="L24" s="632"/>
      <c r="M24" s="632"/>
    </row>
    <row r="25">
      <c r="A25" s="628"/>
      <c r="B25" s="629"/>
      <c r="C25" s="620"/>
      <c r="D25" s="630"/>
      <c r="E25" s="616" t="str">
        <f> IF(ISERROR(vlookup(C25,RadioFreqs,2,FALSE)), "", vlookup(C25,RadioFreqs,2,FALSE))</f>
        <v/>
      </c>
      <c r="F25" s="617" t="str">
        <f> IF(ISERROR(vlookup(C25,RadioFreqs,3,FALSE)), "", vlookup(C25,RadioFreqs,3,FALSE))</f>
        <v/>
      </c>
      <c r="G25" s="618" t="str">
        <f> IF(ISERROR(vlookup(C25,RadioFreqs,4,FALSE)), "", vlookup(C25,RadioFreqs,4,FALSE))</f>
        <v/>
      </c>
      <c r="H25" s="617" t="str">
        <f> IF(ISERROR(vlookup(C25,RadioFreqs,5,FALSE)), "", vlookup(C25,RadioFreqs,5,FALSE))</f>
        <v/>
      </c>
      <c r="I25" s="618" t="str">
        <f> IF(ISERROR(vlookup(C25,RadioFreqs,6,FALSE)), "", vlookup(C25,RadioFreqs,6,FALSE))</f>
        <v/>
      </c>
      <c r="J25" s="619" t="str">
        <f> IF(ISERROR(vlookup(C25,RadioFreqs,7,FALSE)), "", vlookup(C25,RadioFreqs,7,FALSE))</f>
        <v/>
      </c>
      <c r="K25" s="631"/>
      <c r="L25" s="632"/>
      <c r="M25" s="632"/>
    </row>
    <row r="26">
      <c r="A26" s="628"/>
      <c r="B26" s="629"/>
      <c r="C26" s="620"/>
      <c r="D26" s="633"/>
      <c r="E26" s="616" t="str">
        <f> IF(ISERROR(vlookup(C26,RadioFreqs,2,FALSE)), "", vlookup(C26,RadioFreqs,2,FALSE))</f>
        <v/>
      </c>
      <c r="F26" s="617" t="str">
        <f> IF(ISERROR(vlookup(C26,RadioFreqs,3,FALSE)), "", vlookup(C26,RadioFreqs,3,FALSE))</f>
        <v/>
      </c>
      <c r="G26" s="618" t="str">
        <f> IF(ISERROR(vlookup(C26,RadioFreqs,4,FALSE)), "", vlookup(C26,RadioFreqs,4,FALSE))</f>
        <v/>
      </c>
      <c r="H26" s="617" t="str">
        <f> IF(ISERROR(vlookup(C26,RadioFreqs,5,FALSE)), "", vlookup(C26,RadioFreqs,5,FALSE))</f>
        <v/>
      </c>
      <c r="I26" s="618" t="str">
        <f> IF(ISERROR(vlookup(C26,RadioFreqs,6,FALSE)), "", vlookup(C26,RadioFreqs,6,FALSE))</f>
        <v/>
      </c>
      <c r="J26" s="619" t="str">
        <f> IF(ISERROR(vlookup(C26,RadioFreqs,7,FALSE)), "", vlookup(C26,RadioFreqs,7,FALSE))</f>
        <v/>
      </c>
      <c r="K26" s="631"/>
      <c r="L26" s="632"/>
      <c r="M26" s="632"/>
    </row>
    <row r="27">
      <c r="A27" s="628"/>
      <c r="B27" s="623"/>
      <c r="C27" s="624"/>
      <c r="D27" s="625"/>
      <c r="E27" s="616" t="str">
        <f> IF(ISERROR(vlookup(C27,RadioFreqs,2,FALSE)), "", vlookup(C27,RadioFreqs,2,FALSE))</f>
        <v/>
      </c>
      <c r="F27" s="617" t="str">
        <f> IF(ISERROR(vlookup(C27,RadioFreqs,3,FALSE)), "", vlookup(C27,RadioFreqs,3,FALSE))</f>
        <v/>
      </c>
      <c r="G27" s="618" t="str">
        <f> IF(ISERROR(vlookup(C27,RadioFreqs,4,FALSE)), "", vlookup(C27,RadioFreqs,4,FALSE))</f>
        <v/>
      </c>
      <c r="H27" s="617" t="str">
        <f> IF(ISERROR(vlookup(C27,RadioFreqs,5,FALSE)), "", vlookup(C27,RadioFreqs,5,FALSE))</f>
        <v/>
      </c>
      <c r="I27" s="618" t="str">
        <f> IF(ISERROR(vlookup(C27,RadioFreqs,6,FALSE)), "", vlookup(C27,RadioFreqs,6,FALSE))</f>
        <v/>
      </c>
      <c r="J27" s="619" t="str">
        <f> IF(ISERROR(vlookup(C27,RadioFreqs,7,FALSE)), "", vlookup(C27,RadioFreqs,7,FALSE))</f>
        <v/>
      </c>
      <c r="K27" s="624"/>
      <c r="L27" s="634"/>
      <c r="M27" s="634"/>
    </row>
    <row r="28">
      <c r="A28" s="628"/>
      <c r="B28" s="629"/>
      <c r="C28" s="624"/>
      <c r="D28" s="615"/>
      <c r="E28" s="616" t="str">
        <f> IF(ISERROR(vlookup(C28,RadioFreqs,2,FALSE)), "", vlookup(C28,RadioFreqs,2,FALSE))</f>
        <v/>
      </c>
      <c r="F28" s="617" t="str">
        <f> IF(ISERROR(vlookup(C28,RadioFreqs,3,FALSE)), "", vlookup(C28,RadioFreqs,3,FALSE))</f>
        <v/>
      </c>
      <c r="G28" s="618" t="str">
        <f> IF(ISERROR(vlookup(C28,RadioFreqs,4,FALSE)), "", vlookup(C28,RadioFreqs,4,FALSE))</f>
        <v/>
      </c>
      <c r="H28" s="617" t="str">
        <f> IF(ISERROR(vlookup(C28,RadioFreqs,5,FALSE)), "", vlookup(C28,RadioFreqs,5,FALSE))</f>
        <v/>
      </c>
      <c r="I28" s="618" t="str">
        <f> IF(ISERROR(vlookup(C28,RadioFreqs,6,FALSE)), "", vlookup(C28,RadioFreqs,6,FALSE))</f>
        <v/>
      </c>
      <c r="J28" s="619" t="str">
        <f> IF(ISERROR(vlookup(C28,RadioFreqs,7,FALSE)), "", vlookup(C28,RadioFreqs,7,FALSE))</f>
        <v/>
      </c>
      <c r="K28" s="620"/>
      <c r="L28" s="621"/>
      <c r="M28" s="621"/>
    </row>
    <row r="29">
      <c r="A29" s="628"/>
      <c r="B29" s="629"/>
      <c r="C29" s="635"/>
      <c r="D29" s="615"/>
      <c r="E29" s="616" t="str">
        <f> IF(ISERROR(vlookup(C29,RadioFreqs,2,FALSE)), "", vlookup(C29,RadioFreqs,2,FALSE))</f>
        <v/>
      </c>
      <c r="F29" s="617" t="str">
        <f> IF(ISERROR(vlookup(C29,RadioFreqs,3,FALSE)), "", vlookup(C29,RadioFreqs,3,FALSE))</f>
        <v/>
      </c>
      <c r="G29" s="618" t="str">
        <f> IF(ISERROR(vlookup(C29,RadioFreqs,4,FALSE)), "", vlookup(C29,RadioFreqs,4,FALSE))</f>
        <v/>
      </c>
      <c r="H29" s="617" t="str">
        <f> IF(ISERROR(vlookup(C29,RadioFreqs,5,FALSE)), "", vlookup(C29,RadioFreqs,5,FALSE))</f>
        <v/>
      </c>
      <c r="I29" s="618" t="str">
        <f> IF(ISERROR(vlookup(C29,RadioFreqs,6,FALSE)), "", vlookup(C29,RadioFreqs,6,FALSE))</f>
        <v/>
      </c>
      <c r="J29" s="619" t="str">
        <f> IF(ISERROR(vlookup(C29,RadioFreqs,7,FALSE)), "", vlookup(C29,RadioFreqs,7,FALSE))</f>
        <v/>
      </c>
      <c r="K29" s="620"/>
      <c r="L29" s="621"/>
      <c r="M29" s="621"/>
    </row>
    <row r="30">
      <c r="A30" s="628"/>
      <c r="B30" s="629"/>
      <c r="C30" s="624"/>
      <c r="D30" s="615"/>
      <c r="E30" s="616" t="str">
        <f> IF(ISERROR(vlookup(C30,RadioFreqs,2,FALSE)), "", vlookup(C30,RadioFreqs,2,FALSE))</f>
        <v/>
      </c>
      <c r="F30" s="617" t="str">
        <f> IF(ISERROR(vlookup(C30,RadioFreqs,3,FALSE)), "", vlookup(C30,RadioFreqs,3,FALSE))</f>
        <v/>
      </c>
      <c r="G30" s="618" t="str">
        <f> IF(ISERROR(vlookup(C30,RadioFreqs,4,FALSE)), "", vlookup(C30,RadioFreqs,4,FALSE))</f>
        <v/>
      </c>
      <c r="H30" s="617" t="str">
        <f> IF(ISERROR(vlookup(C30,RadioFreqs,5,FALSE)), "", vlookup(C30,RadioFreqs,5,FALSE))</f>
        <v/>
      </c>
      <c r="I30" s="618" t="str">
        <f> IF(ISERROR(vlookup(C30,RadioFreqs,6,FALSE)), "", vlookup(C30,RadioFreqs,6,FALSE))</f>
        <v/>
      </c>
      <c r="J30" s="619" t="str">
        <f> IF(ISERROR(vlookup(C30,RadioFreqs,7,FALSE)), "", vlookup(C30,RadioFreqs,7,FALSE))</f>
        <v/>
      </c>
      <c r="K30" s="636"/>
      <c r="L30" s="637"/>
      <c r="M30" s="637"/>
    </row>
    <row r="31">
      <c r="A31" s="628"/>
      <c r="B31" s="623"/>
      <c r="C31" s="624"/>
      <c r="D31" s="615"/>
      <c r="E31" s="616" t="str">
        <f> IF(ISERROR(vlookup(C31,RadioFreqs,2,FALSE)), "", vlookup(C31,RadioFreqs,2,FALSE))</f>
        <v/>
      </c>
      <c r="F31" s="617" t="str">
        <f> IF(ISERROR(vlookup(C31,RadioFreqs,3,FALSE)), "", vlookup(C31,RadioFreqs,3,FALSE))</f>
        <v/>
      </c>
      <c r="G31" s="618" t="str">
        <f> IF(ISERROR(vlookup(C31,RadioFreqs,4,FALSE)), "", vlookup(C31,RadioFreqs,4,FALSE))</f>
        <v/>
      </c>
      <c r="H31" s="617" t="str">
        <f> IF(ISERROR(vlookup(C31,RadioFreqs,5,FALSE)), "", vlookup(C31,RadioFreqs,5,FALSE))</f>
        <v/>
      </c>
      <c r="I31" s="618" t="str">
        <f> IF(ISERROR(vlookup(C31,RadioFreqs,6,FALSE)), "", vlookup(C31,RadioFreqs,6,FALSE))</f>
        <v/>
      </c>
      <c r="J31" s="619" t="str">
        <f> IF(ISERROR(vlookup(C31,RadioFreqs,7,FALSE)), "", vlookup(C31,RadioFreqs,7,FALSE))</f>
        <v/>
      </c>
      <c r="K31" s="620"/>
      <c r="L31" s="621"/>
      <c r="M31" s="621"/>
    </row>
    <row r="32">
      <c r="A32" s="628"/>
      <c r="B32" s="638"/>
      <c r="C32" s="639"/>
      <c r="D32" s="640"/>
      <c r="E32" s="616" t="str">
        <f> IF(ISERROR(vlookup(C32,RadioFreqs,2,FALSE)), "", vlookup(C32,RadioFreqs,2,FALSE))</f>
        <v/>
      </c>
      <c r="F32" s="617" t="str">
        <f> IF(ISERROR(vlookup(C32,RadioFreqs,3,FALSE)), "", vlookup(C32,RadioFreqs,3,FALSE))</f>
        <v/>
      </c>
      <c r="G32" s="618" t="str">
        <f> IF(ISERROR(vlookup(C32,RadioFreqs,4,FALSE)), "", vlookup(C32,RadioFreqs,4,FALSE))</f>
        <v/>
      </c>
      <c r="H32" s="617" t="str">
        <f> IF(ISERROR(vlookup(C32,RadioFreqs,5,FALSE)), "", vlookup(C32,RadioFreqs,5,FALSE))</f>
        <v/>
      </c>
      <c r="I32" s="618" t="str">
        <f> IF(ISERROR(vlookup(C32,RadioFreqs,6,FALSE)), "", vlookup(C32,RadioFreqs,6,FALSE))</f>
        <v/>
      </c>
      <c r="J32" s="619" t="str">
        <f> IF(ISERROR(vlookup(C32,RadioFreqs,7,FALSE)), "", vlookup(C32,RadioFreqs,7,FALSE))</f>
        <v/>
      </c>
      <c r="K32" s="620"/>
      <c r="L32" s="621"/>
      <c r="M32" s="621"/>
    </row>
    <row r="33">
      <c r="A33" s="628"/>
      <c r="B33" s="623"/>
      <c r="C33" s="641"/>
      <c r="D33" s="642"/>
      <c r="E33" s="616" t="str">
        <f> IF(ISERROR(vlookup(C33,RadioFreqs,2,FALSE)), "", vlookup(C33,RadioFreqs,2,FALSE))</f>
        <v/>
      </c>
      <c r="F33" s="617" t="str">
        <f> IF(ISERROR(vlookup(C33,RadioFreqs,3,FALSE)), "", vlookup(C33,RadioFreqs,3,FALSE))</f>
        <v/>
      </c>
      <c r="G33" s="618" t="str">
        <f> IF(ISERROR(vlookup(C33,RadioFreqs,4,FALSE)), "", vlookup(C33,RadioFreqs,4,FALSE))</f>
        <v/>
      </c>
      <c r="H33" s="617" t="str">
        <f> IF(ISERROR(vlookup(C33,RadioFreqs,5,FALSE)), "", vlookup(C33,RadioFreqs,5,FALSE))</f>
        <v/>
      </c>
      <c r="I33" s="618" t="str">
        <f> IF(ISERROR(vlookup(C33,RadioFreqs,6,FALSE)), "", vlookup(C33,RadioFreqs,6,FALSE))</f>
        <v/>
      </c>
      <c r="J33" s="619" t="str">
        <f> IF(ISERROR(vlookup(C33,RadioFreqs,7,FALSE)), "", vlookup(C33,RadioFreqs,7,FALSE))</f>
        <v/>
      </c>
      <c r="K33" s="620"/>
      <c r="L33" s="621"/>
      <c r="M33" s="621"/>
    </row>
    <row r="34">
      <c r="A34" s="628"/>
      <c r="B34" s="623"/>
      <c r="C34" s="624"/>
      <c r="D34" s="642"/>
      <c r="E34" s="616" t="str">
        <f> IF(ISERROR(vlookup(C34,RadioFreqs,2,FALSE)), "", vlookup(C34,RadioFreqs,2,FALSE))</f>
        <v/>
      </c>
      <c r="F34" s="617" t="str">
        <f> IF(ISERROR(vlookup(C34,RadioFreqs,3,FALSE)), "", vlookup(C34,RadioFreqs,3,FALSE))</f>
        <v/>
      </c>
      <c r="G34" s="618" t="str">
        <f> IF(ISERROR(vlookup(C34,RadioFreqs,4,FALSE)), "", vlookup(C34,RadioFreqs,4,FALSE))</f>
        <v/>
      </c>
      <c r="H34" s="617" t="str">
        <f> IF(ISERROR(vlookup(C34,RadioFreqs,5,FALSE)), "", vlookup(C34,RadioFreqs,5,FALSE))</f>
        <v/>
      </c>
      <c r="I34" s="618" t="str">
        <f> IF(ISERROR(vlookup(C34,RadioFreqs,6,FALSE)), "", vlookup(C34,RadioFreqs,6,FALSE))</f>
        <v/>
      </c>
      <c r="J34" s="619" t="str">
        <f> IF(ISERROR(vlookup(C34,RadioFreqs,7,FALSE)), "", vlookup(C34,RadioFreqs,7,FALSE))</f>
        <v/>
      </c>
      <c r="K34" s="620"/>
      <c r="L34" s="621"/>
      <c r="M34" s="621"/>
    </row>
    <row r="35">
      <c r="A35" s="628"/>
      <c r="B35" s="613"/>
      <c r="C35" s="639"/>
      <c r="D35" s="640"/>
      <c r="E35" s="616" t="str">
        <f> IF(ISERROR(vlookup(C35,RadioFreqs,2,FALSE)), "", vlookup(C35,RadioFreqs,2,FALSE))</f>
        <v/>
      </c>
      <c r="F35" s="617" t="str">
        <f> IF(ISERROR(vlookup(C35,RadioFreqs,3,FALSE)), "", vlookup(C35,RadioFreqs,3,FALSE))</f>
        <v/>
      </c>
      <c r="G35" s="618" t="str">
        <f> IF(ISERROR(vlookup(C35,RadioFreqs,4,FALSE)), "", vlookup(C35,RadioFreqs,4,FALSE))</f>
        <v/>
      </c>
      <c r="H35" s="617" t="str">
        <f> IF(ISERROR(vlookup(C35,RadioFreqs,5,FALSE)), "", vlookup(C35,RadioFreqs,5,FALSE))</f>
        <v/>
      </c>
      <c r="I35" s="618" t="str">
        <f> IF(ISERROR(vlookup(C35,RadioFreqs,6,FALSE)), "", vlookup(C35,RadioFreqs,6,FALSE))</f>
        <v/>
      </c>
      <c r="J35" s="619" t="str">
        <f> IF(ISERROR(vlookup(C35,RadioFreqs,7,FALSE)), "", vlookup(C35,RadioFreqs,7,FALSE))</f>
        <v/>
      </c>
      <c r="K35" s="643"/>
      <c r="L35" s="644"/>
      <c r="M35" s="644"/>
    </row>
    <row r="36">
      <c r="A36" s="607" t="s">
        <v>508</v>
      </c>
      <c r="B36" s="608" t="s">
        <v>509</v>
      </c>
      <c r="C36" s="609"/>
      <c r="D36" s="609"/>
      <c r="E36" s="609"/>
      <c r="F36" s="609"/>
      <c r="G36" s="609"/>
      <c r="H36" s="609"/>
      <c r="I36" s="609"/>
      <c r="J36" s="609"/>
      <c r="K36" s="610"/>
      <c r="L36" s="611"/>
      <c r="M36" s="611"/>
    </row>
    <row r="37">
      <c r="A37" s="612" t="s">
        <v>494</v>
      </c>
      <c r="B37" s="645" t="s">
        <v>510</v>
      </c>
      <c r="C37" s="646" t="s">
        <v>495</v>
      </c>
      <c r="D37" s="647" t="s">
        <v>511</v>
      </c>
      <c r="E37" s="616" t="str">
        <f> IF(ISERROR(vlookup(C37,RadioFreqs,2,FALSE)), "", vlookup(C37,RadioFreqs,2,FALSE))</f>
        <v>COMMAND</v>
      </c>
      <c r="F37" s="617">
        <f> IF(ISERROR(vlookup(C37,RadioFreqs,3,FALSE)), "", vlookup(C37,RadioFreqs,3,FALSE))</f>
        <v>151.355</v>
      </c>
      <c r="G37" s="618" t="str">
        <f> IF(ISERROR(vlookup(C37,RadioFreqs,4,FALSE)), "", vlookup(C37,RadioFreqs,4,FALSE))</f>
        <v>(T8)  103.5</v>
      </c>
      <c r="H37" s="617">
        <f> IF(ISERROR(vlookup(C37,RadioFreqs,5,FALSE)), "", vlookup(C37,RadioFreqs,5,FALSE))</f>
        <v>159.3</v>
      </c>
      <c r="I37" s="618" t="str">
        <f> IF(ISERROR(vlookup(C37,RadioFreqs,6,FALSE)), "", vlookup(C37,RadioFreqs,6,FALSE))</f>
        <v>OST</v>
      </c>
      <c r="J37" s="619" t="str">
        <f> IF(ISERROR(vlookup(C37,RadioFreqs,7,FALSE)), "", vlookup(C37,RadioFreqs,7,FALSE))</f>
        <v>A</v>
      </c>
      <c r="K37" s="620"/>
      <c r="L37" s="621"/>
      <c r="M37" s="621"/>
    </row>
    <row r="38">
      <c r="A38" s="648" t="s">
        <v>499</v>
      </c>
      <c r="B38" s="649" t="s">
        <v>512</v>
      </c>
      <c r="C38" s="650" t="s">
        <v>500</v>
      </c>
      <c r="D38" s="651" t="s">
        <v>513</v>
      </c>
      <c r="E38" s="616" t="str">
        <f> IF(ISERROR(vlookup(C38,RadioFreqs,2,FALSE)), "", vlookup(C38,RadioFreqs,2,FALSE))</f>
        <v>TACTICAL</v>
      </c>
      <c r="F38" s="617">
        <f> IF(ISERROR(vlookup(C38,RadioFreqs,3,FALSE)), "", vlookup(C38,RadioFreqs,3,FALSE))</f>
        <v>156.075</v>
      </c>
      <c r="G38" s="618" t="str">
        <f> IF(ISERROR(vlookup(C38,RadioFreqs,4,FALSE)), "", vlookup(C38,RadioFreqs,4,FALSE))</f>
        <v>(T6)  156.7</v>
      </c>
      <c r="H38" s="617">
        <f> IF(ISERROR(vlookup(C38,RadioFreqs,5,FALSE)), "", vlookup(C38,RadioFreqs,5,FALSE))</f>
        <v>156.075</v>
      </c>
      <c r="I38" s="618" t="str">
        <f> IF(ISERROR(vlookup(C38,RadioFreqs,6,FALSE)), "", vlookup(C38,RadioFreqs,6,FALSE))</f>
        <v>(T6)  156.7</v>
      </c>
      <c r="J38" s="619" t="str">
        <f> IF(ISERROR(vlookup(C38,RadioFreqs,7,FALSE)), "", vlookup(C38,RadioFreqs,7,FALSE))</f>
        <v>A</v>
      </c>
      <c r="K38" s="620"/>
      <c r="L38" s="621"/>
      <c r="M38" s="621"/>
    </row>
    <row r="39">
      <c r="A39" s="648" t="s">
        <v>497</v>
      </c>
      <c r="B39" s="649" t="s">
        <v>514</v>
      </c>
      <c r="C39" s="650" t="s">
        <v>498</v>
      </c>
      <c r="D39" s="651" t="s">
        <v>496</v>
      </c>
      <c r="E39" s="616" t="str">
        <f> IF(ISERROR(vlookup(C39,RadioFreqs,2,FALSE)), "", vlookup(C39,RadioFreqs,2,FALSE))</f>
        <v>A/G CMD</v>
      </c>
      <c r="F39" s="617" t="str">
        <f> IF(ISERROR(vlookup(C39,RadioFreqs,3,FALSE)), "", vlookup(C39,RadioFreqs,3,FALSE))</f>
        <v>166.6125</v>
      </c>
      <c r="G39" s="618" t="str">
        <f> IF(ISERROR(vlookup(C39,RadioFreqs,4,FALSE)), "", vlookup(C39,RadioFreqs,4,FALSE))</f>
        <v/>
      </c>
      <c r="H39" s="617" t="str">
        <f> IF(ISERROR(vlookup(C39,RadioFreqs,5,FALSE)), "", vlookup(C39,RadioFreqs,5,FALSE))</f>
        <v>166.6125</v>
      </c>
      <c r="I39" s="618">
        <f> IF(ISERROR(vlookup(C39,RadioFreqs,6,FALSE)), "", vlookup(C39,RadioFreqs,6,FALSE))</f>
        <v>0</v>
      </c>
      <c r="J39" s="619" t="str">
        <f> IF(ISERROR(vlookup(C39,RadioFreqs,7,FALSE)), "", vlookup(C39,RadioFreqs,7,FALSE))</f>
        <v>A</v>
      </c>
      <c r="K39" s="620"/>
      <c r="L39" s="621"/>
      <c r="M39" s="621"/>
    </row>
    <row r="40">
      <c r="A40" s="648" t="s">
        <v>501</v>
      </c>
      <c r="B40" s="649" t="s">
        <v>515</v>
      </c>
      <c r="C40" s="650" t="s">
        <v>516</v>
      </c>
      <c r="D40" s="652" t="s">
        <v>501</v>
      </c>
      <c r="E40" s="616" t="str">
        <f> IF(ISERROR(vlookup(C40,RadioFreqs,2,FALSE)), "", vlookup(C40,RadioFreqs,2,FALSE))</f>
        <v>AIRGUARD</v>
      </c>
      <c r="F40" s="617">
        <f> IF(ISERROR(vlookup(C40,RadioFreqs,3,FALSE)), "", vlookup(C40,RadioFreqs,3,FALSE))</f>
        <v>168.625</v>
      </c>
      <c r="G40" s="618">
        <f> IF(ISERROR(vlookup(C40,RadioFreqs,4,FALSE)), "", vlookup(C40,RadioFreqs,4,FALSE))</f>
        <v>0</v>
      </c>
      <c r="H40" s="617">
        <f> IF(ISERROR(vlookup(C40,RadioFreqs,5,FALSE)), "", vlookup(C40,RadioFreqs,5,FALSE))</f>
        <v>168.625</v>
      </c>
      <c r="I40" s="618" t="str">
        <f> IF(ISERROR(vlookup(C40,RadioFreqs,6,FALSE)), "", vlookup(C40,RadioFreqs,6,FALSE))</f>
        <v>(T1)  110.9</v>
      </c>
      <c r="J40" s="619" t="str">
        <f> IF(ISERROR(vlookup(C40,RadioFreqs,7,FALSE)), "", vlookup(C40,RadioFreqs,7,FALSE))</f>
        <v>A</v>
      </c>
      <c r="K40" s="620"/>
      <c r="L40" s="621"/>
      <c r="M40" s="621"/>
    </row>
    <row r="41">
      <c r="A41" s="627" t="s">
        <v>517</v>
      </c>
      <c r="B41" s="649" t="s">
        <v>518</v>
      </c>
      <c r="C41" s="650" t="s">
        <v>519</v>
      </c>
      <c r="D41" s="651" t="s">
        <v>511</v>
      </c>
      <c r="E41" s="616" t="str">
        <f> IF(ISERROR(vlookup(C41,RadioFreqs,2,FALSE)), "", vlookup(C41,RadioFreqs,2,FALSE))</f>
        <v>COMMAND</v>
      </c>
      <c r="F41" s="617" t="str">
        <f> IF(ISERROR(vlookup(C41,RadioFreqs,3,FALSE)), "", vlookup(C41,RadioFreqs,3,FALSE))</f>
        <v>170.5000</v>
      </c>
      <c r="G41" s="618">
        <f> IF(ISERROR(vlookup(C41,RadioFreqs,4,FALSE)), "", vlookup(C41,RadioFreqs,4,FALSE))</f>
        <v>0</v>
      </c>
      <c r="H41" s="617" t="str">
        <f> IF(ISERROR(vlookup(C41,RadioFreqs,5,FALSE)), "", vlookup(C41,RadioFreqs,5,FALSE))</f>
        <v>168.7500</v>
      </c>
      <c r="I41" s="618">
        <f> IF(ISERROR(vlookup(C41,RadioFreqs,6,FALSE)), "", vlookup(C41,RadioFreqs,6,FALSE))</f>
        <v>0</v>
      </c>
      <c r="J41" s="619" t="str">
        <f> IF(ISERROR(vlookup(C41,RadioFreqs,7,FALSE)), "", vlookup(C41,RadioFreqs,7,FALSE))</f>
        <v>A</v>
      </c>
      <c r="K41" s="620"/>
      <c r="L41" s="621"/>
      <c r="M41" s="621"/>
    </row>
    <row r="42">
      <c r="A42" s="627" t="s">
        <v>353</v>
      </c>
      <c r="B42" s="649" t="s">
        <v>520</v>
      </c>
      <c r="C42" s="650" t="s">
        <v>519</v>
      </c>
      <c r="D42" s="651" t="s">
        <v>511</v>
      </c>
      <c r="E42" s="616" t="str">
        <f> IF(ISERROR(vlookup(C42,RadioFreqs,2,FALSE)), "", vlookup(C42,RadioFreqs,2,FALSE))</f>
        <v>COMMAND</v>
      </c>
      <c r="F42" s="617" t="str">
        <f> IF(ISERROR(vlookup(C42,RadioFreqs,3,FALSE)), "", vlookup(C42,RadioFreqs,3,FALSE))</f>
        <v>170.5000</v>
      </c>
      <c r="G42" s="618">
        <f> IF(ISERROR(vlookup(C42,RadioFreqs,4,FALSE)), "", vlookup(C42,RadioFreqs,4,FALSE))</f>
        <v>0</v>
      </c>
      <c r="H42" s="617" t="str">
        <f> IF(ISERROR(vlookup(C42,RadioFreqs,5,FALSE)), "", vlookup(C42,RadioFreqs,5,FALSE))</f>
        <v>168.7500</v>
      </c>
      <c r="I42" s="618">
        <f> IF(ISERROR(vlookup(C42,RadioFreqs,6,FALSE)), "", vlookup(C42,RadioFreqs,6,FALSE))</f>
        <v>0</v>
      </c>
      <c r="J42" s="619" t="str">
        <f> IF(ISERROR(vlookup(C42,RadioFreqs,7,FALSE)), "", vlookup(C42,RadioFreqs,7,FALSE))</f>
        <v>A</v>
      </c>
      <c r="K42" s="620"/>
      <c r="L42" s="621" t="s">
        <v>510</v>
      </c>
      <c r="M42" s="621" t="s">
        <v>514</v>
      </c>
    </row>
    <row r="43">
      <c r="A43" s="627" t="s">
        <v>521</v>
      </c>
      <c r="B43" s="649" t="s">
        <v>522</v>
      </c>
      <c r="C43" s="650" t="s">
        <v>519</v>
      </c>
      <c r="D43" s="651" t="s">
        <v>511</v>
      </c>
      <c r="E43" s="616" t="str">
        <f> IF(ISERROR(vlookup(C43,RadioFreqs,2,FALSE)), "", vlookup(C43,RadioFreqs,2,FALSE))</f>
        <v>COMMAND</v>
      </c>
      <c r="F43" s="617" t="str">
        <f> IF(ISERROR(vlookup(C43,RadioFreqs,3,FALSE)), "", vlookup(C43,RadioFreqs,3,FALSE))</f>
        <v>170.5000</v>
      </c>
      <c r="G43" s="618">
        <f> IF(ISERROR(vlookup(C43,RadioFreqs,4,FALSE)), "", vlookup(C43,RadioFreqs,4,FALSE))</f>
        <v>0</v>
      </c>
      <c r="H43" s="617" t="str">
        <f> IF(ISERROR(vlookup(C43,RadioFreqs,5,FALSE)), "", vlookup(C43,RadioFreqs,5,FALSE))</f>
        <v>168.7500</v>
      </c>
      <c r="I43" s="618">
        <f> IF(ISERROR(vlookup(C43,RadioFreqs,6,FALSE)), "", vlookup(C43,RadioFreqs,6,FALSE))</f>
        <v>0</v>
      </c>
      <c r="J43" s="619" t="str">
        <f> IF(ISERROR(vlookup(C43,RadioFreqs,7,FALSE)), "", vlookup(C43,RadioFreqs,7,FALSE))</f>
        <v>A</v>
      </c>
      <c r="K43" s="620"/>
      <c r="L43" s="621"/>
      <c r="M43" s="621"/>
    </row>
    <row r="44">
      <c r="A44" s="627" t="s">
        <v>355</v>
      </c>
      <c r="B44" s="649" t="s">
        <v>523</v>
      </c>
      <c r="C44" s="650" t="s">
        <v>519</v>
      </c>
      <c r="D44" s="651" t="s">
        <v>511</v>
      </c>
      <c r="E44" s="616" t="str">
        <f> IF(ISERROR(vlookup(C44,RadioFreqs,2,FALSE)), "", vlookup(C44,RadioFreqs,2,FALSE))</f>
        <v>COMMAND</v>
      </c>
      <c r="F44" s="617" t="str">
        <f> IF(ISERROR(vlookup(C44,RadioFreqs,3,FALSE)), "", vlookup(C44,RadioFreqs,3,FALSE))</f>
        <v>170.5000</v>
      </c>
      <c r="G44" s="618">
        <f> IF(ISERROR(vlookup(C44,RadioFreqs,4,FALSE)), "", vlookup(C44,RadioFreqs,4,FALSE))</f>
        <v>0</v>
      </c>
      <c r="H44" s="617" t="str">
        <f> IF(ISERROR(vlookup(C44,RadioFreqs,5,FALSE)), "", vlookup(C44,RadioFreqs,5,FALSE))</f>
        <v>168.7500</v>
      </c>
      <c r="I44" s="618">
        <f> IF(ISERROR(vlookup(C44,RadioFreqs,6,FALSE)), "", vlookup(C44,RadioFreqs,6,FALSE))</f>
        <v>0</v>
      </c>
      <c r="J44" s="619" t="str">
        <f> IF(ISERROR(vlookup(C44,RadioFreqs,7,FALSE)), "", vlookup(C44,RadioFreqs,7,FALSE))</f>
        <v>A</v>
      </c>
      <c r="K44" s="620"/>
      <c r="L44" s="621"/>
      <c r="M44" s="621"/>
    </row>
    <row r="45">
      <c r="A45" s="628"/>
      <c r="B45" s="649" t="s">
        <v>524</v>
      </c>
      <c r="C45" s="650" t="s">
        <v>519</v>
      </c>
      <c r="D45" s="651" t="s">
        <v>511</v>
      </c>
      <c r="E45" s="616" t="str">
        <f> IF(ISERROR(vlookup(C45,RadioFreqs,2,FALSE)), "", vlookup(C45,RadioFreqs,2,FALSE))</f>
        <v>COMMAND</v>
      </c>
      <c r="F45" s="617" t="str">
        <f> IF(ISERROR(vlookup(C45,RadioFreqs,3,FALSE)), "", vlookup(C45,RadioFreqs,3,FALSE))</f>
        <v>170.5000</v>
      </c>
      <c r="G45" s="618">
        <f> IF(ISERROR(vlookup(C45,RadioFreqs,4,FALSE)), "", vlookup(C45,RadioFreqs,4,FALSE))</f>
        <v>0</v>
      </c>
      <c r="H45" s="617" t="str">
        <f> IF(ISERROR(vlookup(C45,RadioFreqs,5,FALSE)), "", vlookup(C45,RadioFreqs,5,FALSE))</f>
        <v>168.7500</v>
      </c>
      <c r="I45" s="618">
        <f> IF(ISERROR(vlookup(C45,RadioFreqs,6,FALSE)), "", vlookup(C45,RadioFreqs,6,FALSE))</f>
        <v>0</v>
      </c>
      <c r="J45" s="619" t="str">
        <f> IF(ISERROR(vlookup(C45,RadioFreqs,7,FALSE)), "", vlookup(C45,RadioFreqs,7,FALSE))</f>
        <v>A</v>
      </c>
      <c r="K45" s="620"/>
      <c r="L45" s="621"/>
      <c r="M45" s="621"/>
    </row>
    <row r="46">
      <c r="A46" s="628"/>
      <c r="B46" s="649" t="s">
        <v>525</v>
      </c>
      <c r="C46" s="650" t="s">
        <v>519</v>
      </c>
      <c r="D46" s="651" t="s">
        <v>511</v>
      </c>
      <c r="E46" s="616" t="str">
        <f> IF(ISERROR(vlookup(C46,RadioFreqs,2,FALSE)), "", vlookup(C46,RadioFreqs,2,FALSE))</f>
        <v>COMMAND</v>
      </c>
      <c r="F46" s="617" t="str">
        <f> IF(ISERROR(vlookup(C46,RadioFreqs,3,FALSE)), "", vlookup(C46,RadioFreqs,3,FALSE))</f>
        <v>170.5000</v>
      </c>
      <c r="G46" s="618">
        <f> IF(ISERROR(vlookup(C46,RadioFreqs,4,FALSE)), "", vlookup(C46,RadioFreqs,4,FALSE))</f>
        <v>0</v>
      </c>
      <c r="H46" s="617" t="str">
        <f> IF(ISERROR(vlookup(C46,RadioFreqs,5,FALSE)), "", vlookup(C46,RadioFreqs,5,FALSE))</f>
        <v>168.7500</v>
      </c>
      <c r="I46" s="618">
        <f> IF(ISERROR(vlookup(C46,RadioFreqs,6,FALSE)), "", vlookup(C46,RadioFreqs,6,FALSE))</f>
        <v>0</v>
      </c>
      <c r="J46" s="619" t="str">
        <f> IF(ISERROR(vlookup(C46,RadioFreqs,7,FALSE)), "", vlookup(C46,RadioFreqs,7,FALSE))</f>
        <v>A</v>
      </c>
      <c r="K46" s="620"/>
      <c r="L46" s="621"/>
      <c r="M46" s="621"/>
    </row>
    <row r="47">
      <c r="A47" s="628"/>
      <c r="B47" s="649" t="s">
        <v>526</v>
      </c>
      <c r="C47" s="650" t="s">
        <v>519</v>
      </c>
      <c r="D47" s="651" t="s">
        <v>511</v>
      </c>
      <c r="E47" s="616" t="str">
        <f> IF(ISERROR(vlookup(C47,RadioFreqs,2,FALSE)), "", vlookup(C47,RadioFreqs,2,FALSE))</f>
        <v>COMMAND</v>
      </c>
      <c r="F47" s="617" t="str">
        <f> IF(ISERROR(vlookup(C47,RadioFreqs,3,FALSE)), "", vlookup(C47,RadioFreqs,3,FALSE))</f>
        <v>170.5000</v>
      </c>
      <c r="G47" s="618">
        <f> IF(ISERROR(vlookup(C47,RadioFreqs,4,FALSE)), "", vlookup(C47,RadioFreqs,4,FALSE))</f>
        <v>0</v>
      </c>
      <c r="H47" s="617" t="str">
        <f> IF(ISERROR(vlookup(C47,RadioFreqs,5,FALSE)), "", vlookup(C47,RadioFreqs,5,FALSE))</f>
        <v>168.7500</v>
      </c>
      <c r="I47" s="618">
        <f> IF(ISERROR(vlookup(C47,RadioFreqs,6,FALSE)), "", vlookup(C47,RadioFreqs,6,FALSE))</f>
        <v>0</v>
      </c>
      <c r="J47" s="619" t="str">
        <f> IF(ISERROR(vlookup(C47,RadioFreqs,7,FALSE)), "", vlookup(C47,RadioFreqs,7,FALSE))</f>
        <v>A</v>
      </c>
      <c r="K47" s="620"/>
      <c r="L47" s="621"/>
      <c r="M47" s="621"/>
    </row>
    <row r="48">
      <c r="A48" s="628"/>
      <c r="B48" s="649" t="s">
        <v>527</v>
      </c>
      <c r="C48" s="650" t="s">
        <v>519</v>
      </c>
      <c r="D48" s="651" t="s">
        <v>511</v>
      </c>
      <c r="E48" s="616" t="str">
        <f> IF(ISERROR(vlookup(C48,RadioFreqs,2,FALSE)), "", vlookup(C48,RadioFreqs,2,FALSE))</f>
        <v>COMMAND</v>
      </c>
      <c r="F48" s="617" t="str">
        <f> IF(ISERROR(vlookup(C48,RadioFreqs,3,FALSE)), "", vlookup(C48,RadioFreqs,3,FALSE))</f>
        <v>170.5000</v>
      </c>
      <c r="G48" s="618">
        <f> IF(ISERROR(vlookup(C48,RadioFreqs,4,FALSE)), "", vlookup(C48,RadioFreqs,4,FALSE))</f>
        <v>0</v>
      </c>
      <c r="H48" s="617" t="str">
        <f> IF(ISERROR(vlookup(C48,RadioFreqs,5,FALSE)), "", vlookup(C48,RadioFreqs,5,FALSE))</f>
        <v>168.7500</v>
      </c>
      <c r="I48" s="618">
        <f> IF(ISERROR(vlookup(C48,RadioFreqs,6,FALSE)), "", vlookup(C48,RadioFreqs,6,FALSE))</f>
        <v>0</v>
      </c>
      <c r="J48" s="619" t="str">
        <f> IF(ISERROR(vlookup(C48,RadioFreqs,7,FALSE)), "", vlookup(C48,RadioFreqs,7,FALSE))</f>
        <v>A</v>
      </c>
      <c r="K48" s="620"/>
      <c r="L48" s="621"/>
      <c r="M48" s="621"/>
    </row>
    <row r="49">
      <c r="A49" s="628"/>
      <c r="B49" s="649" t="s">
        <v>528</v>
      </c>
      <c r="C49" s="650" t="s">
        <v>519</v>
      </c>
      <c r="D49" s="651" t="s">
        <v>511</v>
      </c>
      <c r="E49" s="616" t="str">
        <f> IF(ISERROR(vlookup(C49,RadioFreqs,2,FALSE)), "", vlookup(C49,RadioFreqs,2,FALSE))</f>
        <v>COMMAND</v>
      </c>
      <c r="F49" s="617" t="str">
        <f> IF(ISERROR(vlookup(C49,RadioFreqs,3,FALSE)), "", vlookup(C49,RadioFreqs,3,FALSE))</f>
        <v>170.5000</v>
      </c>
      <c r="G49" s="618">
        <f> IF(ISERROR(vlookup(C49,RadioFreqs,4,FALSE)), "", vlookup(C49,RadioFreqs,4,FALSE))</f>
        <v>0</v>
      </c>
      <c r="H49" s="617" t="str">
        <f> IF(ISERROR(vlookup(C49,RadioFreqs,5,FALSE)), "", vlookup(C49,RadioFreqs,5,FALSE))</f>
        <v>168.7500</v>
      </c>
      <c r="I49" s="618">
        <f> IF(ISERROR(vlookup(C49,RadioFreqs,6,FALSE)), "", vlookup(C49,RadioFreqs,6,FALSE))</f>
        <v>0</v>
      </c>
      <c r="J49" s="619" t="str">
        <f> IF(ISERROR(vlookup(C49,RadioFreqs,7,FALSE)), "", vlookup(C49,RadioFreqs,7,FALSE))</f>
        <v>A</v>
      </c>
      <c r="K49" s="620"/>
      <c r="L49" s="621"/>
      <c r="M49" s="621"/>
    </row>
    <row r="50">
      <c r="A50" s="628"/>
      <c r="B50" s="649" t="s">
        <v>529</v>
      </c>
      <c r="C50" s="650" t="s">
        <v>519</v>
      </c>
      <c r="D50" s="651" t="s">
        <v>511</v>
      </c>
      <c r="E50" s="616" t="str">
        <f> IF(ISERROR(vlookup(C50,RadioFreqs,2,FALSE)), "", vlookup(C50,RadioFreqs,2,FALSE))</f>
        <v>COMMAND</v>
      </c>
      <c r="F50" s="617" t="str">
        <f> IF(ISERROR(vlookup(C50,RadioFreqs,3,FALSE)), "", vlookup(C50,RadioFreqs,3,FALSE))</f>
        <v>170.5000</v>
      </c>
      <c r="G50" s="618">
        <f> IF(ISERROR(vlookup(C50,RadioFreqs,4,FALSE)), "", vlookup(C50,RadioFreqs,4,FALSE))</f>
        <v>0</v>
      </c>
      <c r="H50" s="617" t="str">
        <f> IF(ISERROR(vlookup(C50,RadioFreqs,5,FALSE)), "", vlookup(C50,RadioFreqs,5,FALSE))</f>
        <v>168.7500</v>
      </c>
      <c r="I50" s="618">
        <f> IF(ISERROR(vlookup(C50,RadioFreqs,6,FALSE)), "", vlookup(C50,RadioFreqs,6,FALSE))</f>
        <v>0</v>
      </c>
      <c r="J50" s="619" t="str">
        <f> IF(ISERROR(vlookup(C50,RadioFreqs,7,FALSE)), "", vlookup(C50,RadioFreqs,7,FALSE))</f>
        <v>A</v>
      </c>
      <c r="K50" s="620"/>
      <c r="L50" s="621"/>
      <c r="M50" s="621"/>
    </row>
    <row r="51">
      <c r="A51" s="628"/>
      <c r="B51" s="649" t="s">
        <v>530</v>
      </c>
      <c r="C51" s="650" t="s">
        <v>519</v>
      </c>
      <c r="D51" s="651" t="s">
        <v>511</v>
      </c>
      <c r="E51" s="616" t="str">
        <f> IF(ISERROR(vlookup(C51,RadioFreqs,2,FALSE)), "", vlookup(C51,RadioFreqs,2,FALSE))</f>
        <v>COMMAND</v>
      </c>
      <c r="F51" s="617" t="str">
        <f> IF(ISERROR(vlookup(C51,RadioFreqs,3,FALSE)), "", vlookup(C51,RadioFreqs,3,FALSE))</f>
        <v>170.5000</v>
      </c>
      <c r="G51" s="618">
        <f> IF(ISERROR(vlookup(C51,RadioFreqs,4,FALSE)), "", vlookup(C51,RadioFreqs,4,FALSE))</f>
        <v>0</v>
      </c>
      <c r="H51" s="617" t="str">
        <f> IF(ISERROR(vlookup(C51,RadioFreqs,5,FALSE)), "", vlookup(C51,RadioFreqs,5,FALSE))</f>
        <v>168.7500</v>
      </c>
      <c r="I51" s="618">
        <f> IF(ISERROR(vlookup(C51,RadioFreqs,6,FALSE)), "", vlookup(C51,RadioFreqs,6,FALSE))</f>
        <v>0</v>
      </c>
      <c r="J51" s="619" t="str">
        <f> IF(ISERROR(vlookup(C51,RadioFreqs,7,FALSE)), "", vlookup(C51,RadioFreqs,7,FALSE))</f>
        <v>A</v>
      </c>
      <c r="K51" s="620"/>
      <c r="L51" s="621"/>
      <c r="M51" s="621"/>
    </row>
    <row r="52">
      <c r="A52" s="628"/>
      <c r="B52" s="649" t="s">
        <v>531</v>
      </c>
      <c r="C52" s="650" t="s">
        <v>519</v>
      </c>
      <c r="D52" s="651" t="s">
        <v>511</v>
      </c>
      <c r="E52" s="616" t="str">
        <f> IF(ISERROR(vlookup(C52,RadioFreqs,2,FALSE)), "", vlookup(C52,RadioFreqs,2,FALSE))</f>
        <v>COMMAND</v>
      </c>
      <c r="F52" s="617" t="str">
        <f> IF(ISERROR(vlookup(C52,RadioFreqs,3,FALSE)), "", vlookup(C52,RadioFreqs,3,FALSE))</f>
        <v>170.5000</v>
      </c>
      <c r="G52" s="618">
        <f> IF(ISERROR(vlookup(C52,RadioFreqs,4,FALSE)), "", vlookup(C52,RadioFreqs,4,FALSE))</f>
        <v>0</v>
      </c>
      <c r="H52" s="617" t="str">
        <f> IF(ISERROR(vlookup(C52,RadioFreqs,5,FALSE)), "", vlookup(C52,RadioFreqs,5,FALSE))</f>
        <v>168.7500</v>
      </c>
      <c r="I52" s="618">
        <f> IF(ISERROR(vlookup(C52,RadioFreqs,6,FALSE)), "", vlookup(C52,RadioFreqs,6,FALSE))</f>
        <v>0</v>
      </c>
      <c r="J52" s="619" t="str">
        <f> IF(ISERROR(vlookup(C52,RadioFreqs,7,FALSE)), "", vlookup(C52,RadioFreqs,7,FALSE))</f>
        <v>A</v>
      </c>
      <c r="K52" s="620"/>
      <c r="L52" s="621"/>
      <c r="M52" s="621"/>
    </row>
    <row r="53">
      <c r="A53" s="628"/>
      <c r="B53" s="649" t="s">
        <v>512</v>
      </c>
      <c r="C53" s="650" t="s">
        <v>519</v>
      </c>
      <c r="D53" s="651" t="s">
        <v>511</v>
      </c>
      <c r="E53" s="616" t="str">
        <f> IF(ISERROR(vlookup(C53,RadioFreqs,2,FALSE)), "", vlookup(C53,RadioFreqs,2,FALSE))</f>
        <v>COMMAND</v>
      </c>
      <c r="F53" s="617" t="str">
        <f> IF(ISERROR(vlookup(C53,RadioFreqs,3,FALSE)), "", vlookup(C53,RadioFreqs,3,FALSE))</f>
        <v>170.5000</v>
      </c>
      <c r="G53" s="618">
        <f> IF(ISERROR(vlookup(C53,RadioFreqs,4,FALSE)), "", vlookup(C53,RadioFreqs,4,FALSE))</f>
        <v>0</v>
      </c>
      <c r="H53" s="617" t="str">
        <f> IF(ISERROR(vlookup(C53,RadioFreqs,5,FALSE)), "", vlookup(C53,RadioFreqs,5,FALSE))</f>
        <v>168.7500</v>
      </c>
      <c r="I53" s="618">
        <f> IF(ISERROR(vlookup(C53,RadioFreqs,6,FALSE)), "", vlookup(C53,RadioFreqs,6,FALSE))</f>
        <v>0</v>
      </c>
      <c r="J53" s="619" t="str">
        <f> IF(ISERROR(vlookup(C53,RadioFreqs,7,FALSE)), "", vlookup(C53,RadioFreqs,7,FALSE))</f>
        <v>A</v>
      </c>
      <c r="K53" s="643"/>
      <c r="L53" s="644"/>
      <c r="M53" s="644"/>
    </row>
    <row r="54">
      <c r="A54" s="628"/>
      <c r="B54" s="649" t="s">
        <v>514</v>
      </c>
      <c r="C54" s="650" t="s">
        <v>519</v>
      </c>
      <c r="D54" s="651" t="s">
        <v>511</v>
      </c>
      <c r="E54" s="616" t="str">
        <f> IF(ISERROR(vlookup(C54,RadioFreqs,2,FALSE)), "", vlookup(C54,RadioFreqs,2,FALSE))</f>
        <v>COMMAND</v>
      </c>
      <c r="F54" s="617" t="str">
        <f> IF(ISERROR(vlookup(C54,RadioFreqs,3,FALSE)), "", vlookup(C54,RadioFreqs,3,FALSE))</f>
        <v>170.5000</v>
      </c>
      <c r="G54" s="618">
        <f> IF(ISERROR(vlookup(C54,RadioFreqs,4,FALSE)), "", vlookup(C54,RadioFreqs,4,FALSE))</f>
        <v>0</v>
      </c>
      <c r="H54" s="617" t="str">
        <f> IF(ISERROR(vlookup(C54,RadioFreqs,5,FALSE)), "", vlookup(C54,RadioFreqs,5,FALSE))</f>
        <v>168.7500</v>
      </c>
      <c r="I54" s="618">
        <f> IF(ISERROR(vlookup(C53,RadioFreqs,6,FALSE)), "", vlookup(C53,RadioFreqs,6,FALSE))</f>
        <v>0</v>
      </c>
      <c r="J54" s="619" t="str">
        <f> IF(ISERROR(vlookup(C54,RadioFreqs,7,FALSE)), "", vlookup(C54,RadioFreqs,7,FALSE))</f>
        <v>A</v>
      </c>
      <c r="K54" s="643"/>
      <c r="L54" s="644"/>
      <c r="M54" s="644"/>
    </row>
    <row r="55">
      <c r="A55" s="628"/>
      <c r="B55" s="649" t="s">
        <v>515</v>
      </c>
      <c r="C55" s="650" t="s">
        <v>519</v>
      </c>
      <c r="D55" s="651" t="s">
        <v>511</v>
      </c>
      <c r="E55" s="616" t="str">
        <f> IF(ISERROR(vlookup(C55,RadioFreqs,2,FALSE)), "", vlookup(C55,RadioFreqs,2,FALSE))</f>
        <v>COMMAND</v>
      </c>
      <c r="F55" s="617" t="str">
        <f> IF(ISERROR(vlookup(C55,RadioFreqs,3,FALSE)), "", vlookup(C55,RadioFreqs,3,FALSE))</f>
        <v>170.5000</v>
      </c>
      <c r="G55" s="618">
        <f> IF(ISERROR(vlookup(C55,RadioFreqs,4,FALSE)), "", vlookup(C55,RadioFreqs,4,FALSE))</f>
        <v>0</v>
      </c>
      <c r="H55" s="617" t="str">
        <f> IF(ISERROR(vlookup(C55,RadioFreqs,5,FALSE)), "", vlookup(C55,RadioFreqs,5,FALSE))</f>
        <v>168.7500</v>
      </c>
      <c r="I55" s="618">
        <f> IF(ISERROR(vlookup(C54,RadioFreqs,6,FALSE)), "", vlookup(C54,RadioFreqs,6,FALSE))</f>
        <v>0</v>
      </c>
      <c r="J55" s="619" t="str">
        <f> IF(ISERROR(vlookup(C55,RadioFreqs,7,FALSE)), "", vlookup(C55,RadioFreqs,7,FALSE))</f>
        <v>A</v>
      </c>
      <c r="K55" s="643"/>
      <c r="L55" s="644"/>
      <c r="M55" s="644"/>
    </row>
    <row r="56">
      <c r="A56" s="628"/>
      <c r="B56" s="649" t="s">
        <v>532</v>
      </c>
      <c r="C56" s="650" t="s">
        <v>519</v>
      </c>
      <c r="D56" s="651" t="s">
        <v>511</v>
      </c>
      <c r="E56" s="616" t="str">
        <f> IF(ISERROR(vlookup(C56,RadioFreqs,2,FALSE)), "", vlookup(C56,RadioFreqs,2,FALSE))</f>
        <v>COMMAND</v>
      </c>
      <c r="F56" s="617" t="str">
        <f> IF(ISERROR(vlookup(C56,RadioFreqs,3,FALSE)), "", vlookup(C56,RadioFreqs,3,FALSE))</f>
        <v>170.5000</v>
      </c>
      <c r="G56" s="618">
        <f> IF(ISERROR(vlookup(C56,RadioFreqs,4,FALSE)), "", vlookup(C56,RadioFreqs,4,FALSE))</f>
        <v>0</v>
      </c>
      <c r="H56" s="617" t="str">
        <f> IF(ISERROR(vlookup(C56,RadioFreqs,5,FALSE)), "", vlookup(C56,RadioFreqs,5,FALSE))</f>
        <v>168.7500</v>
      </c>
      <c r="I56" s="618">
        <f> IF(ISERROR(vlookup(C56,RadioFreqs,6,FALSE)), "", vlookup(C56,RadioFreqs,6,FALSE))</f>
        <v>0</v>
      </c>
      <c r="J56" s="619" t="str">
        <f> IF(ISERROR(vlookup(C56,RadioFreqs,7,FALSE)), "", vlookup(C56,RadioFreqs,7,FALSE))</f>
        <v>A</v>
      </c>
      <c r="K56" s="643"/>
      <c r="L56" s="644"/>
      <c r="M56" s="644"/>
    </row>
    <row r="57">
      <c r="A57" s="628"/>
      <c r="B57" s="649" t="s">
        <v>533</v>
      </c>
      <c r="C57" s="650" t="s">
        <v>519</v>
      </c>
      <c r="D57" s="651" t="s">
        <v>511</v>
      </c>
      <c r="E57" s="616" t="str">
        <f> IF(ISERROR(vlookup(C57,RadioFreqs,2,FALSE)), "", vlookup(C57,RadioFreqs,2,FALSE))</f>
        <v>COMMAND</v>
      </c>
      <c r="F57" s="617" t="str">
        <f> IF(ISERROR(vlookup(C57,RadioFreqs,3,FALSE)), "", vlookup(C57,RadioFreqs,3,FALSE))</f>
        <v>170.5000</v>
      </c>
      <c r="G57" s="618">
        <f> IF(ISERROR(vlookup(C57,RadioFreqs,4,FALSE)), "", vlookup(C57,RadioFreqs,4,FALSE))</f>
        <v>0</v>
      </c>
      <c r="H57" s="617" t="str">
        <f> IF(ISERROR(vlookup(C57,RadioFreqs,5,FALSE)), "", vlookup(C57,RadioFreqs,5,FALSE))</f>
        <v>168.7500</v>
      </c>
      <c r="I57" s="618">
        <f> IF(ISERROR(vlookup(C57,RadioFreqs,6,FALSE)), "", vlookup(C57,RadioFreqs,6,FALSE))</f>
        <v>0</v>
      </c>
      <c r="J57" s="619" t="str">
        <f> IF(ISERROR(vlookup(C57,RadioFreqs,7,FALSE)), "", vlookup(C57,RadioFreqs,7,FALSE))</f>
        <v>A</v>
      </c>
      <c r="K57" s="643"/>
      <c r="L57" s="644"/>
      <c r="M57" s="644"/>
    </row>
    <row r="58">
      <c r="A58" s="628"/>
      <c r="B58" s="649" t="s">
        <v>534</v>
      </c>
      <c r="C58" s="650" t="s">
        <v>519</v>
      </c>
      <c r="D58" s="651" t="s">
        <v>511</v>
      </c>
      <c r="E58" s="616" t="str">
        <f> IF(ISERROR(vlookup(C58,RadioFreqs,2,FALSE)), "", vlookup(C58,RadioFreqs,2,FALSE))</f>
        <v>COMMAND</v>
      </c>
      <c r="F58" s="617" t="str">
        <f> IF(ISERROR(vlookup(C58,RadioFreqs,3,FALSE)), "", vlookup(C58,RadioFreqs,3,FALSE))</f>
        <v>170.5000</v>
      </c>
      <c r="G58" s="618">
        <f> IF(ISERROR(vlookup(C58,RadioFreqs,4,FALSE)), "", vlookup(C58,RadioFreqs,4,FALSE))</f>
        <v>0</v>
      </c>
      <c r="H58" s="617" t="str">
        <f> IF(ISERROR(vlookup(C58,RadioFreqs,5,FALSE)), "", vlookup(C58,RadioFreqs,5,FALSE))</f>
        <v>168.7500</v>
      </c>
      <c r="I58" s="618">
        <f> IF(ISERROR(vlookup(C58,RadioFreqs,6,FALSE)), "", vlookup(C58,RadioFreqs,6,FALSE))</f>
        <v>0</v>
      </c>
      <c r="J58" s="619" t="str">
        <f> IF(ISERROR(vlookup(C58,RadioFreqs,7,FALSE)), "", vlookup(C58,RadioFreqs,7,FALSE))</f>
        <v>A</v>
      </c>
      <c r="K58" s="643"/>
      <c r="L58" s="644"/>
      <c r="M58" s="644"/>
    </row>
    <row r="59">
      <c r="A59" s="628"/>
      <c r="B59" s="649" t="s">
        <v>535</v>
      </c>
      <c r="C59" s="650" t="s">
        <v>519</v>
      </c>
      <c r="D59" s="651" t="s">
        <v>511</v>
      </c>
      <c r="E59" s="616" t="str">
        <f> IF(ISERROR(vlookup(C59,RadioFreqs,2,FALSE)), "", vlookup(C59,RadioFreqs,2,FALSE))</f>
        <v>COMMAND</v>
      </c>
      <c r="F59" s="617" t="str">
        <f> IF(ISERROR(vlookup(C59,RadioFreqs,3,FALSE)), "", vlookup(C59,RadioFreqs,3,FALSE))</f>
        <v>170.5000</v>
      </c>
      <c r="G59" s="618">
        <f> IF(ISERROR(vlookup(C59,RadioFreqs,4,FALSE)), "", vlookup(C59,RadioFreqs,4,FALSE))</f>
        <v>0</v>
      </c>
      <c r="H59" s="617" t="str">
        <f> IF(ISERROR(vlookup(C59,RadioFreqs,5,FALSE)), "", vlookup(C59,RadioFreqs,5,FALSE))</f>
        <v>168.7500</v>
      </c>
      <c r="I59" s="618">
        <f> IF(ISERROR(vlookup(C59,RadioFreqs,6,FALSE)), "", vlookup(C59,RadioFreqs,6,FALSE))</f>
        <v>0</v>
      </c>
      <c r="J59" s="619" t="str">
        <f> IF(ISERROR(vlookup(C59,RadioFreqs,7,FALSE)), "", vlookup(C59,RadioFreqs,7,FALSE))</f>
        <v>A</v>
      </c>
      <c r="K59" s="643"/>
      <c r="L59" s="644"/>
      <c r="M59" s="644"/>
    </row>
    <row r="60">
      <c r="A60" s="628"/>
      <c r="B60" s="649"/>
      <c r="C60" s="650"/>
      <c r="D60" s="651"/>
      <c r="E60" s="616" t="str">
        <f> IF(ISERROR(vlookup(C60,RadioFreqs,2,FALSE)), "", vlookup(C60,RadioFreqs,2,FALSE))</f>
        <v/>
      </c>
      <c r="F60" s="617" t="str">
        <f> IF(ISERROR(vlookup(C60,RadioFreqs,3,FALSE)), "", vlookup(C60,RadioFreqs,3,FALSE))</f>
        <v/>
      </c>
      <c r="G60" s="618" t="str">
        <f> IF(ISERROR(vlookup(C60,RadioFreqs,4,FALSE)), "", vlookup(C60,RadioFreqs,4,FALSE))</f>
        <v/>
      </c>
      <c r="H60" s="617" t="str">
        <f> IF(ISERROR(vlookup(C60,RadioFreqs,5,FALSE)), "", vlookup(C60,RadioFreqs,5,FALSE))</f>
        <v/>
      </c>
      <c r="I60" s="618" t="str">
        <f> IF(ISERROR(vlookup(C60,RadioFreqs,6,FALSE)), "", vlookup(C60,RadioFreqs,6,FALSE))</f>
        <v/>
      </c>
      <c r="J60" s="619" t="str">
        <f> IF(ISERROR(vlookup(C60,RadioFreqs,7,FALSE)), "", vlookup(C60,RadioFreqs,7,FALSE))</f>
        <v/>
      </c>
      <c r="K60" s="643"/>
      <c r="L60" s="644"/>
      <c r="M60" s="644"/>
    </row>
    <row r="61">
      <c r="A61" s="628"/>
      <c r="B61" s="649"/>
      <c r="C61" s="650"/>
      <c r="D61" s="651"/>
      <c r="E61" s="616" t="str">
        <f> IF(ISERROR(vlookup(C61,RadioFreqs,2,FALSE)), "", vlookup(C61,RadioFreqs,2,FALSE))</f>
        <v/>
      </c>
      <c r="F61" s="617" t="str">
        <f> IF(ISERROR(vlookup(C61,RadioFreqs,3,FALSE)), "", vlookup(C61,RadioFreqs,3,FALSE))</f>
        <v/>
      </c>
      <c r="G61" s="618" t="str">
        <f> IF(ISERROR(vlookup(C61,RadioFreqs,4,FALSE)), "", vlookup(C61,RadioFreqs,4,FALSE))</f>
        <v/>
      </c>
      <c r="H61" s="617" t="str">
        <f> IF(ISERROR(vlookup(C61,RadioFreqs,5,FALSE)), "", vlookup(C61,RadioFreqs,5,FALSE))</f>
        <v/>
      </c>
      <c r="I61" s="618" t="str">
        <f> IF(ISERROR(vlookup(C61,RadioFreqs,6,FALSE)), "", vlookup(C61,RadioFreqs,6,FALSE))</f>
        <v/>
      </c>
      <c r="J61" s="619" t="str">
        <f> IF(ISERROR(vlookup(C61,RadioFreqs,7,FALSE)), "", vlookup(C61,RadioFreqs,7,FALSE))</f>
        <v/>
      </c>
      <c r="K61" s="643"/>
      <c r="L61" s="644"/>
      <c r="M61" s="644"/>
    </row>
    <row r="62">
      <c r="A62" s="628"/>
      <c r="B62" s="649"/>
      <c r="C62" s="650"/>
      <c r="D62" s="651"/>
      <c r="E62" s="616" t="str">
        <f> IF(ISERROR(vlookup(C62,RadioFreqs,2,FALSE)), "", vlookup(C62,RadioFreqs,2,FALSE))</f>
        <v/>
      </c>
      <c r="F62" s="617" t="str">
        <f> IF(ISERROR(vlookup(C62,RadioFreqs,3,FALSE)), "", vlookup(C62,RadioFreqs,3,FALSE))</f>
        <v/>
      </c>
      <c r="G62" s="618" t="str">
        <f> IF(ISERROR(vlookup(C62,RadioFreqs,4,FALSE)), "", vlookup(C62,RadioFreqs,4,FALSE))</f>
        <v/>
      </c>
      <c r="H62" s="617" t="str">
        <f> IF(ISERROR(vlookup(C62,RadioFreqs,5,FALSE)), "", vlookup(C62,RadioFreqs,5,FALSE))</f>
        <v/>
      </c>
      <c r="I62" s="618" t="str">
        <f> IF(ISERROR(vlookup(C62,RadioFreqs,6,FALSE)), "", vlookup(C62,RadioFreqs,6,FALSE))</f>
        <v/>
      </c>
      <c r="J62" s="619" t="str">
        <f> IF(ISERROR(vlookup(C62,RadioFreqs,7,FALSE)), "", vlookup(C62,RadioFreqs,7,FALSE))</f>
        <v/>
      </c>
      <c r="K62" s="643"/>
      <c r="L62" s="644"/>
      <c r="M62" s="644"/>
    </row>
    <row r="63">
      <c r="A63" s="628"/>
      <c r="B63" s="649"/>
      <c r="C63" s="650"/>
      <c r="D63" s="651"/>
      <c r="E63" s="616" t="str">
        <f> IF(ISERROR(vlookup(C63,RadioFreqs,2,FALSE)), "", vlookup(C63,RadioFreqs,2,FALSE))</f>
        <v/>
      </c>
      <c r="F63" s="617" t="str">
        <f> IF(ISERROR(vlookup(C63,RadioFreqs,3,FALSE)), "", vlookup(C63,RadioFreqs,3,FALSE))</f>
        <v/>
      </c>
      <c r="G63" s="618" t="str">
        <f> IF(ISERROR(vlookup(C63,RadioFreqs,4,FALSE)), "", vlookup(C63,RadioFreqs,4,FALSE))</f>
        <v/>
      </c>
      <c r="H63" s="617" t="str">
        <f> IF(ISERROR(vlookup(C63,RadioFreqs,5,FALSE)), "", vlookup(C63,RadioFreqs,5,FALSE))</f>
        <v/>
      </c>
      <c r="I63" s="618" t="str">
        <f> IF(ISERROR(vlookup(C63,RadioFreqs,6,FALSE)), "", vlookup(C63,RadioFreqs,6,FALSE))</f>
        <v/>
      </c>
      <c r="J63" s="619" t="str">
        <f> IF(ISERROR(vlookup(C63,RadioFreqs,7,FALSE)), "", vlookup(C63,RadioFreqs,7,FALSE))</f>
        <v/>
      </c>
      <c r="K63" s="643"/>
      <c r="L63" s="644"/>
      <c r="M63" s="644"/>
    </row>
    <row r="64">
      <c r="A64" s="628"/>
      <c r="B64" s="649"/>
      <c r="C64" s="650"/>
      <c r="D64" s="651"/>
      <c r="E64" s="616" t="str">
        <f> IF(ISERROR(vlookup(C64,RadioFreqs,2,FALSE)), "", vlookup(C64,RadioFreqs,2,FALSE))</f>
        <v/>
      </c>
      <c r="F64" s="617" t="str">
        <f> IF(ISERROR(vlookup(C64,RadioFreqs,3,FALSE)), "", vlookup(C64,RadioFreqs,3,FALSE))</f>
        <v/>
      </c>
      <c r="G64" s="618" t="str">
        <f> IF(ISERROR(vlookup(C64,RadioFreqs,4,FALSE)), "", vlookup(C64,RadioFreqs,4,FALSE))</f>
        <v/>
      </c>
      <c r="H64" s="617" t="str">
        <f> IF(ISERROR(vlookup(C64,RadioFreqs,5,FALSE)), "", vlookup(C64,RadioFreqs,5,FALSE))</f>
        <v/>
      </c>
      <c r="I64" s="618" t="str">
        <f> IF(ISERROR(vlookup(C64,RadioFreqs,6,FALSE)), "", vlookup(C64,RadioFreqs,6,FALSE))</f>
        <v/>
      </c>
      <c r="J64" s="619" t="str">
        <f> IF(ISERROR(vlookup(C64,RadioFreqs,7,FALSE)), "", vlookup(C64,RadioFreqs,7,FALSE))</f>
        <v/>
      </c>
      <c r="K64" s="643"/>
      <c r="L64" s="644"/>
      <c r="M64" s="644"/>
    </row>
    <row r="65">
      <c r="A65" s="628"/>
      <c r="B65" s="649"/>
      <c r="C65" s="653"/>
      <c r="D65" s="654"/>
      <c r="E65" s="616" t="str">
        <f> IF(ISERROR(vlookup(C65,RadioFreqs,2,FALSE)), "", vlookup(C65,RadioFreqs,2,FALSE))</f>
        <v/>
      </c>
      <c r="F65" s="617" t="str">
        <f> IF(ISERROR(vlookup(C65,RadioFreqs,3,FALSE)), "", vlookup(C65,RadioFreqs,3,FALSE))</f>
        <v/>
      </c>
      <c r="G65" s="618" t="str">
        <f> IF(ISERROR(vlookup(C65,RadioFreqs,4,FALSE)), "", vlookup(C65,RadioFreqs,4,FALSE))</f>
        <v/>
      </c>
      <c r="H65" s="617" t="str">
        <f> IF(ISERROR(vlookup(C65,RadioFreqs,5,FALSE)), "", vlookup(C65,RadioFreqs,5,FALSE))</f>
        <v/>
      </c>
      <c r="I65" s="618" t="str">
        <f> IF(ISERROR(vlookup(C65,RadioFreqs,6,FALSE)), "", vlookup(C65,RadioFreqs,6,FALSE))</f>
        <v/>
      </c>
      <c r="J65" s="619" t="str">
        <f> IF(ISERROR(vlookup(C65,RadioFreqs,7,FALSE)), "", vlookup(C65,RadioFreqs,7,FALSE))</f>
        <v/>
      </c>
      <c r="K65" s="643"/>
      <c r="L65" s="644"/>
      <c r="M65" s="644"/>
    </row>
    <row r="66">
      <c r="A66" s="628"/>
      <c r="B66" s="649"/>
      <c r="C66" s="653"/>
      <c r="D66" s="654"/>
      <c r="E66" s="616" t="str">
        <f> IF(ISERROR(vlookup(C66,RadioFreqs,2,FALSE)), "", vlookup(C66,RadioFreqs,2,FALSE))</f>
        <v/>
      </c>
      <c r="F66" s="617" t="str">
        <f> IF(ISERROR(vlookup(C66,RadioFreqs,3,FALSE)), "", vlookup(C66,RadioFreqs,3,FALSE))</f>
        <v/>
      </c>
      <c r="G66" s="618" t="str">
        <f> IF(ISERROR(vlookup(C66,RadioFreqs,4,FALSE)), "", vlookup(C66,RadioFreqs,4,FALSE))</f>
        <v/>
      </c>
      <c r="H66" s="617" t="str">
        <f> IF(ISERROR(vlookup(C66,RadioFreqs,5,FALSE)), "", vlookup(C66,RadioFreqs,5,FALSE))</f>
        <v/>
      </c>
      <c r="I66" s="618" t="str">
        <f> IF(ISERROR(vlookup(C66,RadioFreqs,6,FALSE)), "", vlookup(C66,RadioFreqs,6,FALSE))</f>
        <v/>
      </c>
      <c r="J66" s="619" t="str">
        <f> IF(ISERROR(vlookup(C66,RadioFreqs,7,FALSE)), "", vlookup(C66,RadioFreqs,7,FALSE))</f>
        <v/>
      </c>
      <c r="K66" s="643"/>
      <c r="L66" s="644"/>
      <c r="M66" s="644"/>
    </row>
    <row r="67">
      <c r="A67" s="628"/>
      <c r="B67" s="649"/>
      <c r="C67" s="653"/>
      <c r="D67" s="654"/>
      <c r="E67" s="616" t="str">
        <f> IF(ISERROR(vlookup(C67,RadioFreqs,2,FALSE)), "", vlookup(C67,RadioFreqs,2,FALSE))</f>
        <v/>
      </c>
      <c r="F67" s="617" t="str">
        <f> IF(ISERROR(vlookup(C67,RadioFreqs,3,FALSE)), "", vlookup(C67,RadioFreqs,3,FALSE))</f>
        <v/>
      </c>
      <c r="G67" s="618" t="str">
        <f> IF(ISERROR(vlookup(C67,RadioFreqs,4,FALSE)), "", vlookup(C67,RadioFreqs,4,FALSE))</f>
        <v/>
      </c>
      <c r="H67" s="617" t="str">
        <f> IF(ISERROR(vlookup(C67,RadioFreqs,5,FALSE)), "", vlookup(C67,RadioFreqs,5,FALSE))</f>
        <v/>
      </c>
      <c r="I67" s="618" t="str">
        <f> IF(ISERROR(vlookup(C67,RadioFreqs,6,FALSE)), "", vlookup(C67,RadioFreqs,6,FALSE))</f>
        <v/>
      </c>
      <c r="J67" s="619" t="str">
        <f> IF(ISERROR(vlookup(C67,RadioFreqs,7,FALSE)), "", vlookup(C67,RadioFreqs,7,FALSE))</f>
        <v/>
      </c>
      <c r="K67" s="643"/>
      <c r="L67" s="644"/>
      <c r="M67" s="644"/>
    </row>
    <row r="68">
      <c r="A68" s="607" t="s">
        <v>536</v>
      </c>
      <c r="B68" s="608" t="s">
        <v>537</v>
      </c>
      <c r="C68" s="609"/>
      <c r="D68" s="609"/>
      <c r="E68" s="609"/>
      <c r="F68" s="609"/>
      <c r="G68" s="609"/>
      <c r="H68" s="609"/>
      <c r="I68" s="609"/>
      <c r="J68" s="609"/>
      <c r="K68" s="610"/>
      <c r="L68" s="611"/>
      <c r="M68" s="611"/>
    </row>
    <row r="69">
      <c r="A69" s="612" t="s">
        <v>494</v>
      </c>
      <c r="B69" s="645" t="s">
        <v>538</v>
      </c>
      <c r="C69" s="646" t="s">
        <v>539</v>
      </c>
      <c r="D69" s="647" t="s">
        <v>511</v>
      </c>
      <c r="E69" s="616" t="str">
        <f> IF(ISERROR(vlookup(C69,RadioFreqs,2,FALSE)), "", vlookup(C69,RadioFreqs,2,FALSE))</f>
        <v>COMMAND</v>
      </c>
      <c r="F69" s="617">
        <f> IF(ISERROR(vlookup(C69,RadioFreqs,3,FALSE)), "", vlookup(C69,RadioFreqs,3,FALSE))</f>
        <v>151.265</v>
      </c>
      <c r="G69" s="618" t="str">
        <f> IF(ISERROR(vlookup(C69,RadioFreqs,4,FALSE)), "", vlookup(C69,RadioFreqs,4,FALSE))</f>
        <v>(T8)  103.5</v>
      </c>
      <c r="H69" s="617">
        <f> IF(ISERROR(vlookup(C69,RadioFreqs,5,FALSE)), "", vlookup(C69,RadioFreqs,5,FALSE))</f>
        <v>159.33</v>
      </c>
      <c r="I69" s="618" t="str">
        <f> IF(ISERROR(vlookup(C69,RadioFreqs,6,FALSE)), "", vlookup(C69,RadioFreqs,6,FALSE))</f>
        <v>OST</v>
      </c>
      <c r="J69" s="619" t="str">
        <f> IF(ISERROR(vlookup(C69,RadioFreqs,7,FALSE)), "", vlookup(C69,RadioFreqs,7,FALSE))</f>
        <v>A</v>
      </c>
      <c r="K69" s="620"/>
      <c r="L69" s="621"/>
      <c r="M69" s="621"/>
    </row>
    <row r="70">
      <c r="A70" s="648" t="s">
        <v>499</v>
      </c>
      <c r="B70" s="649" t="s">
        <v>540</v>
      </c>
      <c r="C70" s="650" t="s">
        <v>500</v>
      </c>
      <c r="D70" s="651" t="s">
        <v>513</v>
      </c>
      <c r="E70" s="616" t="str">
        <f> IF(ISERROR(vlookup(C70,RadioFreqs,2,FALSE)), "", vlookup(C70,RadioFreqs,2,FALSE))</f>
        <v>TACTICAL</v>
      </c>
      <c r="F70" s="617">
        <f> IF(ISERROR(vlookup(C70,RadioFreqs,3,FALSE)), "", vlookup(C70,RadioFreqs,3,FALSE))</f>
        <v>156.075</v>
      </c>
      <c r="G70" s="618" t="str">
        <f> IF(ISERROR(vlookup(C70,RadioFreqs,4,FALSE)), "", vlookup(C70,RadioFreqs,4,FALSE))</f>
        <v>(T6)  156.7</v>
      </c>
      <c r="H70" s="617">
        <f> IF(ISERROR(vlookup(C70,RadioFreqs,5,FALSE)), "", vlookup(C70,RadioFreqs,5,FALSE))</f>
        <v>156.075</v>
      </c>
      <c r="I70" s="618" t="str">
        <f> IF(ISERROR(vlookup(C70,RadioFreqs,6,FALSE)), "", vlookup(C70,RadioFreqs,6,FALSE))</f>
        <v>(T6)  156.7</v>
      </c>
      <c r="J70" s="619" t="str">
        <f> IF(ISERROR(vlookup(C70,RadioFreqs,7,FALSE)), "", vlookup(C70,RadioFreqs,7,FALSE))</f>
        <v>A</v>
      </c>
      <c r="K70" s="620"/>
      <c r="L70" s="621"/>
      <c r="M70" s="621"/>
    </row>
    <row r="71">
      <c r="A71" s="648" t="s">
        <v>497</v>
      </c>
      <c r="B71" s="649" t="s">
        <v>541</v>
      </c>
      <c r="C71" s="650" t="s">
        <v>542</v>
      </c>
      <c r="D71" s="651" t="s">
        <v>496</v>
      </c>
      <c r="E71" s="616" t="str">
        <f> IF(ISERROR(vlookup(C71,RadioFreqs,2,FALSE)), "", vlookup(C71,RadioFreqs,2,FALSE))</f>
        <v>A/G</v>
      </c>
      <c r="F71" s="617">
        <f> IF(ISERROR(vlookup(C71,RadioFreqs,3,FALSE)), "", vlookup(C71,RadioFreqs,3,FALSE))</f>
        <v>168.325</v>
      </c>
      <c r="G71" s="618" t="str">
        <f> IF(ISERROR(vlookup(C71,RadioFreqs,4,FALSE)), "", vlookup(C71,RadioFreqs,4,FALSE))</f>
        <v/>
      </c>
      <c r="H71" s="617">
        <f> IF(ISERROR(vlookup(C71,RadioFreqs,5,FALSE)), "", vlookup(C71,RadioFreqs,5,FALSE))</f>
        <v>168.325</v>
      </c>
      <c r="I71" s="618">
        <f> IF(ISERROR(vlookup(C71,RadioFreqs,6,FALSE)), "", vlookup(C71,RadioFreqs,6,FALSE))</f>
        <v>0</v>
      </c>
      <c r="J71" s="619" t="str">
        <f> IF(ISERROR(vlookup(C71,RadioFreqs,7,FALSE)), "", vlookup(C71,RadioFreqs,7,FALSE))</f>
        <v>A</v>
      </c>
      <c r="K71" s="620"/>
      <c r="L71" s="621"/>
      <c r="M71" s="621"/>
    </row>
    <row r="72">
      <c r="A72" s="648" t="s">
        <v>501</v>
      </c>
      <c r="B72" s="649" t="s">
        <v>543</v>
      </c>
      <c r="C72" s="650" t="s">
        <v>516</v>
      </c>
      <c r="D72" s="652" t="s">
        <v>501</v>
      </c>
      <c r="E72" s="616" t="str">
        <f> IF(ISERROR(vlookup(C72,RadioFreqs,2,FALSE)), "", vlookup(C72,RadioFreqs,2,FALSE))</f>
        <v>AIRGUARD</v>
      </c>
      <c r="F72" s="617">
        <f> IF(ISERROR(vlookup(C72,RadioFreqs,3,FALSE)), "", vlookup(C72,RadioFreqs,3,FALSE))</f>
        <v>168.625</v>
      </c>
      <c r="G72" s="618">
        <f> IF(ISERROR(vlookup(C72,RadioFreqs,4,FALSE)), "", vlookup(C72,RadioFreqs,4,FALSE))</f>
        <v>0</v>
      </c>
      <c r="H72" s="617">
        <f> IF(ISERROR(vlookup(C72,RadioFreqs,5,FALSE)), "", vlookup(C72,RadioFreqs,5,FALSE))</f>
        <v>168.625</v>
      </c>
      <c r="I72" s="618" t="str">
        <f> IF(ISERROR(vlookup(C72,RadioFreqs,6,FALSE)), "", vlookup(C72,RadioFreqs,6,FALSE))</f>
        <v>(T1)  110.9</v>
      </c>
      <c r="J72" s="619" t="str">
        <f> IF(ISERROR(vlookup(C72,RadioFreqs,7,FALSE)), "", vlookup(C72,RadioFreqs,7,FALSE))</f>
        <v>A</v>
      </c>
      <c r="K72" s="620"/>
      <c r="L72" s="621"/>
      <c r="M72" s="621"/>
    </row>
    <row r="73">
      <c r="A73" s="628"/>
      <c r="B73" s="649"/>
      <c r="C73" s="653"/>
      <c r="D73" s="654"/>
      <c r="E73" s="616" t="str">
        <f> IF(ISERROR(vlookup(C73,RadioFreqs,2,FALSE)), "", vlookup(C73,RadioFreqs,2,FALSE))</f>
        <v/>
      </c>
      <c r="F73" s="617" t="str">
        <f> IF(ISERROR(vlookup(C73,RadioFreqs,3,FALSE)), "", vlookup(C73,RadioFreqs,3,FALSE))</f>
        <v/>
      </c>
      <c r="G73" s="618" t="str">
        <f> IF(ISERROR(vlookup(C73,RadioFreqs,4,FALSE)), "", vlookup(C73,RadioFreqs,4,FALSE))</f>
        <v/>
      </c>
      <c r="H73" s="617" t="str">
        <f> IF(ISERROR(vlookup(C73,RadioFreqs,5,FALSE)), "", vlookup(C73,RadioFreqs,5,FALSE))</f>
        <v/>
      </c>
      <c r="I73" s="618" t="str">
        <f> IF(ISERROR(vlookup(C73,RadioFreqs,6,FALSE)), "", vlookup(C73,RadioFreqs,6,FALSE))</f>
        <v/>
      </c>
      <c r="J73" s="619" t="str">
        <f> IF(ISERROR(vlookup(C73,RadioFreqs,7,FALSE)), "", vlookup(C73,RadioFreqs,7,FALSE))</f>
        <v/>
      </c>
      <c r="K73" s="643"/>
      <c r="L73" s="644"/>
      <c r="M73" s="644"/>
    </row>
    <row r="74">
      <c r="A74" s="628"/>
      <c r="B74" s="649"/>
      <c r="C74" s="653"/>
      <c r="D74" s="654"/>
      <c r="E74" s="616" t="str">
        <f> IF(ISERROR(vlookup(C74,RadioFreqs,2,FALSE)), "", vlookup(C74,RadioFreqs,2,FALSE))</f>
        <v/>
      </c>
      <c r="F74" s="617" t="str">
        <f> IF(ISERROR(vlookup(C74,RadioFreqs,3,FALSE)), "", vlookup(C74,RadioFreqs,3,FALSE))</f>
        <v/>
      </c>
      <c r="G74" s="618" t="str">
        <f> IF(ISERROR(vlookup(C74,RadioFreqs,4,FALSE)), "", vlookup(C74,RadioFreqs,4,FALSE))</f>
        <v/>
      </c>
      <c r="H74" s="617" t="str">
        <f> IF(ISERROR(vlookup(C74,RadioFreqs,5,FALSE)), "", vlookup(C74,RadioFreqs,5,FALSE))</f>
        <v/>
      </c>
      <c r="I74" s="618" t="str">
        <f> IF(ISERROR(vlookup(C74,RadioFreqs,6,FALSE)), "", vlookup(C74,RadioFreqs,6,FALSE))</f>
        <v/>
      </c>
      <c r="J74" s="619" t="str">
        <f> IF(ISERROR(vlookup(C74,RadioFreqs,7,FALSE)), "", vlookup(C74,RadioFreqs,7,FALSE))</f>
        <v/>
      </c>
      <c r="K74" s="643"/>
      <c r="L74" s="644"/>
      <c r="M74" s="644"/>
    </row>
    <row r="75">
      <c r="A75" s="628"/>
      <c r="B75" s="649"/>
      <c r="C75" s="653"/>
      <c r="D75" s="654"/>
      <c r="E75" s="616" t="str">
        <f> IF(ISERROR(vlookup(C75,RadioFreqs,2,FALSE)), "", vlookup(C75,RadioFreqs,2,FALSE))</f>
        <v/>
      </c>
      <c r="F75" s="617" t="str">
        <f> IF(ISERROR(vlookup(C75,RadioFreqs,3,FALSE)), "", vlookup(C75,RadioFreqs,3,FALSE))</f>
        <v/>
      </c>
      <c r="G75" s="618" t="str">
        <f> IF(ISERROR(vlookup(C75,RadioFreqs,4,FALSE)), "", vlookup(C75,RadioFreqs,4,FALSE))</f>
        <v/>
      </c>
      <c r="H75" s="617" t="str">
        <f> IF(ISERROR(vlookup(C75,RadioFreqs,5,FALSE)), "", vlookup(C75,RadioFreqs,5,FALSE))</f>
        <v/>
      </c>
      <c r="I75" s="618" t="str">
        <f> IF(ISERROR(vlookup(C75,RadioFreqs,6,FALSE)), "", vlookup(C75,RadioFreqs,6,FALSE))</f>
        <v/>
      </c>
      <c r="J75" s="619" t="str">
        <f> IF(ISERROR(vlookup(C75,RadioFreqs,7,FALSE)), "", vlookup(C75,RadioFreqs,7,FALSE))</f>
        <v/>
      </c>
      <c r="K75" s="643"/>
      <c r="L75" s="644"/>
      <c r="M75" s="644"/>
    </row>
    <row r="76">
      <c r="A76" s="628"/>
      <c r="B76" s="649"/>
      <c r="C76" s="653"/>
      <c r="D76" s="654"/>
      <c r="E76" s="616" t="str">
        <f> IF(ISERROR(vlookup(C76,RadioFreqs,2,FALSE)), "", vlookup(C76,RadioFreqs,2,FALSE))</f>
        <v/>
      </c>
      <c r="F76" s="617" t="str">
        <f> IF(ISERROR(vlookup(C76,RadioFreqs,3,FALSE)), "", vlookup(C76,RadioFreqs,3,FALSE))</f>
        <v/>
      </c>
      <c r="G76" s="618" t="str">
        <f> IF(ISERROR(vlookup(C76,RadioFreqs,4,FALSE)), "", vlookup(C76,RadioFreqs,4,FALSE))</f>
        <v/>
      </c>
      <c r="H76" s="617" t="str">
        <f> IF(ISERROR(vlookup(C76,RadioFreqs,5,FALSE)), "", vlookup(C76,RadioFreqs,5,FALSE))</f>
        <v/>
      </c>
      <c r="I76" s="618" t="str">
        <f> IF(ISERROR(vlookup(C76,RadioFreqs,6,FALSE)), "", vlookup(C76,RadioFreqs,6,FALSE))</f>
        <v/>
      </c>
      <c r="J76" s="619" t="str">
        <f> IF(ISERROR(vlookup(C76,RadioFreqs,7,FALSE)), "", vlookup(C76,RadioFreqs,7,FALSE))</f>
        <v/>
      </c>
      <c r="K76" s="643"/>
      <c r="L76" s="644"/>
      <c r="M76" s="644"/>
    </row>
    <row r="77">
      <c r="A77" s="628"/>
      <c r="B77" s="649"/>
      <c r="C77" s="653"/>
      <c r="D77" s="654"/>
      <c r="E77" s="616" t="str">
        <f> IF(ISERROR(vlookup(C77,RadioFreqs,2,FALSE)), "", vlookup(C77,RadioFreqs,2,FALSE))</f>
        <v/>
      </c>
      <c r="F77" s="617" t="str">
        <f> IF(ISERROR(vlookup(C77,RadioFreqs,3,FALSE)), "", vlookup(C77,RadioFreqs,3,FALSE))</f>
        <v/>
      </c>
      <c r="G77" s="618" t="str">
        <f> IF(ISERROR(vlookup(C77,RadioFreqs,4,FALSE)), "", vlookup(C77,RadioFreqs,4,FALSE))</f>
        <v/>
      </c>
      <c r="H77" s="617" t="str">
        <f> IF(ISERROR(vlookup(C77,RadioFreqs,5,FALSE)), "", vlookup(C77,RadioFreqs,5,FALSE))</f>
        <v/>
      </c>
      <c r="I77" s="618" t="str">
        <f> IF(ISERROR(vlookup(C77,RadioFreqs,6,FALSE)), "", vlookup(C77,RadioFreqs,6,FALSE))</f>
        <v/>
      </c>
      <c r="J77" s="619" t="str">
        <f> IF(ISERROR(vlookup(C77,RadioFreqs,7,FALSE)), "", vlookup(C77,RadioFreqs,7,FALSE))</f>
        <v/>
      </c>
      <c r="K77" s="643"/>
      <c r="L77" s="644"/>
      <c r="M77" s="644"/>
    </row>
    <row r="78">
      <c r="A78" s="628"/>
      <c r="B78" s="649"/>
      <c r="C78" s="653"/>
      <c r="D78" s="654"/>
      <c r="E78" s="616" t="str">
        <f> IF(ISERROR(vlookup(C78,RadioFreqs,2,FALSE)), "", vlookup(C78,RadioFreqs,2,FALSE))</f>
        <v/>
      </c>
      <c r="F78" s="617" t="str">
        <f> IF(ISERROR(vlookup(C78,RadioFreqs,3,FALSE)), "", vlookup(C78,RadioFreqs,3,FALSE))</f>
        <v/>
      </c>
      <c r="G78" s="618" t="str">
        <f> IF(ISERROR(vlookup(C78,RadioFreqs,4,FALSE)), "", vlookup(C78,RadioFreqs,4,FALSE))</f>
        <v/>
      </c>
      <c r="H78" s="617" t="str">
        <f> IF(ISERROR(vlookup(C78,RadioFreqs,5,FALSE)), "", vlookup(C78,RadioFreqs,5,FALSE))</f>
        <v/>
      </c>
      <c r="I78" s="618" t="str">
        <f> IF(ISERROR(vlookup(C78,RadioFreqs,6,FALSE)), "", vlookup(C78,RadioFreqs,6,FALSE))</f>
        <v/>
      </c>
      <c r="J78" s="619" t="str">
        <f> IF(ISERROR(vlookup(C78,RadioFreqs,7,FALSE)), "", vlookup(C78,RadioFreqs,7,FALSE))</f>
        <v/>
      </c>
      <c r="K78" s="643"/>
      <c r="L78" s="644"/>
      <c r="M78" s="644"/>
    </row>
    <row r="79">
      <c r="A79" s="628"/>
      <c r="B79" s="649"/>
      <c r="C79" s="653"/>
      <c r="D79" s="654"/>
      <c r="E79" s="616" t="str">
        <f> IF(ISERROR(vlookup(C79,RadioFreqs,2,FALSE)), "", vlookup(C79,RadioFreqs,2,FALSE))</f>
        <v/>
      </c>
      <c r="F79" s="617" t="str">
        <f> IF(ISERROR(vlookup(C79,RadioFreqs,3,FALSE)), "", vlookup(C79,RadioFreqs,3,FALSE))</f>
        <v/>
      </c>
      <c r="G79" s="618" t="str">
        <f> IF(ISERROR(vlookup(C79,RadioFreqs,4,FALSE)), "", vlookup(C79,RadioFreqs,4,FALSE))</f>
        <v/>
      </c>
      <c r="H79" s="617" t="str">
        <f> IF(ISERROR(vlookup(C79,RadioFreqs,5,FALSE)), "", vlookup(C79,RadioFreqs,5,FALSE))</f>
        <v/>
      </c>
      <c r="I79" s="618" t="str">
        <f> IF(ISERROR(vlookup(C79,RadioFreqs,6,FALSE)), "", vlookup(C79,RadioFreqs,6,FALSE))</f>
        <v/>
      </c>
      <c r="J79" s="619" t="str">
        <f> IF(ISERROR(vlookup(C79,RadioFreqs,7,FALSE)), "", vlookup(C79,RadioFreqs,7,FALSE))</f>
        <v/>
      </c>
      <c r="K79" s="643"/>
      <c r="L79" s="644"/>
      <c r="M79" s="644"/>
    </row>
    <row r="80">
      <c r="A80" s="628"/>
      <c r="B80" s="649"/>
      <c r="C80" s="653"/>
      <c r="D80" s="654"/>
      <c r="E80" s="616" t="str">
        <f> IF(ISERROR(vlookup(C80,RadioFreqs,2,FALSE)), "", vlookup(C80,RadioFreqs,2,FALSE))</f>
        <v/>
      </c>
      <c r="F80" s="617" t="str">
        <f> IF(ISERROR(vlookup(C80,RadioFreqs,3,FALSE)), "", vlookup(C80,RadioFreqs,3,FALSE))</f>
        <v/>
      </c>
      <c r="G80" s="618" t="str">
        <f> IF(ISERROR(vlookup(C80,RadioFreqs,4,FALSE)), "", vlookup(C80,RadioFreqs,4,FALSE))</f>
        <v/>
      </c>
      <c r="H80" s="617" t="str">
        <f> IF(ISERROR(vlookup(C80,RadioFreqs,5,FALSE)), "", vlookup(C80,RadioFreqs,5,FALSE))</f>
        <v/>
      </c>
      <c r="I80" s="618" t="str">
        <f> IF(ISERROR(vlookup(C80,RadioFreqs,6,FALSE)), "", vlookup(C80,RadioFreqs,6,FALSE))</f>
        <v/>
      </c>
      <c r="J80" s="619" t="str">
        <f> IF(ISERROR(vlookup(C80,RadioFreqs,7,FALSE)), "", vlookup(C80,RadioFreqs,7,FALSE))</f>
        <v/>
      </c>
      <c r="K80" s="643"/>
      <c r="L80" s="644"/>
      <c r="M80" s="644"/>
    </row>
    <row r="81">
      <c r="A81" s="628"/>
      <c r="B81" s="649"/>
      <c r="C81" s="653"/>
      <c r="D81" s="654"/>
      <c r="E81" s="616" t="str">
        <f> IF(ISERROR(vlookup(C81,RadioFreqs,2,FALSE)), "", vlookup(C81,RadioFreqs,2,FALSE))</f>
        <v/>
      </c>
      <c r="F81" s="617" t="str">
        <f> IF(ISERROR(vlookup(C81,RadioFreqs,3,FALSE)), "", vlookup(C81,RadioFreqs,3,FALSE))</f>
        <v/>
      </c>
      <c r="G81" s="618" t="str">
        <f> IF(ISERROR(vlookup(C81,RadioFreqs,4,FALSE)), "", vlookup(C81,RadioFreqs,4,FALSE))</f>
        <v/>
      </c>
      <c r="H81" s="617" t="str">
        <f> IF(ISERROR(vlookup(C81,RadioFreqs,5,FALSE)), "", vlookup(C81,RadioFreqs,5,FALSE))</f>
        <v/>
      </c>
      <c r="I81" s="618" t="str">
        <f> IF(ISERROR(vlookup(C81,RadioFreqs,6,FALSE)), "", vlookup(C81,RadioFreqs,6,FALSE))</f>
        <v/>
      </c>
      <c r="J81" s="619" t="str">
        <f> IF(ISERROR(vlookup(C81,RadioFreqs,7,FALSE)), "", vlookup(C81,RadioFreqs,7,FALSE))</f>
        <v/>
      </c>
      <c r="K81" s="643"/>
      <c r="L81" s="644"/>
      <c r="M81" s="644"/>
    </row>
    <row r="82">
      <c r="A82" s="628"/>
      <c r="B82" s="649"/>
      <c r="C82" s="653"/>
      <c r="D82" s="654"/>
      <c r="E82" s="616" t="str">
        <f> IF(ISERROR(vlookup(C82,RadioFreqs,2,FALSE)), "", vlookup(C82,RadioFreqs,2,FALSE))</f>
        <v/>
      </c>
      <c r="F82" s="617" t="str">
        <f> IF(ISERROR(vlookup(C82,RadioFreqs,3,FALSE)), "", vlookup(C82,RadioFreqs,3,FALSE))</f>
        <v/>
      </c>
      <c r="G82" s="618" t="str">
        <f> IF(ISERROR(vlookup(C82,RadioFreqs,4,FALSE)), "", vlookup(C82,RadioFreqs,4,FALSE))</f>
        <v/>
      </c>
      <c r="H82" s="617" t="str">
        <f> IF(ISERROR(vlookup(C82,RadioFreqs,5,FALSE)), "", vlookup(C82,RadioFreqs,5,FALSE))</f>
        <v/>
      </c>
      <c r="I82" s="618" t="str">
        <f> IF(ISERROR(vlookup(C82,RadioFreqs,6,FALSE)), "", vlookup(C82,RadioFreqs,6,FALSE))</f>
        <v/>
      </c>
      <c r="J82" s="619" t="str">
        <f> IF(ISERROR(vlookup(C82,RadioFreqs,7,FALSE)), "", vlookup(C82,RadioFreqs,7,FALSE))</f>
        <v/>
      </c>
      <c r="K82" s="643"/>
      <c r="L82" s="644"/>
      <c r="M82" s="644"/>
    </row>
    <row r="83">
      <c r="A83" s="628"/>
      <c r="B83" s="649"/>
      <c r="C83" s="653"/>
      <c r="D83" s="654"/>
      <c r="E83" s="616" t="str">
        <f> IF(ISERROR(vlookup(C83,RadioFreqs,2,FALSE)), "", vlookup(C83,RadioFreqs,2,FALSE))</f>
        <v/>
      </c>
      <c r="F83" s="617" t="str">
        <f> IF(ISERROR(vlookup(C83,RadioFreqs,3,FALSE)), "", vlookup(C83,RadioFreqs,3,FALSE))</f>
        <v/>
      </c>
      <c r="G83" s="618" t="str">
        <f> IF(ISERROR(vlookup(C83,RadioFreqs,4,FALSE)), "", vlookup(C83,RadioFreqs,4,FALSE))</f>
        <v/>
      </c>
      <c r="H83" s="617" t="str">
        <f> IF(ISERROR(vlookup(C83,RadioFreqs,5,FALSE)), "", vlookup(C83,RadioFreqs,5,FALSE))</f>
        <v/>
      </c>
      <c r="I83" s="618" t="str">
        <f> IF(ISERROR(vlookup(C83,RadioFreqs,6,FALSE)), "", vlookup(C83,RadioFreqs,6,FALSE))</f>
        <v/>
      </c>
      <c r="J83" s="619" t="str">
        <f> IF(ISERROR(vlookup(C83,RadioFreqs,7,FALSE)), "", vlookup(C83,RadioFreqs,7,FALSE))</f>
        <v/>
      </c>
      <c r="K83" s="643"/>
      <c r="L83" s="644"/>
      <c r="M83" s="644"/>
    </row>
    <row r="84">
      <c r="A84" s="628"/>
      <c r="B84" s="649"/>
      <c r="C84" s="653"/>
      <c r="D84" s="654"/>
      <c r="E84" s="616" t="str">
        <f> IF(ISERROR(vlookup(C84,RadioFreqs,2,FALSE)), "", vlookup(C84,RadioFreqs,2,FALSE))</f>
        <v/>
      </c>
      <c r="F84" s="617" t="str">
        <f> IF(ISERROR(vlookup(C84,RadioFreqs,3,FALSE)), "", vlookup(C84,RadioFreqs,3,FALSE))</f>
        <v/>
      </c>
      <c r="G84" s="618" t="str">
        <f> IF(ISERROR(vlookup(C84,RadioFreqs,4,FALSE)), "", vlookup(C84,RadioFreqs,4,FALSE))</f>
        <v/>
      </c>
      <c r="H84" s="617" t="str">
        <f> IF(ISERROR(vlookup(C84,RadioFreqs,5,FALSE)), "", vlookup(C84,RadioFreqs,5,FALSE))</f>
        <v/>
      </c>
      <c r="I84" s="618" t="str">
        <f> IF(ISERROR(vlookup(C84,RadioFreqs,6,FALSE)), "", vlookup(C84,RadioFreqs,6,FALSE))</f>
        <v/>
      </c>
      <c r="J84" s="619" t="str">
        <f> IF(ISERROR(vlookup(C84,RadioFreqs,7,FALSE)), "", vlookup(C84,RadioFreqs,7,FALSE))</f>
        <v/>
      </c>
      <c r="K84" s="643"/>
      <c r="L84" s="644"/>
      <c r="M84" s="644"/>
    </row>
    <row r="85">
      <c r="A85" s="628"/>
      <c r="B85" s="649"/>
      <c r="C85" s="653"/>
      <c r="D85" s="654"/>
      <c r="E85" s="616" t="str">
        <f> IF(ISERROR(vlookup(C85,RadioFreqs,2,FALSE)), "", vlookup(C85,RadioFreqs,2,FALSE))</f>
        <v/>
      </c>
      <c r="F85" s="617" t="str">
        <f> IF(ISERROR(vlookup(C85,RadioFreqs,3,FALSE)), "", vlookup(C85,RadioFreqs,3,FALSE))</f>
        <v/>
      </c>
      <c r="G85" s="618" t="str">
        <f> IF(ISERROR(vlookup(C85,RadioFreqs,4,FALSE)), "", vlookup(C85,RadioFreqs,4,FALSE))</f>
        <v/>
      </c>
      <c r="H85" s="617" t="str">
        <f> IF(ISERROR(vlookup(C85,RadioFreqs,5,FALSE)), "", vlookup(C85,RadioFreqs,5,FALSE))</f>
        <v/>
      </c>
      <c r="I85" s="618" t="str">
        <f> IF(ISERROR(vlookup(C85,RadioFreqs,6,FALSE)), "", vlookup(C85,RadioFreqs,6,FALSE))</f>
        <v/>
      </c>
      <c r="J85" s="619" t="str">
        <f> IF(ISERROR(vlookup(C85,RadioFreqs,7,FALSE)), "", vlookup(C85,RadioFreqs,7,FALSE))</f>
        <v/>
      </c>
      <c r="K85" s="643"/>
      <c r="L85" s="644"/>
      <c r="M85" s="644"/>
    </row>
    <row r="86">
      <c r="A86" s="628"/>
      <c r="B86" s="649"/>
      <c r="C86" s="653"/>
      <c r="D86" s="654"/>
      <c r="E86" s="616" t="str">
        <f> IF(ISERROR(vlookup(C86,RadioFreqs,2,FALSE)), "", vlookup(C86,RadioFreqs,2,FALSE))</f>
        <v/>
      </c>
      <c r="F86" s="617" t="str">
        <f> IF(ISERROR(vlookup(C86,RadioFreqs,3,FALSE)), "", vlookup(C86,RadioFreqs,3,FALSE))</f>
        <v/>
      </c>
      <c r="G86" s="618" t="str">
        <f> IF(ISERROR(vlookup(C86,RadioFreqs,4,FALSE)), "", vlookup(C86,RadioFreqs,4,FALSE))</f>
        <v/>
      </c>
      <c r="H86" s="617" t="str">
        <f> IF(ISERROR(vlookup(C86,RadioFreqs,5,FALSE)), "", vlookup(C86,RadioFreqs,5,FALSE))</f>
        <v/>
      </c>
      <c r="I86" s="618" t="str">
        <f> IF(ISERROR(vlookup(C86,RadioFreqs,6,FALSE)), "", vlookup(C86,RadioFreqs,6,FALSE))</f>
        <v/>
      </c>
      <c r="J86" s="619" t="str">
        <f> IF(ISERROR(vlookup(C86,RadioFreqs,7,FALSE)), "", vlookup(C86,RadioFreqs,7,FALSE))</f>
        <v/>
      </c>
      <c r="K86" s="643"/>
      <c r="L86" s="644"/>
      <c r="M86" s="644"/>
    </row>
    <row r="87">
      <c r="A87" s="628"/>
      <c r="B87" s="649"/>
      <c r="C87" s="653"/>
      <c r="D87" s="654"/>
      <c r="E87" s="616" t="str">
        <f> IF(ISERROR(vlookup(C87,RadioFreqs,2,FALSE)), "", vlookup(C87,RadioFreqs,2,FALSE))</f>
        <v/>
      </c>
      <c r="F87" s="617" t="str">
        <f> IF(ISERROR(vlookup(C87,RadioFreqs,3,FALSE)), "", vlookup(C87,RadioFreqs,3,FALSE))</f>
        <v/>
      </c>
      <c r="G87" s="618" t="str">
        <f> IF(ISERROR(vlookup(C87,RadioFreqs,4,FALSE)), "", vlookup(C87,RadioFreqs,4,FALSE))</f>
        <v/>
      </c>
      <c r="H87" s="617" t="str">
        <f> IF(ISERROR(vlookup(C87,RadioFreqs,5,FALSE)), "", vlookup(C87,RadioFreqs,5,FALSE))</f>
        <v/>
      </c>
      <c r="I87" s="618" t="str">
        <f> IF(ISERROR(vlookup(C87,RadioFreqs,6,FALSE)), "", vlookup(C87,RadioFreqs,6,FALSE))</f>
        <v/>
      </c>
      <c r="J87" s="619" t="str">
        <f> IF(ISERROR(vlookup(C87,RadioFreqs,7,FALSE)), "", vlookup(C87,RadioFreqs,7,FALSE))</f>
        <v/>
      </c>
      <c r="K87" s="643"/>
      <c r="L87" s="644"/>
      <c r="M87" s="644"/>
    </row>
    <row r="88">
      <c r="A88" s="628"/>
      <c r="B88" s="649"/>
      <c r="C88" s="653"/>
      <c r="D88" s="654"/>
      <c r="E88" s="616" t="str">
        <f> IF(ISERROR(vlookup(C88,RadioFreqs,2,FALSE)), "", vlookup(C88,RadioFreqs,2,FALSE))</f>
        <v/>
      </c>
      <c r="F88" s="617" t="str">
        <f> IF(ISERROR(vlookup(C88,RadioFreqs,3,FALSE)), "", vlookup(C88,RadioFreqs,3,FALSE))</f>
        <v/>
      </c>
      <c r="G88" s="618" t="str">
        <f> IF(ISERROR(vlookup(C88,RadioFreqs,4,FALSE)), "", vlookup(C88,RadioFreqs,4,FALSE))</f>
        <v/>
      </c>
      <c r="H88" s="617" t="str">
        <f> IF(ISERROR(vlookup(C88,RadioFreqs,5,FALSE)), "", vlookup(C88,RadioFreqs,5,FALSE))</f>
        <v/>
      </c>
      <c r="I88" s="618" t="str">
        <f> IF(ISERROR(vlookup(C88,RadioFreqs,6,FALSE)), "", vlookup(C88,RadioFreqs,6,FALSE))</f>
        <v/>
      </c>
      <c r="J88" s="619" t="str">
        <f> IF(ISERROR(vlookup(C88,RadioFreqs,7,FALSE)), "", vlookup(C88,RadioFreqs,7,FALSE))</f>
        <v/>
      </c>
      <c r="K88" s="643"/>
      <c r="L88" s="644"/>
      <c r="M88" s="644"/>
    </row>
    <row r="89">
      <c r="A89" s="628"/>
      <c r="B89" s="649"/>
      <c r="C89" s="653"/>
      <c r="D89" s="654"/>
      <c r="E89" s="616" t="str">
        <f> IF(ISERROR(vlookup(C89,RadioFreqs,2,FALSE)), "", vlookup(C89,RadioFreqs,2,FALSE))</f>
        <v/>
      </c>
      <c r="F89" s="617" t="str">
        <f> IF(ISERROR(vlookup(C89,RadioFreqs,3,FALSE)), "", vlookup(C89,RadioFreqs,3,FALSE))</f>
        <v/>
      </c>
      <c r="G89" s="618" t="str">
        <f> IF(ISERROR(vlookup(C89,RadioFreqs,4,FALSE)), "", vlookup(C89,RadioFreqs,4,FALSE))</f>
        <v/>
      </c>
      <c r="H89" s="617" t="str">
        <f> IF(ISERROR(vlookup(C89,RadioFreqs,5,FALSE)), "", vlookup(C89,RadioFreqs,5,FALSE))</f>
        <v/>
      </c>
      <c r="I89" s="618" t="str">
        <f> IF(ISERROR(vlookup(C89,RadioFreqs,6,FALSE)), "", vlookup(C89,RadioFreqs,6,FALSE))</f>
        <v/>
      </c>
      <c r="J89" s="619" t="str">
        <f> IF(ISERROR(vlookup(C89,RadioFreqs,7,FALSE)), "", vlookup(C89,RadioFreqs,7,FALSE))</f>
        <v/>
      </c>
      <c r="K89" s="643"/>
      <c r="L89" s="644"/>
      <c r="M89" s="644"/>
    </row>
    <row r="90">
      <c r="A90" s="628"/>
      <c r="B90" s="649"/>
      <c r="C90" s="653"/>
      <c r="D90" s="654"/>
      <c r="E90" s="616" t="str">
        <f> IF(ISERROR(vlookup(C90,RadioFreqs,2,FALSE)), "", vlookup(C90,RadioFreqs,2,FALSE))</f>
        <v/>
      </c>
      <c r="F90" s="617" t="str">
        <f> IF(ISERROR(vlookup(C90,RadioFreqs,3,FALSE)), "", vlookup(C90,RadioFreqs,3,FALSE))</f>
        <v/>
      </c>
      <c r="G90" s="618" t="str">
        <f> IF(ISERROR(vlookup(C90,RadioFreqs,4,FALSE)), "", vlookup(C90,RadioFreqs,4,FALSE))</f>
        <v/>
      </c>
      <c r="H90" s="617" t="str">
        <f> IF(ISERROR(vlookup(C90,RadioFreqs,5,FALSE)), "", vlookup(C90,RadioFreqs,5,FALSE))</f>
        <v/>
      </c>
      <c r="I90" s="618" t="str">
        <f> IF(ISERROR(vlookup(C90,RadioFreqs,6,FALSE)), "", vlookup(C90,RadioFreqs,6,FALSE))</f>
        <v/>
      </c>
      <c r="J90" s="619" t="str">
        <f> IF(ISERROR(vlookup(C90,RadioFreqs,7,FALSE)), "", vlookup(C90,RadioFreqs,7,FALSE))</f>
        <v/>
      </c>
      <c r="K90" s="643"/>
      <c r="L90" s="644"/>
      <c r="M90" s="644"/>
    </row>
    <row r="91">
      <c r="A91" s="628"/>
      <c r="B91" s="649"/>
      <c r="C91" s="653"/>
      <c r="D91" s="654"/>
      <c r="E91" s="616" t="str">
        <f> IF(ISERROR(vlookup(C91,RadioFreqs,2,FALSE)), "", vlookup(C91,RadioFreqs,2,FALSE))</f>
        <v/>
      </c>
      <c r="F91" s="617" t="str">
        <f> IF(ISERROR(vlookup(C91,RadioFreqs,3,FALSE)), "", vlookup(C91,RadioFreqs,3,FALSE))</f>
        <v/>
      </c>
      <c r="G91" s="618" t="str">
        <f> IF(ISERROR(vlookup(C91,RadioFreqs,4,FALSE)), "", vlookup(C91,RadioFreqs,4,FALSE))</f>
        <v/>
      </c>
      <c r="H91" s="617" t="str">
        <f> IF(ISERROR(vlookup(C91,RadioFreqs,5,FALSE)), "", vlookup(C91,RadioFreqs,5,FALSE))</f>
        <v/>
      </c>
      <c r="I91" s="618" t="str">
        <f> IF(ISERROR(vlookup(C91,RadioFreqs,6,FALSE)), "", vlookup(C91,RadioFreqs,6,FALSE))</f>
        <v/>
      </c>
      <c r="J91" s="619" t="str">
        <f> IF(ISERROR(vlookup(C91,RadioFreqs,7,FALSE)), "", vlookup(C91,RadioFreqs,7,FALSE))</f>
        <v/>
      </c>
      <c r="K91" s="643"/>
      <c r="L91" s="644"/>
      <c r="M91" s="644"/>
    </row>
    <row r="92">
      <c r="A92" s="628"/>
      <c r="B92" s="649"/>
      <c r="C92" s="653"/>
      <c r="D92" s="654"/>
      <c r="E92" s="616" t="str">
        <f> IF(ISERROR(vlookup(C92,RadioFreqs,2,FALSE)), "", vlookup(C92,RadioFreqs,2,FALSE))</f>
        <v/>
      </c>
      <c r="F92" s="617" t="str">
        <f> IF(ISERROR(vlookup(C92,RadioFreqs,3,FALSE)), "", vlookup(C92,RadioFreqs,3,FALSE))</f>
        <v/>
      </c>
      <c r="G92" s="618" t="str">
        <f> IF(ISERROR(vlookup(C92,RadioFreqs,4,FALSE)), "", vlookup(C92,RadioFreqs,4,FALSE))</f>
        <v/>
      </c>
      <c r="H92" s="617" t="str">
        <f> IF(ISERROR(vlookup(C92,RadioFreqs,5,FALSE)), "", vlookup(C92,RadioFreqs,5,FALSE))</f>
        <v/>
      </c>
      <c r="I92" s="618" t="str">
        <f> IF(ISERROR(vlookup(C92,RadioFreqs,6,FALSE)), "", vlookup(C92,RadioFreqs,6,FALSE))</f>
        <v/>
      </c>
      <c r="J92" s="619" t="str">
        <f> IF(ISERROR(vlookup(C92,RadioFreqs,7,FALSE)), "", vlookup(C92,RadioFreqs,7,FALSE))</f>
        <v/>
      </c>
      <c r="K92" s="643"/>
      <c r="L92" s="644"/>
      <c r="M92" s="644"/>
    </row>
    <row r="93">
      <c r="A93" s="655"/>
      <c r="B93" s="656"/>
      <c r="C93" s="657"/>
      <c r="D93" s="658"/>
      <c r="E93" s="616" t="str">
        <f> IF(ISERROR(vlookup(C93,RadioFreqs,2,FALSE)), "", vlookup(C93,RadioFreqs,2,FALSE))</f>
        <v/>
      </c>
      <c r="F93" s="617" t="str">
        <f> IF(ISERROR(vlookup(C93,RadioFreqs,3,FALSE)), "", vlookup(C93,RadioFreqs,3,FALSE))</f>
        <v/>
      </c>
      <c r="G93" s="618" t="str">
        <f> IF(ISERROR(vlookup(C93,RadioFreqs,4,FALSE)), "", vlookup(C93,RadioFreqs,4,FALSE))</f>
        <v/>
      </c>
      <c r="H93" s="617" t="str">
        <f> IF(ISERROR(vlookup(C93,RadioFreqs,5,FALSE)), "", vlookup(C93,RadioFreqs,5,FALSE))</f>
        <v/>
      </c>
      <c r="I93" s="618" t="str">
        <f> IF(ISERROR(vlookup(C93,RadioFreqs,6,FALSE)), "", vlookup(C93,RadioFreqs,6,FALSE))</f>
        <v/>
      </c>
      <c r="J93" s="619" t="str">
        <f> IF(ISERROR(vlookup(C93,RadioFreqs,7,FALSE)), "", vlookup(C93,RadioFreqs,7,FALSE))</f>
        <v/>
      </c>
      <c r="K93" s="659"/>
      <c r="L93" s="660"/>
      <c r="M93" s="660"/>
    </row>
    <row r="94">
      <c r="A94" s="607" t="s">
        <v>544</v>
      </c>
      <c r="B94" s="608" t="s">
        <v>545</v>
      </c>
      <c r="C94" s="609"/>
      <c r="D94" s="609"/>
      <c r="E94" s="609"/>
      <c r="F94" s="609"/>
      <c r="G94" s="609"/>
      <c r="H94" s="609"/>
      <c r="I94" s="609"/>
      <c r="J94" s="609"/>
      <c r="K94" s="610"/>
      <c r="L94" s="611"/>
      <c r="M94" s="611"/>
    </row>
    <row r="95">
      <c r="A95" s="612" t="s">
        <v>494</v>
      </c>
      <c r="B95" s="645" t="s">
        <v>546</v>
      </c>
      <c r="C95" s="646" t="s">
        <v>547</v>
      </c>
      <c r="D95" s="647" t="s">
        <v>511</v>
      </c>
      <c r="E95" s="616" t="str">
        <f> IF(ISERROR(vlookup(C95,RadioFreqs,2,FALSE)), "", vlookup(C95,RadioFreqs,2,FALSE))</f>
        <v>COMMAND</v>
      </c>
      <c r="F95" s="617">
        <f> IF(ISERROR(vlookup(C95,RadioFreqs,3,FALSE)), "", vlookup(C95,RadioFreqs,3,FALSE))</f>
        <v>151.34</v>
      </c>
      <c r="G95" s="618" t="str">
        <f> IF(ISERROR(vlookup(C95,RadioFreqs,4,FALSE)), "", vlookup(C95,RadioFreqs,4,FALSE))</f>
        <v>(T8)  103.5</v>
      </c>
      <c r="H95" s="617">
        <f> IF(ISERROR(vlookup(C95,RadioFreqs,5,FALSE)), "", vlookup(C95,RadioFreqs,5,FALSE))</f>
        <v>159.345</v>
      </c>
      <c r="I95" s="618" t="str">
        <f> IF(ISERROR(vlookup(C95,RadioFreqs,6,FALSE)), "", vlookup(C95,RadioFreqs,6,FALSE))</f>
        <v>OST</v>
      </c>
      <c r="J95" s="619" t="str">
        <f> IF(ISERROR(vlookup(C95,RadioFreqs,7,FALSE)), "", vlookup(C95,RadioFreqs,7,FALSE))</f>
        <v>A</v>
      </c>
      <c r="K95" s="620"/>
      <c r="L95" s="621"/>
      <c r="M95" s="621"/>
    </row>
    <row r="96">
      <c r="A96" s="648" t="s">
        <v>499</v>
      </c>
      <c r="B96" s="649" t="s">
        <v>548</v>
      </c>
      <c r="C96" s="650" t="s">
        <v>500</v>
      </c>
      <c r="D96" s="651" t="s">
        <v>513</v>
      </c>
      <c r="E96" s="616" t="str">
        <f> IF(ISERROR(vlookup(C96,RadioFreqs,2,FALSE)), "", vlookup(C96,RadioFreqs,2,FALSE))</f>
        <v>TACTICAL</v>
      </c>
      <c r="F96" s="617">
        <f> IF(ISERROR(vlookup(C96,RadioFreqs,3,FALSE)), "", vlookup(C96,RadioFreqs,3,FALSE))</f>
        <v>156.075</v>
      </c>
      <c r="G96" s="618" t="str">
        <f> IF(ISERROR(vlookup(C96,RadioFreqs,4,FALSE)), "", vlookup(C96,RadioFreqs,4,FALSE))</f>
        <v>(T6)  156.7</v>
      </c>
      <c r="H96" s="617">
        <f> IF(ISERROR(vlookup(C96,RadioFreqs,5,FALSE)), "", vlookup(C96,RadioFreqs,5,FALSE))</f>
        <v>156.075</v>
      </c>
      <c r="I96" s="618" t="str">
        <f> IF(ISERROR(vlookup(C96,RadioFreqs,6,FALSE)), "", vlookup(C96,RadioFreqs,6,FALSE))</f>
        <v>(T6)  156.7</v>
      </c>
      <c r="J96" s="619" t="str">
        <f> IF(ISERROR(vlookup(C96,RadioFreqs,7,FALSE)), "", vlookup(C96,RadioFreqs,7,FALSE))</f>
        <v>A</v>
      </c>
      <c r="K96" s="620"/>
      <c r="L96" s="621"/>
      <c r="M96" s="621"/>
    </row>
    <row r="97">
      <c r="A97" s="648" t="s">
        <v>497</v>
      </c>
      <c r="B97" s="649" t="s">
        <v>549</v>
      </c>
      <c r="C97" s="650" t="s">
        <v>542</v>
      </c>
      <c r="D97" s="651" t="s">
        <v>496</v>
      </c>
      <c r="E97" s="616" t="str">
        <f> IF(ISERROR(vlookup(C97,RadioFreqs,2,FALSE)), "", vlookup(C97,RadioFreqs,2,FALSE))</f>
        <v>A/G</v>
      </c>
      <c r="F97" s="617">
        <f> IF(ISERROR(vlookup(C97,RadioFreqs,3,FALSE)), "", vlookup(C97,RadioFreqs,3,FALSE))</f>
        <v>168.325</v>
      </c>
      <c r="G97" s="618" t="str">
        <f> IF(ISERROR(vlookup(C97,RadioFreqs,4,FALSE)), "", vlookup(C97,RadioFreqs,4,FALSE))</f>
        <v/>
      </c>
      <c r="H97" s="617">
        <f> IF(ISERROR(vlookup(C97,RadioFreqs,5,FALSE)), "", vlookup(C97,RadioFreqs,5,FALSE))</f>
        <v>168.325</v>
      </c>
      <c r="I97" s="618">
        <f> IF(ISERROR(vlookup(C97,RadioFreqs,6,FALSE)), "", vlookup(C97,RadioFreqs,6,FALSE))</f>
        <v>0</v>
      </c>
      <c r="J97" s="619" t="str">
        <f> IF(ISERROR(vlookup(C97,RadioFreqs,7,FALSE)), "", vlookup(C97,RadioFreqs,7,FALSE))</f>
        <v>A</v>
      </c>
      <c r="K97" s="620"/>
      <c r="L97" s="621"/>
      <c r="M97" s="621"/>
    </row>
    <row r="98">
      <c r="A98" s="648" t="s">
        <v>501</v>
      </c>
      <c r="B98" s="649" t="s">
        <v>550</v>
      </c>
      <c r="C98" s="650" t="s">
        <v>516</v>
      </c>
      <c r="D98" s="652" t="s">
        <v>501</v>
      </c>
      <c r="E98" s="616" t="str">
        <f> IF(ISERROR(vlookup(C98,RadioFreqs,2,FALSE)), "", vlookup(C98,RadioFreqs,2,FALSE))</f>
        <v>AIRGUARD</v>
      </c>
      <c r="F98" s="617">
        <f> IF(ISERROR(vlookup(C98,RadioFreqs,3,FALSE)), "", vlookup(C98,RadioFreqs,3,FALSE))</f>
        <v>168.625</v>
      </c>
      <c r="G98" s="618">
        <f> IF(ISERROR(vlookup(C98,RadioFreqs,4,FALSE)), "", vlookup(C98,RadioFreqs,4,FALSE))</f>
        <v>0</v>
      </c>
      <c r="H98" s="617">
        <f> IF(ISERROR(vlookup(C98,RadioFreqs,5,FALSE)), "", vlookup(C98,RadioFreqs,5,FALSE))</f>
        <v>168.625</v>
      </c>
      <c r="I98" s="618" t="str">
        <f> IF(ISERROR(vlookup(C98,RadioFreqs,6,FALSE)), "", vlookup(C98,RadioFreqs,6,FALSE))</f>
        <v>(T1)  110.9</v>
      </c>
      <c r="J98" s="619" t="str">
        <f> IF(ISERROR(vlookup(C98,RadioFreqs,7,FALSE)), "", vlookup(C98,RadioFreqs,7,FALSE))</f>
        <v>A</v>
      </c>
      <c r="K98" s="620"/>
      <c r="L98" s="621"/>
      <c r="M98" s="621"/>
    </row>
    <row r="99">
      <c r="A99" s="628"/>
      <c r="B99" s="649"/>
      <c r="C99" s="653"/>
      <c r="D99" s="654"/>
      <c r="E99" s="616" t="str">
        <f> IF(ISERROR(vlookup(C99,RadioFreqs,2,FALSE)), "", vlookup(C99,RadioFreqs,2,FALSE))</f>
        <v/>
      </c>
      <c r="F99" s="617" t="str">
        <f> IF(ISERROR(vlookup(C99,RadioFreqs,3,FALSE)), "", vlookup(C99,RadioFreqs,3,FALSE))</f>
        <v/>
      </c>
      <c r="G99" s="618" t="str">
        <f> IF(ISERROR(vlookup(C99,RadioFreqs,4,FALSE)), "", vlookup(C99,RadioFreqs,4,FALSE))</f>
        <v/>
      </c>
      <c r="H99" s="617" t="str">
        <f> IF(ISERROR(vlookup(C99,RadioFreqs,5,FALSE)), "", vlookup(C99,RadioFreqs,5,FALSE))</f>
        <v/>
      </c>
      <c r="I99" s="618" t="str">
        <f> IF(ISERROR(vlookup(C99,RadioFreqs,6,FALSE)), "", vlookup(C99,RadioFreqs,6,FALSE))</f>
        <v/>
      </c>
      <c r="J99" s="619" t="str">
        <f> IF(ISERROR(vlookup(C99,RadioFreqs,7,FALSE)), "", vlookup(C99,RadioFreqs,7,FALSE))</f>
        <v/>
      </c>
      <c r="K99" s="643"/>
      <c r="L99" s="644"/>
      <c r="M99" s="644"/>
    </row>
    <row r="100">
      <c r="A100" s="628"/>
      <c r="B100" s="649"/>
      <c r="C100" s="653"/>
      <c r="D100" s="654"/>
      <c r="E100" s="616" t="str">
        <f> IF(ISERROR(vlookup(C100,RadioFreqs,2,FALSE)), "", vlookup(C100,RadioFreqs,2,FALSE))</f>
        <v/>
      </c>
      <c r="F100" s="617" t="str">
        <f> IF(ISERROR(vlookup(C100,RadioFreqs,3,FALSE)), "", vlookup(C100,RadioFreqs,3,FALSE))</f>
        <v/>
      </c>
      <c r="G100" s="618" t="str">
        <f> IF(ISERROR(vlookup(C100,RadioFreqs,4,FALSE)), "", vlookup(C100,RadioFreqs,4,FALSE))</f>
        <v/>
      </c>
      <c r="H100" s="617" t="str">
        <f> IF(ISERROR(vlookup(C100,RadioFreqs,5,FALSE)), "", vlookup(C100,RadioFreqs,5,FALSE))</f>
        <v/>
      </c>
      <c r="I100" s="618" t="str">
        <f> IF(ISERROR(vlookup(C100,RadioFreqs,6,FALSE)), "", vlookup(C100,RadioFreqs,6,FALSE))</f>
        <v/>
      </c>
      <c r="J100" s="619" t="str">
        <f> IF(ISERROR(vlookup(C100,RadioFreqs,7,FALSE)), "", vlookup(C100,RadioFreqs,7,FALSE))</f>
        <v/>
      </c>
      <c r="K100" s="643"/>
      <c r="L100" s="644"/>
      <c r="M100" s="644"/>
    </row>
    <row r="101">
      <c r="A101" s="628"/>
      <c r="B101" s="649"/>
      <c r="C101" s="653"/>
      <c r="D101" s="654"/>
      <c r="E101" s="616" t="str">
        <f> IF(ISERROR(vlookup(C101,RadioFreqs,2,FALSE)), "", vlookup(C101,RadioFreqs,2,FALSE))</f>
        <v/>
      </c>
      <c r="F101" s="617" t="str">
        <f> IF(ISERROR(vlookup(C101,RadioFreqs,3,FALSE)), "", vlookup(C101,RadioFreqs,3,FALSE))</f>
        <v/>
      </c>
      <c r="G101" s="618" t="str">
        <f> IF(ISERROR(vlookup(C101,RadioFreqs,4,FALSE)), "", vlookup(C101,RadioFreqs,4,FALSE))</f>
        <v/>
      </c>
      <c r="H101" s="617" t="str">
        <f> IF(ISERROR(vlookup(C101,RadioFreqs,5,FALSE)), "", vlookup(C101,RadioFreqs,5,FALSE))</f>
        <v/>
      </c>
      <c r="I101" s="618" t="str">
        <f> IF(ISERROR(vlookup(C101,RadioFreqs,6,FALSE)), "", vlookup(C101,RadioFreqs,6,FALSE))</f>
        <v/>
      </c>
      <c r="J101" s="619" t="str">
        <f> IF(ISERROR(vlookup(C101,RadioFreqs,7,FALSE)), "", vlookup(C101,RadioFreqs,7,FALSE))</f>
        <v/>
      </c>
      <c r="K101" s="643"/>
      <c r="L101" s="644"/>
      <c r="M101" s="644"/>
    </row>
    <row r="102">
      <c r="A102" s="628"/>
      <c r="B102" s="649"/>
      <c r="C102" s="653"/>
      <c r="D102" s="654"/>
      <c r="E102" s="616" t="str">
        <f> IF(ISERROR(vlookup(C102,RadioFreqs,2,FALSE)), "", vlookup(C102,RadioFreqs,2,FALSE))</f>
        <v/>
      </c>
      <c r="F102" s="617" t="str">
        <f> IF(ISERROR(vlookup(C102,RadioFreqs,3,FALSE)), "", vlookup(C102,RadioFreqs,3,FALSE))</f>
        <v/>
      </c>
      <c r="G102" s="618" t="str">
        <f> IF(ISERROR(vlookup(C102,RadioFreqs,4,FALSE)), "", vlookup(C102,RadioFreqs,4,FALSE))</f>
        <v/>
      </c>
      <c r="H102" s="617" t="str">
        <f> IF(ISERROR(vlookup(C102,RadioFreqs,5,FALSE)), "", vlookup(C102,RadioFreqs,5,FALSE))</f>
        <v/>
      </c>
      <c r="I102" s="618" t="str">
        <f> IF(ISERROR(vlookup(C102,RadioFreqs,6,FALSE)), "", vlookup(C102,RadioFreqs,6,FALSE))</f>
        <v/>
      </c>
      <c r="J102" s="619" t="str">
        <f> IF(ISERROR(vlookup(C102,RadioFreqs,7,FALSE)), "", vlookup(C102,RadioFreqs,7,FALSE))</f>
        <v/>
      </c>
      <c r="K102" s="643"/>
      <c r="L102" s="644"/>
      <c r="M102" s="644"/>
    </row>
    <row r="103">
      <c r="A103" s="628"/>
      <c r="B103" s="649"/>
      <c r="C103" s="653"/>
      <c r="D103" s="654"/>
      <c r="E103" s="616" t="str">
        <f> IF(ISERROR(vlookup(C103,RadioFreqs,2,FALSE)), "", vlookup(C103,RadioFreqs,2,FALSE))</f>
        <v/>
      </c>
      <c r="F103" s="617" t="str">
        <f> IF(ISERROR(vlookup(C103,RadioFreqs,3,FALSE)), "", vlookup(C103,RadioFreqs,3,FALSE))</f>
        <v/>
      </c>
      <c r="G103" s="618" t="str">
        <f> IF(ISERROR(vlookup(C103,RadioFreqs,4,FALSE)), "", vlookup(C103,RadioFreqs,4,FALSE))</f>
        <v/>
      </c>
      <c r="H103" s="617" t="str">
        <f> IF(ISERROR(vlookup(C103,RadioFreqs,5,FALSE)), "", vlookup(C103,RadioFreqs,5,FALSE))</f>
        <v/>
      </c>
      <c r="I103" s="618" t="str">
        <f> IF(ISERROR(vlookup(C103,RadioFreqs,6,FALSE)), "", vlookup(C103,RadioFreqs,6,FALSE))</f>
        <v/>
      </c>
      <c r="J103" s="619" t="str">
        <f> IF(ISERROR(vlookup(C103,RadioFreqs,7,FALSE)), "", vlookup(C103,RadioFreqs,7,FALSE))</f>
        <v/>
      </c>
      <c r="K103" s="643"/>
      <c r="L103" s="644"/>
      <c r="M103" s="644"/>
    </row>
    <row r="104">
      <c r="A104" s="628"/>
      <c r="B104" s="649"/>
      <c r="C104" s="653"/>
      <c r="D104" s="654"/>
      <c r="E104" s="616" t="str">
        <f> IF(ISERROR(vlookup(C104,RadioFreqs,2,FALSE)), "", vlookup(C104,RadioFreqs,2,FALSE))</f>
        <v/>
      </c>
      <c r="F104" s="617" t="str">
        <f> IF(ISERROR(vlookup(C104,RadioFreqs,3,FALSE)), "", vlookup(C104,RadioFreqs,3,FALSE))</f>
        <v/>
      </c>
      <c r="G104" s="618" t="str">
        <f> IF(ISERROR(vlookup(C104,RadioFreqs,4,FALSE)), "", vlookup(C104,RadioFreqs,4,FALSE))</f>
        <v/>
      </c>
      <c r="H104" s="617" t="str">
        <f> IF(ISERROR(vlookup(C104,RadioFreqs,5,FALSE)), "", vlookup(C104,RadioFreqs,5,FALSE))</f>
        <v/>
      </c>
      <c r="I104" s="618" t="str">
        <f> IF(ISERROR(vlookup(C104,RadioFreqs,6,FALSE)), "", vlookup(C104,RadioFreqs,6,FALSE))</f>
        <v/>
      </c>
      <c r="J104" s="619" t="str">
        <f> IF(ISERROR(vlookup(C104,RadioFreqs,7,FALSE)), "", vlookup(C104,RadioFreqs,7,FALSE))</f>
        <v/>
      </c>
      <c r="K104" s="643"/>
      <c r="L104" s="644"/>
      <c r="M104" s="644"/>
    </row>
    <row r="105">
      <c r="A105" s="628"/>
      <c r="B105" s="649"/>
      <c r="C105" s="653"/>
      <c r="D105" s="654"/>
      <c r="E105" s="616" t="str">
        <f> IF(ISERROR(vlookup(C105,RadioFreqs,2,FALSE)), "", vlookup(C105,RadioFreqs,2,FALSE))</f>
        <v/>
      </c>
      <c r="F105" s="617" t="str">
        <f> IF(ISERROR(vlookup(C105,RadioFreqs,3,FALSE)), "", vlookup(C105,RadioFreqs,3,FALSE))</f>
        <v/>
      </c>
      <c r="G105" s="618" t="str">
        <f> IF(ISERROR(vlookup(C105,RadioFreqs,4,FALSE)), "", vlookup(C105,RadioFreqs,4,FALSE))</f>
        <v/>
      </c>
      <c r="H105" s="617" t="str">
        <f> IF(ISERROR(vlookup(C105,RadioFreqs,5,FALSE)), "", vlookup(C105,RadioFreqs,5,FALSE))</f>
        <v/>
      </c>
      <c r="I105" s="618" t="str">
        <f> IF(ISERROR(vlookup(C105,RadioFreqs,6,FALSE)), "", vlookup(C105,RadioFreqs,6,FALSE))</f>
        <v/>
      </c>
      <c r="J105" s="619" t="str">
        <f> IF(ISERROR(vlookup(C105,RadioFreqs,7,FALSE)), "", vlookup(C105,RadioFreqs,7,FALSE))</f>
        <v/>
      </c>
      <c r="K105" s="643"/>
      <c r="L105" s="644"/>
      <c r="M105" s="644"/>
    </row>
    <row r="106">
      <c r="A106" s="628"/>
      <c r="B106" s="649"/>
      <c r="C106" s="653"/>
      <c r="D106" s="654"/>
      <c r="E106" s="616" t="str">
        <f> IF(ISERROR(vlookup(C106,RadioFreqs,2,FALSE)), "", vlookup(C106,RadioFreqs,2,FALSE))</f>
        <v/>
      </c>
      <c r="F106" s="617" t="str">
        <f> IF(ISERROR(vlookup(C106,RadioFreqs,3,FALSE)), "", vlookup(C106,RadioFreqs,3,FALSE))</f>
        <v/>
      </c>
      <c r="G106" s="618" t="str">
        <f> IF(ISERROR(vlookup(C106,RadioFreqs,4,FALSE)), "", vlookup(C106,RadioFreqs,4,FALSE))</f>
        <v/>
      </c>
      <c r="H106" s="617" t="str">
        <f> IF(ISERROR(vlookup(C106,RadioFreqs,5,FALSE)), "", vlookup(C106,RadioFreqs,5,FALSE))</f>
        <v/>
      </c>
      <c r="I106" s="618" t="str">
        <f> IF(ISERROR(vlookup(C106,RadioFreqs,6,FALSE)), "", vlookup(C106,RadioFreqs,6,FALSE))</f>
        <v/>
      </c>
      <c r="J106" s="619" t="str">
        <f> IF(ISERROR(vlookup(C106,RadioFreqs,7,FALSE)), "", vlookup(C106,RadioFreqs,7,FALSE))</f>
        <v/>
      </c>
      <c r="K106" s="643"/>
      <c r="L106" s="644"/>
      <c r="M106" s="644"/>
    </row>
    <row r="107">
      <c r="A107" s="628"/>
      <c r="B107" s="649"/>
      <c r="C107" s="653"/>
      <c r="D107" s="654"/>
      <c r="E107" s="616" t="str">
        <f> IF(ISERROR(vlookup(C107,RadioFreqs,2,FALSE)), "", vlookup(C107,RadioFreqs,2,FALSE))</f>
        <v/>
      </c>
      <c r="F107" s="617" t="str">
        <f> IF(ISERROR(vlookup(C107,RadioFreqs,3,FALSE)), "", vlookup(C107,RadioFreqs,3,FALSE))</f>
        <v/>
      </c>
      <c r="G107" s="618" t="str">
        <f> IF(ISERROR(vlookup(C107,RadioFreqs,4,FALSE)), "", vlookup(C107,RadioFreqs,4,FALSE))</f>
        <v/>
      </c>
      <c r="H107" s="617" t="str">
        <f> IF(ISERROR(vlookup(C107,RadioFreqs,5,FALSE)), "", vlookup(C107,RadioFreqs,5,FALSE))</f>
        <v/>
      </c>
      <c r="I107" s="618" t="str">
        <f> IF(ISERROR(vlookup(C107,RadioFreqs,6,FALSE)), "", vlookup(C107,RadioFreqs,6,FALSE))</f>
        <v/>
      </c>
      <c r="J107" s="619" t="str">
        <f> IF(ISERROR(vlookup(C107,RadioFreqs,7,FALSE)), "", vlookup(C107,RadioFreqs,7,FALSE))</f>
        <v/>
      </c>
      <c r="K107" s="643"/>
      <c r="L107" s="644"/>
      <c r="M107" s="644"/>
    </row>
    <row r="108">
      <c r="A108" s="628"/>
      <c r="B108" s="649"/>
      <c r="C108" s="653"/>
      <c r="D108" s="654"/>
      <c r="E108" s="616" t="str">
        <f> IF(ISERROR(vlookup(C108,RadioFreqs,2,FALSE)), "", vlookup(C108,RadioFreqs,2,FALSE))</f>
        <v/>
      </c>
      <c r="F108" s="617" t="str">
        <f> IF(ISERROR(vlookup(C108,RadioFreqs,3,FALSE)), "", vlookup(C108,RadioFreqs,3,FALSE))</f>
        <v/>
      </c>
      <c r="G108" s="618" t="str">
        <f> IF(ISERROR(vlookup(C108,RadioFreqs,4,FALSE)), "", vlookup(C108,RadioFreqs,4,FALSE))</f>
        <v/>
      </c>
      <c r="H108" s="617" t="str">
        <f> IF(ISERROR(vlookup(C108,RadioFreqs,5,FALSE)), "", vlookup(C108,RadioFreqs,5,FALSE))</f>
        <v/>
      </c>
      <c r="I108" s="618" t="str">
        <f> IF(ISERROR(vlookup(C108,RadioFreqs,6,FALSE)), "", vlookup(C108,RadioFreqs,6,FALSE))</f>
        <v/>
      </c>
      <c r="J108" s="619" t="str">
        <f> IF(ISERROR(vlookup(C108,RadioFreqs,7,FALSE)), "", vlookup(C108,RadioFreqs,7,FALSE))</f>
        <v/>
      </c>
      <c r="K108" s="643"/>
      <c r="L108" s="644"/>
      <c r="M108" s="644"/>
    </row>
    <row r="109">
      <c r="A109" s="628"/>
      <c r="B109" s="649"/>
      <c r="C109" s="653"/>
      <c r="D109" s="654"/>
      <c r="E109" s="616" t="str">
        <f> IF(ISERROR(vlookup(C109,RadioFreqs,2,FALSE)), "", vlookup(C109,RadioFreqs,2,FALSE))</f>
        <v/>
      </c>
      <c r="F109" s="617" t="str">
        <f> IF(ISERROR(vlookup(C109,RadioFreqs,3,FALSE)), "", vlookup(C109,RadioFreqs,3,FALSE))</f>
        <v/>
      </c>
      <c r="G109" s="618" t="str">
        <f> IF(ISERROR(vlookup(C109,RadioFreqs,4,FALSE)), "", vlookup(C109,RadioFreqs,4,FALSE))</f>
        <v/>
      </c>
      <c r="H109" s="617" t="str">
        <f> IF(ISERROR(vlookup(C109,RadioFreqs,5,FALSE)), "", vlookup(C109,RadioFreqs,5,FALSE))</f>
        <v/>
      </c>
      <c r="I109" s="618" t="str">
        <f> IF(ISERROR(vlookup(C109,RadioFreqs,6,FALSE)), "", vlookup(C109,RadioFreqs,6,FALSE))</f>
        <v/>
      </c>
      <c r="J109" s="619" t="str">
        <f> IF(ISERROR(vlookup(C109,RadioFreqs,7,FALSE)), "", vlookup(C109,RadioFreqs,7,FALSE))</f>
        <v/>
      </c>
      <c r="K109" s="643"/>
      <c r="L109" s="644"/>
      <c r="M109" s="644"/>
    </row>
    <row r="110">
      <c r="A110" s="628"/>
      <c r="B110" s="649"/>
      <c r="C110" s="653"/>
      <c r="D110" s="654"/>
      <c r="E110" s="616" t="str">
        <f> IF(ISERROR(vlookup(C110,RadioFreqs,2,FALSE)), "", vlookup(C110,RadioFreqs,2,FALSE))</f>
        <v/>
      </c>
      <c r="F110" s="617" t="str">
        <f> IF(ISERROR(vlookup(C110,RadioFreqs,3,FALSE)), "", vlookup(C110,RadioFreqs,3,FALSE))</f>
        <v/>
      </c>
      <c r="G110" s="618" t="str">
        <f> IF(ISERROR(vlookup(C110,RadioFreqs,4,FALSE)), "", vlookup(C110,RadioFreqs,4,FALSE))</f>
        <v/>
      </c>
      <c r="H110" s="617" t="str">
        <f> IF(ISERROR(vlookup(C110,RadioFreqs,5,FALSE)), "", vlookup(C110,RadioFreqs,5,FALSE))</f>
        <v/>
      </c>
      <c r="I110" s="618" t="str">
        <f> IF(ISERROR(vlookup(C110,RadioFreqs,6,FALSE)), "", vlookup(C110,RadioFreqs,6,FALSE))</f>
        <v/>
      </c>
      <c r="J110" s="619" t="str">
        <f> IF(ISERROR(vlookup(C110,RadioFreqs,7,FALSE)), "", vlookup(C110,RadioFreqs,7,FALSE))</f>
        <v/>
      </c>
      <c r="K110" s="643"/>
      <c r="L110" s="644"/>
      <c r="M110" s="644"/>
    </row>
    <row r="111">
      <c r="A111" s="628"/>
      <c r="B111" s="649"/>
      <c r="C111" s="653"/>
      <c r="D111" s="654"/>
      <c r="E111" s="616" t="str">
        <f> IF(ISERROR(vlookup(C111,RadioFreqs,2,FALSE)), "", vlookup(C111,RadioFreqs,2,FALSE))</f>
        <v/>
      </c>
      <c r="F111" s="617" t="str">
        <f> IF(ISERROR(vlookup(C111,RadioFreqs,3,FALSE)), "", vlookup(C111,RadioFreqs,3,FALSE))</f>
        <v/>
      </c>
      <c r="G111" s="618" t="str">
        <f> IF(ISERROR(vlookup(C111,RadioFreqs,4,FALSE)), "", vlookup(C111,RadioFreqs,4,FALSE))</f>
        <v/>
      </c>
      <c r="H111" s="617" t="str">
        <f> IF(ISERROR(vlookup(C111,RadioFreqs,5,FALSE)), "", vlookup(C111,RadioFreqs,5,FALSE))</f>
        <v/>
      </c>
      <c r="I111" s="618" t="str">
        <f> IF(ISERROR(vlookup(C111,RadioFreqs,6,FALSE)), "", vlookup(C111,RadioFreqs,6,FALSE))</f>
        <v/>
      </c>
      <c r="J111" s="619" t="str">
        <f> IF(ISERROR(vlookup(C111,RadioFreqs,7,FALSE)), "", vlookup(C111,RadioFreqs,7,FALSE))</f>
        <v/>
      </c>
      <c r="K111" s="643"/>
      <c r="L111" s="644"/>
      <c r="M111" s="644"/>
    </row>
    <row r="112">
      <c r="A112" s="628"/>
      <c r="B112" s="649"/>
      <c r="C112" s="653"/>
      <c r="D112" s="654"/>
      <c r="E112" s="616" t="str">
        <f> IF(ISERROR(vlookup(C112,RadioFreqs,2,FALSE)), "", vlookup(C112,RadioFreqs,2,FALSE))</f>
        <v/>
      </c>
      <c r="F112" s="617" t="str">
        <f> IF(ISERROR(vlookup(C112,RadioFreqs,3,FALSE)), "", vlookup(C112,RadioFreqs,3,FALSE))</f>
        <v/>
      </c>
      <c r="G112" s="618" t="str">
        <f> IF(ISERROR(vlookup(C112,RadioFreqs,4,FALSE)), "", vlookup(C112,RadioFreqs,4,FALSE))</f>
        <v/>
      </c>
      <c r="H112" s="617" t="str">
        <f> IF(ISERROR(vlookup(C112,RadioFreqs,5,FALSE)), "", vlookup(C112,RadioFreqs,5,FALSE))</f>
        <v/>
      </c>
      <c r="I112" s="618" t="str">
        <f> IF(ISERROR(vlookup(C112,RadioFreqs,6,FALSE)), "", vlookup(C112,RadioFreqs,6,FALSE))</f>
        <v/>
      </c>
      <c r="J112" s="619" t="str">
        <f> IF(ISERROR(vlookup(C112,RadioFreqs,7,FALSE)), "", vlookup(C112,RadioFreqs,7,FALSE))</f>
        <v/>
      </c>
      <c r="K112" s="643"/>
      <c r="L112" s="644"/>
      <c r="M112" s="644"/>
    </row>
    <row r="113">
      <c r="A113" s="628"/>
      <c r="B113" s="649"/>
      <c r="C113" s="653"/>
      <c r="D113" s="654"/>
      <c r="E113" s="616" t="str">
        <f> IF(ISERROR(vlookup(C113,RadioFreqs,2,FALSE)), "", vlookup(C113,RadioFreqs,2,FALSE))</f>
        <v/>
      </c>
      <c r="F113" s="617" t="str">
        <f> IF(ISERROR(vlookup(C113,RadioFreqs,3,FALSE)), "", vlookup(C113,RadioFreqs,3,FALSE))</f>
        <v/>
      </c>
      <c r="G113" s="618" t="str">
        <f> IF(ISERROR(vlookup(C113,RadioFreqs,4,FALSE)), "", vlookup(C113,RadioFreqs,4,FALSE))</f>
        <v/>
      </c>
      <c r="H113" s="617" t="str">
        <f> IF(ISERROR(vlookup(C113,RadioFreqs,5,FALSE)), "", vlookup(C113,RadioFreqs,5,FALSE))</f>
        <v/>
      </c>
      <c r="I113" s="618" t="str">
        <f> IF(ISERROR(vlookup(C113,RadioFreqs,6,FALSE)), "", vlookup(C113,RadioFreqs,6,FALSE))</f>
        <v/>
      </c>
      <c r="J113" s="619" t="str">
        <f> IF(ISERROR(vlookup(C113,RadioFreqs,7,FALSE)), "", vlookup(C113,RadioFreqs,7,FALSE))</f>
        <v/>
      </c>
      <c r="K113" s="643"/>
      <c r="L113" s="644"/>
      <c r="M113" s="644"/>
    </row>
    <row r="114">
      <c r="A114" s="628"/>
      <c r="B114" s="649"/>
      <c r="C114" s="653"/>
      <c r="D114" s="654"/>
      <c r="E114" s="616" t="str">
        <f> IF(ISERROR(vlookup(C114,RadioFreqs,2,FALSE)), "", vlookup(C114,RadioFreqs,2,FALSE))</f>
        <v/>
      </c>
      <c r="F114" s="617" t="str">
        <f> IF(ISERROR(vlookup(C114,RadioFreqs,3,FALSE)), "", vlookup(C114,RadioFreqs,3,FALSE))</f>
        <v/>
      </c>
      <c r="G114" s="618" t="str">
        <f> IF(ISERROR(vlookup(C114,RadioFreqs,4,FALSE)), "", vlookup(C114,RadioFreqs,4,FALSE))</f>
        <v/>
      </c>
      <c r="H114" s="617" t="str">
        <f> IF(ISERROR(vlookup(C114,RadioFreqs,5,FALSE)), "", vlookup(C114,RadioFreqs,5,FALSE))</f>
        <v/>
      </c>
      <c r="I114" s="618" t="str">
        <f> IF(ISERROR(vlookup(C114,RadioFreqs,6,FALSE)), "", vlookup(C114,RadioFreqs,6,FALSE))</f>
        <v/>
      </c>
      <c r="J114" s="619" t="str">
        <f> IF(ISERROR(vlookup(C114,RadioFreqs,7,FALSE)), "", vlookup(C114,RadioFreqs,7,FALSE))</f>
        <v/>
      </c>
      <c r="K114" s="643"/>
      <c r="L114" s="644"/>
      <c r="M114" s="644"/>
    </row>
    <row r="115">
      <c r="A115" s="628"/>
      <c r="B115" s="649"/>
      <c r="C115" s="653"/>
      <c r="D115" s="654"/>
      <c r="E115" s="616" t="str">
        <f> IF(ISERROR(vlookup(C115,RadioFreqs,2,FALSE)), "", vlookup(C115,RadioFreqs,2,FALSE))</f>
        <v/>
      </c>
      <c r="F115" s="617" t="str">
        <f> IF(ISERROR(vlookup(C115,RadioFreqs,3,FALSE)), "", vlookup(C115,RadioFreqs,3,FALSE))</f>
        <v/>
      </c>
      <c r="G115" s="618" t="str">
        <f> IF(ISERROR(vlookup(C115,RadioFreqs,4,FALSE)), "", vlookup(C115,RadioFreqs,4,FALSE))</f>
        <v/>
      </c>
      <c r="H115" s="617" t="str">
        <f> IF(ISERROR(vlookup(C115,RadioFreqs,5,FALSE)), "", vlookup(C115,RadioFreqs,5,FALSE))</f>
        <v/>
      </c>
      <c r="I115" s="618" t="str">
        <f> IF(ISERROR(vlookup(C115,RadioFreqs,6,FALSE)), "", vlookup(C115,RadioFreqs,6,FALSE))</f>
        <v/>
      </c>
      <c r="J115" s="619" t="str">
        <f> IF(ISERROR(vlookup(C115,RadioFreqs,7,FALSE)), "", vlookup(C115,RadioFreqs,7,FALSE))</f>
        <v/>
      </c>
      <c r="K115" s="643"/>
      <c r="L115" s="644"/>
      <c r="M115" s="644"/>
    </row>
    <row r="116">
      <c r="A116" s="628"/>
      <c r="B116" s="649"/>
      <c r="C116" s="653"/>
      <c r="D116" s="654"/>
      <c r="E116" s="616" t="str">
        <f> IF(ISERROR(vlookup(C116,RadioFreqs,2,FALSE)), "", vlookup(C116,RadioFreqs,2,FALSE))</f>
        <v/>
      </c>
      <c r="F116" s="617" t="str">
        <f> IF(ISERROR(vlookup(C116,RadioFreqs,3,FALSE)), "", vlookup(C116,RadioFreqs,3,FALSE))</f>
        <v/>
      </c>
      <c r="G116" s="618" t="str">
        <f> IF(ISERROR(vlookup(C116,RadioFreqs,4,FALSE)), "", vlookup(C116,RadioFreqs,4,FALSE))</f>
        <v/>
      </c>
      <c r="H116" s="617" t="str">
        <f> IF(ISERROR(vlookup(C116,RadioFreqs,5,FALSE)), "", vlookup(C116,RadioFreqs,5,FALSE))</f>
        <v/>
      </c>
      <c r="I116" s="618" t="str">
        <f> IF(ISERROR(vlookup(C116,RadioFreqs,6,FALSE)), "", vlookup(C116,RadioFreqs,6,FALSE))</f>
        <v/>
      </c>
      <c r="J116" s="619" t="str">
        <f> IF(ISERROR(vlookup(C116,RadioFreqs,7,FALSE)), "", vlookup(C116,RadioFreqs,7,FALSE))</f>
        <v/>
      </c>
      <c r="K116" s="643"/>
      <c r="L116" s="644"/>
      <c r="M116" s="644"/>
    </row>
    <row r="117">
      <c r="A117" s="628"/>
      <c r="B117" s="649"/>
      <c r="C117" s="653"/>
      <c r="D117" s="654"/>
      <c r="E117" s="616" t="str">
        <f> IF(ISERROR(vlookup(C117,RadioFreqs,2,FALSE)), "", vlookup(C117,RadioFreqs,2,FALSE))</f>
        <v/>
      </c>
      <c r="F117" s="617" t="str">
        <f> IF(ISERROR(vlookup(C117,RadioFreqs,3,FALSE)), "", vlookup(C117,RadioFreqs,3,FALSE))</f>
        <v/>
      </c>
      <c r="G117" s="618" t="str">
        <f> IF(ISERROR(vlookup(C117,RadioFreqs,4,FALSE)), "", vlookup(C117,RadioFreqs,4,FALSE))</f>
        <v/>
      </c>
      <c r="H117" s="617" t="str">
        <f> IF(ISERROR(vlookup(C117,RadioFreqs,5,FALSE)), "", vlookup(C117,RadioFreqs,5,FALSE))</f>
        <v/>
      </c>
      <c r="I117" s="618" t="str">
        <f> IF(ISERROR(vlookup(C117,RadioFreqs,6,FALSE)), "", vlookup(C117,RadioFreqs,6,FALSE))</f>
        <v/>
      </c>
      <c r="J117" s="619" t="str">
        <f> IF(ISERROR(vlookup(C117,RadioFreqs,7,FALSE)), "", vlookup(C117,RadioFreqs,7,FALSE))</f>
        <v/>
      </c>
      <c r="K117" s="643"/>
      <c r="L117" s="644"/>
      <c r="M117" s="644"/>
    </row>
    <row r="118">
      <c r="A118" s="628"/>
      <c r="B118" s="649"/>
      <c r="C118" s="653"/>
      <c r="D118" s="654"/>
      <c r="E118" s="616" t="str">
        <f> IF(ISERROR(vlookup(C118,RadioFreqs,2,FALSE)), "", vlookup(C118,RadioFreqs,2,FALSE))</f>
        <v/>
      </c>
      <c r="F118" s="617" t="str">
        <f> IF(ISERROR(vlookup(C118,RadioFreqs,3,FALSE)), "", vlookup(C118,RadioFreqs,3,FALSE))</f>
        <v/>
      </c>
      <c r="G118" s="618" t="str">
        <f> IF(ISERROR(vlookup(C118,RadioFreqs,4,FALSE)), "", vlookup(C118,RadioFreqs,4,FALSE))</f>
        <v/>
      </c>
      <c r="H118" s="617" t="str">
        <f> IF(ISERROR(vlookup(C118,RadioFreqs,5,FALSE)), "", vlookup(C118,RadioFreqs,5,FALSE))</f>
        <v/>
      </c>
      <c r="I118" s="618" t="str">
        <f> IF(ISERROR(vlookup(C118,RadioFreqs,6,FALSE)), "", vlookup(C118,RadioFreqs,6,FALSE))</f>
        <v/>
      </c>
      <c r="J118" s="619" t="str">
        <f> IF(ISERROR(vlookup(C118,RadioFreqs,7,FALSE)), "", vlookup(C118,RadioFreqs,7,FALSE))</f>
        <v/>
      </c>
      <c r="K118" s="643"/>
      <c r="L118" s="644"/>
      <c r="M118" s="644"/>
    </row>
    <row r="119">
      <c r="A119" s="655"/>
      <c r="B119" s="656"/>
      <c r="C119" s="657"/>
      <c r="D119" s="658"/>
      <c r="E119" s="616" t="str">
        <f> IF(ISERROR(vlookup(C119,RadioFreqs,2,FALSE)), "", vlookup(C119,RadioFreqs,2,FALSE))</f>
        <v/>
      </c>
      <c r="F119" s="617" t="str">
        <f> IF(ISERROR(vlookup(C119,RadioFreqs,3,FALSE)), "", vlookup(C119,RadioFreqs,3,FALSE))</f>
        <v/>
      </c>
      <c r="G119" s="618" t="str">
        <f> IF(ISERROR(vlookup(C119,RadioFreqs,4,FALSE)), "", vlookup(C119,RadioFreqs,4,FALSE))</f>
        <v/>
      </c>
      <c r="H119" s="617" t="str">
        <f> IF(ISERROR(vlookup(C119,RadioFreqs,5,FALSE)), "", vlookup(C119,RadioFreqs,5,FALSE))</f>
        <v/>
      </c>
      <c r="I119" s="618" t="str">
        <f> IF(ISERROR(vlookup(C119,RadioFreqs,6,FALSE)), "", vlookup(C119,RadioFreqs,6,FALSE))</f>
        <v/>
      </c>
      <c r="J119" s="619" t="str">
        <f> IF(ISERROR(vlookup(C119,RadioFreqs,7,FALSE)), "", vlookup(C119,RadioFreqs,7,FALSE))</f>
        <v/>
      </c>
      <c r="K119" s="659"/>
      <c r="L119" s="660"/>
      <c r="M119" s="660"/>
    </row>
    <row r="120">
      <c r="A120" s="607" t="s">
        <v>551</v>
      </c>
      <c r="B120" s="608" t="s">
        <v>552</v>
      </c>
      <c r="C120" s="609"/>
      <c r="D120" s="609"/>
      <c r="E120" s="609"/>
      <c r="F120" s="609"/>
      <c r="G120" s="609"/>
      <c r="H120" s="609"/>
      <c r="I120" s="609"/>
      <c r="J120" s="609"/>
      <c r="K120" s="610"/>
      <c r="L120" s="611"/>
      <c r="M120" s="611"/>
    </row>
    <row r="121">
      <c r="A121" s="612" t="s">
        <v>494</v>
      </c>
      <c r="B121" s="645" t="s">
        <v>553</v>
      </c>
      <c r="C121" s="646" t="s">
        <v>554</v>
      </c>
      <c r="D121" s="647" t="s">
        <v>511</v>
      </c>
      <c r="E121" s="616" t="str">
        <f> IF(ISERROR(vlookup(C121,RadioFreqs,2,FALSE)), "", vlookup(C121,RadioFreqs,2,FALSE))</f>
        <v>COMMAND</v>
      </c>
      <c r="F121" s="617">
        <f> IF(ISERROR(vlookup(C121,RadioFreqs,3,FALSE)), "", vlookup(C121,RadioFreqs,3,FALSE))</f>
        <v>151.4</v>
      </c>
      <c r="G121" s="618" t="str">
        <f> IF(ISERROR(vlookup(C121,RadioFreqs,4,FALSE)), "", vlookup(C121,RadioFreqs,4,FALSE))</f>
        <v>(T8)  103.5</v>
      </c>
      <c r="H121" s="617">
        <f> IF(ISERROR(vlookup(C121,RadioFreqs,5,FALSE)), "", vlookup(C121,RadioFreqs,5,FALSE))</f>
        <v>159.375</v>
      </c>
      <c r="I121" s="618" t="str">
        <f> IF(ISERROR(vlookup(C121,RadioFreqs,6,FALSE)), "", vlookup(C121,RadioFreqs,6,FALSE))</f>
        <v>OST</v>
      </c>
      <c r="J121" s="619" t="str">
        <f> IF(ISERROR(vlookup(C121,RadioFreqs,7,FALSE)), "", vlookup(C121,RadioFreqs,7,FALSE))</f>
        <v>A</v>
      </c>
      <c r="K121" s="620"/>
      <c r="L121" s="621"/>
      <c r="M121" s="621"/>
    </row>
    <row r="122">
      <c r="A122" s="648" t="s">
        <v>499</v>
      </c>
      <c r="B122" s="649" t="s">
        <v>555</v>
      </c>
      <c r="C122" s="650" t="s">
        <v>500</v>
      </c>
      <c r="D122" s="651" t="s">
        <v>513</v>
      </c>
      <c r="E122" s="616" t="str">
        <f> IF(ISERROR(vlookup(C122,RadioFreqs,2,FALSE)), "", vlookup(C122,RadioFreqs,2,FALSE))</f>
        <v>TACTICAL</v>
      </c>
      <c r="F122" s="617">
        <f> IF(ISERROR(vlookup(C122,RadioFreqs,3,FALSE)), "", vlookup(C122,RadioFreqs,3,FALSE))</f>
        <v>156.075</v>
      </c>
      <c r="G122" s="618" t="str">
        <f> IF(ISERROR(vlookup(C122,RadioFreqs,4,FALSE)), "", vlookup(C122,RadioFreqs,4,FALSE))</f>
        <v>(T6)  156.7</v>
      </c>
      <c r="H122" s="617">
        <f> IF(ISERROR(vlookup(C122,RadioFreqs,5,FALSE)), "", vlookup(C122,RadioFreqs,5,FALSE))</f>
        <v>156.075</v>
      </c>
      <c r="I122" s="618" t="str">
        <f> IF(ISERROR(vlookup(C122,RadioFreqs,6,FALSE)), "", vlookup(C122,RadioFreqs,6,FALSE))</f>
        <v>(T6)  156.7</v>
      </c>
      <c r="J122" s="619" t="str">
        <f> IF(ISERROR(vlookup(C122,RadioFreqs,7,FALSE)), "", vlookup(C122,RadioFreqs,7,FALSE))</f>
        <v>A</v>
      </c>
      <c r="K122" s="620"/>
      <c r="L122" s="621"/>
      <c r="M122" s="621"/>
    </row>
    <row r="123">
      <c r="A123" s="648" t="s">
        <v>497</v>
      </c>
      <c r="B123" s="649" t="s">
        <v>556</v>
      </c>
      <c r="C123" s="650" t="s">
        <v>542</v>
      </c>
      <c r="D123" s="651" t="s">
        <v>496</v>
      </c>
      <c r="E123" s="616" t="str">
        <f> IF(ISERROR(vlookup(C123,RadioFreqs,2,FALSE)), "", vlookup(C123,RadioFreqs,2,FALSE))</f>
        <v>A/G</v>
      </c>
      <c r="F123" s="617">
        <f> IF(ISERROR(vlookup(C123,RadioFreqs,3,FALSE)), "", vlookup(C123,RadioFreqs,3,FALSE))</f>
        <v>168.325</v>
      </c>
      <c r="G123" s="618" t="str">
        <f> IF(ISERROR(vlookup(C123,RadioFreqs,4,FALSE)), "", vlookup(C123,RadioFreqs,4,FALSE))</f>
        <v/>
      </c>
      <c r="H123" s="617">
        <f> IF(ISERROR(vlookup(C123,RadioFreqs,5,FALSE)), "", vlookup(C123,RadioFreqs,5,FALSE))</f>
        <v>168.325</v>
      </c>
      <c r="I123" s="618">
        <f> IF(ISERROR(vlookup(C123,RadioFreqs,6,FALSE)), "", vlookup(C123,RadioFreqs,6,FALSE))</f>
        <v>0</v>
      </c>
      <c r="J123" s="619" t="str">
        <f> IF(ISERROR(vlookup(C123,RadioFreqs,7,FALSE)), "", vlookup(C123,RadioFreqs,7,FALSE))</f>
        <v>A</v>
      </c>
      <c r="K123" s="620"/>
      <c r="L123" s="621"/>
      <c r="M123" s="621"/>
    </row>
    <row r="124">
      <c r="A124" s="648" t="s">
        <v>501</v>
      </c>
      <c r="B124" s="649" t="s">
        <v>557</v>
      </c>
      <c r="C124" s="650" t="s">
        <v>516</v>
      </c>
      <c r="D124" s="652" t="s">
        <v>501</v>
      </c>
      <c r="E124" s="616" t="str">
        <f> IF(ISERROR(vlookup(C124,RadioFreqs,2,FALSE)), "", vlookup(C124,RadioFreqs,2,FALSE))</f>
        <v>AIRGUARD</v>
      </c>
      <c r="F124" s="617">
        <f> IF(ISERROR(vlookup(C124,RadioFreqs,3,FALSE)), "", vlookup(C124,RadioFreqs,3,FALSE))</f>
        <v>168.625</v>
      </c>
      <c r="G124" s="618">
        <f> IF(ISERROR(vlookup(C124,RadioFreqs,4,FALSE)), "", vlookup(C124,RadioFreqs,4,FALSE))</f>
        <v>0</v>
      </c>
      <c r="H124" s="617">
        <f> IF(ISERROR(vlookup(C124,RadioFreqs,5,FALSE)), "", vlookup(C124,RadioFreqs,5,FALSE))</f>
        <v>168.625</v>
      </c>
      <c r="I124" s="618" t="str">
        <f> IF(ISERROR(vlookup(C124,RadioFreqs,6,FALSE)), "", vlookup(C124,RadioFreqs,6,FALSE))</f>
        <v>(T1)  110.9</v>
      </c>
      <c r="J124" s="619" t="str">
        <f> IF(ISERROR(vlookup(C124,RadioFreqs,7,FALSE)), "", vlookup(C124,RadioFreqs,7,FALSE))</f>
        <v>A</v>
      </c>
      <c r="K124" s="620"/>
      <c r="L124" s="621"/>
      <c r="M124" s="621"/>
    </row>
    <row r="125">
      <c r="A125" s="628"/>
      <c r="B125" s="649"/>
      <c r="C125" s="653"/>
      <c r="D125" s="654"/>
      <c r="E125" s="616" t="str">
        <f> IF(ISERROR(vlookup(C125,RadioFreqs,2,FALSE)), "", vlookup(C125,RadioFreqs,2,FALSE))</f>
        <v/>
      </c>
      <c r="F125" s="617" t="str">
        <f> IF(ISERROR(vlookup(C125,RadioFreqs,3,FALSE)), "", vlookup(C125,RadioFreqs,3,FALSE))</f>
        <v/>
      </c>
      <c r="G125" s="618" t="str">
        <f> IF(ISERROR(vlookup(C125,RadioFreqs,4,FALSE)), "", vlookup(C125,RadioFreqs,4,FALSE))</f>
        <v/>
      </c>
      <c r="H125" s="617" t="str">
        <f> IF(ISERROR(vlookup(C125,RadioFreqs,5,FALSE)), "", vlookup(C125,RadioFreqs,5,FALSE))</f>
        <v/>
      </c>
      <c r="I125" s="618" t="str">
        <f> IF(ISERROR(vlookup(C125,RadioFreqs,6,FALSE)), "", vlookup(C125,RadioFreqs,6,FALSE))</f>
        <v/>
      </c>
      <c r="J125" s="619" t="str">
        <f> IF(ISERROR(vlookup(C125,RadioFreqs,7,FALSE)), "", vlookup(C125,RadioFreqs,7,FALSE))</f>
        <v/>
      </c>
      <c r="K125" s="643"/>
      <c r="L125" s="644"/>
      <c r="M125" s="644"/>
    </row>
    <row r="126">
      <c r="A126" s="628"/>
      <c r="B126" s="649"/>
      <c r="C126" s="653"/>
      <c r="D126" s="654"/>
      <c r="E126" s="616" t="str">
        <f> IF(ISERROR(vlookup(C126,RadioFreqs,2,FALSE)), "", vlookup(C126,RadioFreqs,2,FALSE))</f>
        <v/>
      </c>
      <c r="F126" s="617" t="str">
        <f> IF(ISERROR(vlookup(C126,RadioFreqs,3,FALSE)), "", vlookup(C126,RadioFreqs,3,FALSE))</f>
        <v/>
      </c>
      <c r="G126" s="618" t="str">
        <f> IF(ISERROR(vlookup(C126,RadioFreqs,4,FALSE)), "", vlookup(C126,RadioFreqs,4,FALSE))</f>
        <v/>
      </c>
      <c r="H126" s="617" t="str">
        <f> IF(ISERROR(vlookup(C126,RadioFreqs,5,FALSE)), "", vlookup(C126,RadioFreqs,5,FALSE))</f>
        <v/>
      </c>
      <c r="I126" s="618" t="str">
        <f> IF(ISERROR(vlookup(C126,RadioFreqs,6,FALSE)), "", vlookup(C126,RadioFreqs,6,FALSE))</f>
        <v/>
      </c>
      <c r="J126" s="619" t="str">
        <f> IF(ISERROR(vlookup(C126,RadioFreqs,7,FALSE)), "", vlookup(C126,RadioFreqs,7,FALSE))</f>
        <v/>
      </c>
      <c r="K126" s="643"/>
      <c r="L126" s="644"/>
      <c r="M126" s="644"/>
    </row>
    <row r="127">
      <c r="A127" s="628"/>
      <c r="B127" s="649"/>
      <c r="C127" s="653"/>
      <c r="D127" s="654"/>
      <c r="E127" s="616" t="str">
        <f> IF(ISERROR(vlookup(C127,RadioFreqs,2,FALSE)), "", vlookup(C127,RadioFreqs,2,FALSE))</f>
        <v/>
      </c>
      <c r="F127" s="617" t="str">
        <f> IF(ISERROR(vlookup(C127,RadioFreqs,3,FALSE)), "", vlookup(C127,RadioFreqs,3,FALSE))</f>
        <v/>
      </c>
      <c r="G127" s="618" t="str">
        <f> IF(ISERROR(vlookup(C127,RadioFreqs,4,FALSE)), "", vlookup(C127,RadioFreqs,4,FALSE))</f>
        <v/>
      </c>
      <c r="H127" s="617" t="str">
        <f> IF(ISERROR(vlookup(C127,RadioFreqs,5,FALSE)), "", vlookup(C127,RadioFreqs,5,FALSE))</f>
        <v/>
      </c>
      <c r="I127" s="618" t="str">
        <f> IF(ISERROR(vlookup(C127,RadioFreqs,6,FALSE)), "", vlookup(C127,RadioFreqs,6,FALSE))</f>
        <v/>
      </c>
      <c r="J127" s="619" t="str">
        <f> IF(ISERROR(vlookup(C127,RadioFreqs,7,FALSE)), "", vlookup(C127,RadioFreqs,7,FALSE))</f>
        <v/>
      </c>
      <c r="K127" s="643"/>
      <c r="L127" s="644"/>
      <c r="M127" s="644"/>
    </row>
    <row r="128">
      <c r="A128" s="628"/>
      <c r="B128" s="649"/>
      <c r="C128" s="653"/>
      <c r="D128" s="654"/>
      <c r="E128" s="616" t="str">
        <f> IF(ISERROR(vlookup(C128,RadioFreqs,2,FALSE)), "", vlookup(C128,RadioFreqs,2,FALSE))</f>
        <v/>
      </c>
      <c r="F128" s="617" t="str">
        <f> IF(ISERROR(vlookup(C128,RadioFreqs,3,FALSE)), "", vlookup(C128,RadioFreqs,3,FALSE))</f>
        <v/>
      </c>
      <c r="G128" s="618" t="str">
        <f> IF(ISERROR(vlookup(C128,RadioFreqs,4,FALSE)), "", vlookup(C128,RadioFreqs,4,FALSE))</f>
        <v/>
      </c>
      <c r="H128" s="617" t="str">
        <f> IF(ISERROR(vlookup(C128,RadioFreqs,5,FALSE)), "", vlookup(C128,RadioFreqs,5,FALSE))</f>
        <v/>
      </c>
      <c r="I128" s="618" t="str">
        <f> IF(ISERROR(vlookup(C128,RadioFreqs,6,FALSE)), "", vlookup(C128,RadioFreqs,6,FALSE))</f>
        <v/>
      </c>
      <c r="J128" s="619" t="str">
        <f> IF(ISERROR(vlookup(C128,RadioFreqs,7,FALSE)), "", vlookup(C128,RadioFreqs,7,FALSE))</f>
        <v/>
      </c>
      <c r="K128" s="643"/>
      <c r="L128" s="644"/>
      <c r="M128" s="644"/>
    </row>
    <row r="129">
      <c r="A129" s="628"/>
      <c r="B129" s="649"/>
      <c r="C129" s="653"/>
      <c r="D129" s="654"/>
      <c r="E129" s="616" t="str">
        <f> IF(ISERROR(vlookup(C129,RadioFreqs,2,FALSE)), "", vlookup(C129,RadioFreqs,2,FALSE))</f>
        <v/>
      </c>
      <c r="F129" s="617" t="str">
        <f> IF(ISERROR(vlookup(C129,RadioFreqs,3,FALSE)), "", vlookup(C129,RadioFreqs,3,FALSE))</f>
        <v/>
      </c>
      <c r="G129" s="618" t="str">
        <f> IF(ISERROR(vlookup(C129,RadioFreqs,4,FALSE)), "", vlookup(C129,RadioFreqs,4,FALSE))</f>
        <v/>
      </c>
      <c r="H129" s="617" t="str">
        <f> IF(ISERROR(vlookup(C129,RadioFreqs,5,FALSE)), "", vlookup(C129,RadioFreqs,5,FALSE))</f>
        <v/>
      </c>
      <c r="I129" s="618" t="str">
        <f> IF(ISERROR(vlookup(C129,RadioFreqs,6,FALSE)), "", vlookup(C129,RadioFreqs,6,FALSE))</f>
        <v/>
      </c>
      <c r="J129" s="619" t="str">
        <f> IF(ISERROR(vlookup(C129,RadioFreqs,7,FALSE)), "", vlookup(C129,RadioFreqs,7,FALSE))</f>
        <v/>
      </c>
      <c r="K129" s="643"/>
      <c r="L129" s="644"/>
      <c r="M129" s="644"/>
    </row>
    <row r="130">
      <c r="A130" s="628"/>
      <c r="B130" s="649"/>
      <c r="C130" s="653"/>
      <c r="D130" s="654"/>
      <c r="E130" s="616" t="str">
        <f> IF(ISERROR(vlookup(C130,RadioFreqs,2,FALSE)), "", vlookup(C130,RadioFreqs,2,FALSE))</f>
        <v/>
      </c>
      <c r="F130" s="617" t="str">
        <f> IF(ISERROR(vlookup(C130,RadioFreqs,3,FALSE)), "", vlookup(C130,RadioFreqs,3,FALSE))</f>
        <v/>
      </c>
      <c r="G130" s="618" t="str">
        <f> IF(ISERROR(vlookup(C130,RadioFreqs,4,FALSE)), "", vlookup(C130,RadioFreqs,4,FALSE))</f>
        <v/>
      </c>
      <c r="H130" s="617" t="str">
        <f> IF(ISERROR(vlookup(C130,RadioFreqs,5,FALSE)), "", vlookup(C130,RadioFreqs,5,FALSE))</f>
        <v/>
      </c>
      <c r="I130" s="618" t="str">
        <f> IF(ISERROR(vlookup(C130,RadioFreqs,6,FALSE)), "", vlookup(C130,RadioFreqs,6,FALSE))</f>
        <v/>
      </c>
      <c r="J130" s="619" t="str">
        <f> IF(ISERROR(vlookup(C130,RadioFreqs,7,FALSE)), "", vlookup(C130,RadioFreqs,7,FALSE))</f>
        <v/>
      </c>
      <c r="K130" s="643"/>
      <c r="L130" s="644"/>
      <c r="M130" s="644"/>
    </row>
    <row r="131">
      <c r="A131" s="628"/>
      <c r="B131" s="649"/>
      <c r="C131" s="653"/>
      <c r="D131" s="654"/>
      <c r="E131" s="616" t="str">
        <f> IF(ISERROR(vlookup(C131,RadioFreqs,2,FALSE)), "", vlookup(C131,RadioFreqs,2,FALSE))</f>
        <v/>
      </c>
      <c r="F131" s="617" t="str">
        <f> IF(ISERROR(vlookup(C131,RadioFreqs,3,FALSE)), "", vlookup(C131,RadioFreqs,3,FALSE))</f>
        <v/>
      </c>
      <c r="G131" s="618" t="str">
        <f> IF(ISERROR(vlookup(C131,RadioFreqs,4,FALSE)), "", vlookup(C131,RadioFreqs,4,FALSE))</f>
        <v/>
      </c>
      <c r="H131" s="617" t="str">
        <f> IF(ISERROR(vlookup(C131,RadioFreqs,5,FALSE)), "", vlookup(C131,RadioFreqs,5,FALSE))</f>
        <v/>
      </c>
      <c r="I131" s="618" t="str">
        <f> IF(ISERROR(vlookup(C131,RadioFreqs,6,FALSE)), "", vlookup(C131,RadioFreqs,6,FALSE))</f>
        <v/>
      </c>
      <c r="J131" s="619" t="str">
        <f> IF(ISERROR(vlookup(C131,RadioFreqs,7,FALSE)), "", vlookup(C131,RadioFreqs,7,FALSE))</f>
        <v/>
      </c>
      <c r="K131" s="643"/>
      <c r="L131" s="644"/>
      <c r="M131" s="644"/>
    </row>
    <row r="132">
      <c r="A132" s="628"/>
      <c r="B132" s="649"/>
      <c r="C132" s="653"/>
      <c r="D132" s="654"/>
      <c r="E132" s="616" t="str">
        <f> IF(ISERROR(vlookup(C132,RadioFreqs,2,FALSE)), "", vlookup(C132,RadioFreqs,2,FALSE))</f>
        <v/>
      </c>
      <c r="F132" s="617" t="str">
        <f> IF(ISERROR(vlookup(C132,RadioFreqs,3,FALSE)), "", vlookup(C132,RadioFreqs,3,FALSE))</f>
        <v/>
      </c>
      <c r="G132" s="618" t="str">
        <f> IF(ISERROR(vlookup(C132,RadioFreqs,4,FALSE)), "", vlookup(C132,RadioFreqs,4,FALSE))</f>
        <v/>
      </c>
      <c r="H132" s="617" t="str">
        <f> IF(ISERROR(vlookup(C132,RadioFreqs,5,FALSE)), "", vlookup(C132,RadioFreqs,5,FALSE))</f>
        <v/>
      </c>
      <c r="I132" s="618" t="str">
        <f> IF(ISERROR(vlookup(C132,RadioFreqs,6,FALSE)), "", vlookup(C132,RadioFreqs,6,FALSE))</f>
        <v/>
      </c>
      <c r="J132" s="619" t="str">
        <f> IF(ISERROR(vlookup(C132,RadioFreqs,7,FALSE)), "", vlookup(C132,RadioFreqs,7,FALSE))</f>
        <v/>
      </c>
      <c r="K132" s="643"/>
      <c r="L132" s="644"/>
      <c r="M132" s="644"/>
    </row>
    <row r="133">
      <c r="A133" s="628"/>
      <c r="B133" s="649"/>
      <c r="C133" s="653"/>
      <c r="D133" s="654"/>
      <c r="E133" s="616" t="str">
        <f> IF(ISERROR(vlookup(C133,RadioFreqs,2,FALSE)), "", vlookup(C133,RadioFreqs,2,FALSE))</f>
        <v/>
      </c>
      <c r="F133" s="617" t="str">
        <f> IF(ISERROR(vlookup(C133,RadioFreqs,3,FALSE)), "", vlookup(C133,RadioFreqs,3,FALSE))</f>
        <v/>
      </c>
      <c r="G133" s="618" t="str">
        <f> IF(ISERROR(vlookup(C133,RadioFreqs,4,FALSE)), "", vlookup(C133,RadioFreqs,4,FALSE))</f>
        <v/>
      </c>
      <c r="H133" s="617" t="str">
        <f> IF(ISERROR(vlookup(C133,RadioFreqs,5,FALSE)), "", vlookup(C133,RadioFreqs,5,FALSE))</f>
        <v/>
      </c>
      <c r="I133" s="618" t="str">
        <f> IF(ISERROR(vlookup(C133,RadioFreqs,6,FALSE)), "", vlookup(C133,RadioFreqs,6,FALSE))</f>
        <v/>
      </c>
      <c r="J133" s="619" t="str">
        <f> IF(ISERROR(vlookup(C133,RadioFreqs,7,FALSE)), "", vlookup(C133,RadioFreqs,7,FALSE))</f>
        <v/>
      </c>
      <c r="K133" s="643"/>
      <c r="L133" s="644"/>
      <c r="M133" s="644"/>
    </row>
    <row r="134">
      <c r="A134" s="628"/>
      <c r="B134" s="649"/>
      <c r="C134" s="653"/>
      <c r="D134" s="654"/>
      <c r="E134" s="616" t="str">
        <f> IF(ISERROR(vlookup(C134,RadioFreqs,2,FALSE)), "", vlookup(C134,RadioFreqs,2,FALSE))</f>
        <v/>
      </c>
      <c r="F134" s="617" t="str">
        <f> IF(ISERROR(vlookup(C134,RadioFreqs,3,FALSE)), "", vlookup(C134,RadioFreqs,3,FALSE))</f>
        <v/>
      </c>
      <c r="G134" s="618" t="str">
        <f> IF(ISERROR(vlookup(C134,RadioFreqs,4,FALSE)), "", vlookup(C134,RadioFreqs,4,FALSE))</f>
        <v/>
      </c>
      <c r="H134" s="617" t="str">
        <f> IF(ISERROR(vlookup(C134,RadioFreqs,5,FALSE)), "", vlookup(C134,RadioFreqs,5,FALSE))</f>
        <v/>
      </c>
      <c r="I134" s="618" t="str">
        <f> IF(ISERROR(vlookup(C134,RadioFreqs,6,FALSE)), "", vlookup(C134,RadioFreqs,6,FALSE))</f>
        <v/>
      </c>
      <c r="J134" s="619" t="str">
        <f> IF(ISERROR(vlookup(C134,RadioFreqs,7,FALSE)), "", vlookup(C134,RadioFreqs,7,FALSE))</f>
        <v/>
      </c>
      <c r="K134" s="643"/>
      <c r="L134" s="644"/>
      <c r="M134" s="644"/>
    </row>
    <row r="135">
      <c r="A135" s="628"/>
      <c r="B135" s="649"/>
      <c r="C135" s="653"/>
      <c r="D135" s="654"/>
      <c r="E135" s="616" t="str">
        <f> IF(ISERROR(vlookup(C135,RadioFreqs,2,FALSE)), "", vlookup(C135,RadioFreqs,2,FALSE))</f>
        <v/>
      </c>
      <c r="F135" s="617" t="str">
        <f> IF(ISERROR(vlookup(C135,RadioFreqs,3,FALSE)), "", vlookup(C135,RadioFreqs,3,FALSE))</f>
        <v/>
      </c>
      <c r="G135" s="618" t="str">
        <f> IF(ISERROR(vlookup(C135,RadioFreqs,4,FALSE)), "", vlookup(C135,RadioFreqs,4,FALSE))</f>
        <v/>
      </c>
      <c r="H135" s="617" t="str">
        <f> IF(ISERROR(vlookup(C135,RadioFreqs,5,FALSE)), "", vlookup(C135,RadioFreqs,5,FALSE))</f>
        <v/>
      </c>
      <c r="I135" s="618" t="str">
        <f> IF(ISERROR(vlookup(C135,RadioFreqs,6,FALSE)), "", vlookup(C135,RadioFreqs,6,FALSE))</f>
        <v/>
      </c>
      <c r="J135" s="619" t="str">
        <f> IF(ISERROR(vlookup(C135,RadioFreqs,7,FALSE)), "", vlookup(C135,RadioFreqs,7,FALSE))</f>
        <v/>
      </c>
      <c r="K135" s="643"/>
      <c r="L135" s="644"/>
      <c r="M135" s="644"/>
    </row>
    <row r="136">
      <c r="A136" s="628"/>
      <c r="B136" s="649"/>
      <c r="C136" s="653"/>
      <c r="D136" s="654"/>
      <c r="E136" s="616" t="str">
        <f> IF(ISERROR(vlookup(C136,RadioFreqs,2,FALSE)), "", vlookup(C136,RadioFreqs,2,FALSE))</f>
        <v/>
      </c>
      <c r="F136" s="617" t="str">
        <f> IF(ISERROR(vlookup(C136,RadioFreqs,3,FALSE)), "", vlookup(C136,RadioFreqs,3,FALSE))</f>
        <v/>
      </c>
      <c r="G136" s="618" t="str">
        <f> IF(ISERROR(vlookup(C136,RadioFreqs,4,FALSE)), "", vlookup(C136,RadioFreqs,4,FALSE))</f>
        <v/>
      </c>
      <c r="H136" s="617" t="str">
        <f> IF(ISERROR(vlookup(C136,RadioFreqs,5,FALSE)), "", vlookup(C136,RadioFreqs,5,FALSE))</f>
        <v/>
      </c>
      <c r="I136" s="618" t="str">
        <f> IF(ISERROR(vlookup(C136,RadioFreqs,6,FALSE)), "", vlookup(C136,RadioFreqs,6,FALSE))</f>
        <v/>
      </c>
      <c r="J136" s="619" t="str">
        <f> IF(ISERROR(vlookup(C136,RadioFreqs,7,FALSE)), "", vlookup(C136,RadioFreqs,7,FALSE))</f>
        <v/>
      </c>
      <c r="K136" s="643"/>
      <c r="L136" s="644"/>
      <c r="M136" s="644"/>
    </row>
    <row r="137">
      <c r="A137" s="628"/>
      <c r="B137" s="649"/>
      <c r="C137" s="653"/>
      <c r="D137" s="654"/>
      <c r="E137" s="616" t="str">
        <f> IF(ISERROR(vlookup(C137,RadioFreqs,2,FALSE)), "", vlookup(C137,RadioFreqs,2,FALSE))</f>
        <v/>
      </c>
      <c r="F137" s="617" t="str">
        <f> IF(ISERROR(vlookup(C137,RadioFreqs,3,FALSE)), "", vlookup(C137,RadioFreqs,3,FALSE))</f>
        <v/>
      </c>
      <c r="G137" s="618" t="str">
        <f> IF(ISERROR(vlookup(C137,RadioFreqs,4,FALSE)), "", vlookup(C137,RadioFreqs,4,FALSE))</f>
        <v/>
      </c>
      <c r="H137" s="617" t="str">
        <f> IF(ISERROR(vlookup(C137,RadioFreqs,5,FALSE)), "", vlookup(C137,RadioFreqs,5,FALSE))</f>
        <v/>
      </c>
      <c r="I137" s="618" t="str">
        <f> IF(ISERROR(vlookup(C137,RadioFreqs,6,FALSE)), "", vlookup(C137,RadioFreqs,6,FALSE))</f>
        <v/>
      </c>
      <c r="J137" s="619" t="str">
        <f> IF(ISERROR(vlookup(C137,RadioFreqs,7,FALSE)), "", vlookup(C137,RadioFreqs,7,FALSE))</f>
        <v/>
      </c>
      <c r="K137" s="643"/>
      <c r="L137" s="644"/>
      <c r="M137" s="644"/>
    </row>
    <row r="138">
      <c r="A138" s="628"/>
      <c r="B138" s="649"/>
      <c r="C138" s="653"/>
      <c r="D138" s="654"/>
      <c r="E138" s="616" t="str">
        <f> IF(ISERROR(vlookup(C138,RadioFreqs,2,FALSE)), "", vlookup(C138,RadioFreqs,2,FALSE))</f>
        <v/>
      </c>
      <c r="F138" s="617" t="str">
        <f> IF(ISERROR(vlookup(C138,RadioFreqs,3,FALSE)), "", vlookup(C138,RadioFreqs,3,FALSE))</f>
        <v/>
      </c>
      <c r="G138" s="618" t="str">
        <f> IF(ISERROR(vlookup(C138,RadioFreqs,4,FALSE)), "", vlookup(C138,RadioFreqs,4,FALSE))</f>
        <v/>
      </c>
      <c r="H138" s="617" t="str">
        <f> IF(ISERROR(vlookup(C138,RadioFreqs,5,FALSE)), "", vlookup(C138,RadioFreqs,5,FALSE))</f>
        <v/>
      </c>
      <c r="I138" s="618" t="str">
        <f> IF(ISERROR(vlookup(C138,RadioFreqs,6,FALSE)), "", vlookup(C138,RadioFreqs,6,FALSE))</f>
        <v/>
      </c>
      <c r="J138" s="619" t="str">
        <f> IF(ISERROR(vlookup(C138,RadioFreqs,7,FALSE)), "", vlookup(C138,RadioFreqs,7,FALSE))</f>
        <v/>
      </c>
      <c r="K138" s="643"/>
      <c r="L138" s="644"/>
      <c r="M138" s="644"/>
    </row>
    <row r="139">
      <c r="A139" s="628"/>
      <c r="B139" s="649"/>
      <c r="C139" s="653"/>
      <c r="D139" s="654"/>
      <c r="E139" s="616" t="str">
        <f> IF(ISERROR(vlookup(C139,RadioFreqs,2,FALSE)), "", vlookup(C139,RadioFreqs,2,FALSE))</f>
        <v/>
      </c>
      <c r="F139" s="617" t="str">
        <f> IF(ISERROR(vlookup(C139,RadioFreqs,3,FALSE)), "", vlookup(C139,RadioFreqs,3,FALSE))</f>
        <v/>
      </c>
      <c r="G139" s="618" t="str">
        <f> IF(ISERROR(vlookup(C139,RadioFreqs,4,FALSE)), "", vlookup(C139,RadioFreqs,4,FALSE))</f>
        <v/>
      </c>
      <c r="H139" s="617" t="str">
        <f> IF(ISERROR(vlookup(C139,RadioFreqs,5,FALSE)), "", vlookup(C139,RadioFreqs,5,FALSE))</f>
        <v/>
      </c>
      <c r="I139" s="618" t="str">
        <f> IF(ISERROR(vlookup(C139,RadioFreqs,6,FALSE)), "", vlookup(C139,RadioFreqs,6,FALSE))</f>
        <v/>
      </c>
      <c r="J139" s="619" t="str">
        <f> IF(ISERROR(vlookup(C139,RadioFreqs,7,FALSE)), "", vlookup(C139,RadioFreqs,7,FALSE))</f>
        <v/>
      </c>
      <c r="K139" s="643"/>
      <c r="L139" s="644"/>
      <c r="M139" s="644"/>
    </row>
    <row r="140">
      <c r="A140" s="628"/>
      <c r="B140" s="649"/>
      <c r="C140" s="653"/>
      <c r="D140" s="654"/>
      <c r="E140" s="616" t="str">
        <f> IF(ISERROR(vlookup(C140,RadioFreqs,2,FALSE)), "", vlookup(C140,RadioFreqs,2,FALSE))</f>
        <v/>
      </c>
      <c r="F140" s="617" t="str">
        <f> IF(ISERROR(vlookup(C140,RadioFreqs,3,FALSE)), "", vlookup(C140,RadioFreqs,3,FALSE))</f>
        <v/>
      </c>
      <c r="G140" s="618" t="str">
        <f> IF(ISERROR(vlookup(C140,RadioFreqs,4,FALSE)), "", vlookup(C140,RadioFreqs,4,FALSE))</f>
        <v/>
      </c>
      <c r="H140" s="617" t="str">
        <f> IF(ISERROR(vlookup(C140,RadioFreqs,5,FALSE)), "", vlookup(C140,RadioFreqs,5,FALSE))</f>
        <v/>
      </c>
      <c r="I140" s="618" t="str">
        <f> IF(ISERROR(vlookup(C140,RadioFreqs,6,FALSE)), "", vlookup(C140,RadioFreqs,6,FALSE))</f>
        <v/>
      </c>
      <c r="J140" s="619" t="str">
        <f> IF(ISERROR(vlookup(C140,RadioFreqs,7,FALSE)), "", vlookup(C140,RadioFreqs,7,FALSE))</f>
        <v/>
      </c>
      <c r="K140" s="643"/>
      <c r="L140" s="644"/>
      <c r="M140" s="644"/>
    </row>
    <row r="141">
      <c r="A141" s="628"/>
      <c r="B141" s="649"/>
      <c r="C141" s="653"/>
      <c r="D141" s="654"/>
      <c r="E141" s="616" t="str">
        <f> IF(ISERROR(vlookup(C141,RadioFreqs,2,FALSE)), "", vlookup(C141,RadioFreqs,2,FALSE))</f>
        <v/>
      </c>
      <c r="F141" s="617" t="str">
        <f> IF(ISERROR(vlookup(C141,RadioFreqs,3,FALSE)), "", vlookup(C141,RadioFreqs,3,FALSE))</f>
        <v/>
      </c>
      <c r="G141" s="618" t="str">
        <f> IF(ISERROR(vlookup(C141,RadioFreqs,4,FALSE)), "", vlookup(C141,RadioFreqs,4,FALSE))</f>
        <v/>
      </c>
      <c r="H141" s="617" t="str">
        <f> IF(ISERROR(vlookup(C141,RadioFreqs,5,FALSE)), "", vlookup(C141,RadioFreqs,5,FALSE))</f>
        <v/>
      </c>
      <c r="I141" s="618" t="str">
        <f> IF(ISERROR(vlookup(C141,RadioFreqs,6,FALSE)), "", vlookup(C141,RadioFreqs,6,FALSE))</f>
        <v/>
      </c>
      <c r="J141" s="619" t="str">
        <f> IF(ISERROR(vlookup(C141,RadioFreqs,7,FALSE)), "", vlookup(C141,RadioFreqs,7,FALSE))</f>
        <v/>
      </c>
      <c r="K141" s="643"/>
      <c r="L141" s="644"/>
      <c r="M141" s="644"/>
    </row>
    <row r="142">
      <c r="A142" s="628"/>
      <c r="B142" s="649"/>
      <c r="C142" s="653"/>
      <c r="D142" s="654"/>
      <c r="E142" s="616" t="str">
        <f> IF(ISERROR(vlookup(C142,RadioFreqs,2,FALSE)), "", vlookup(C142,RadioFreqs,2,FALSE))</f>
        <v/>
      </c>
      <c r="F142" s="617" t="str">
        <f> IF(ISERROR(vlookup(C142,RadioFreqs,3,FALSE)), "", vlookup(C142,RadioFreqs,3,FALSE))</f>
        <v/>
      </c>
      <c r="G142" s="618" t="str">
        <f> IF(ISERROR(vlookup(C142,RadioFreqs,4,FALSE)), "", vlookup(C142,RadioFreqs,4,FALSE))</f>
        <v/>
      </c>
      <c r="H142" s="617" t="str">
        <f> IF(ISERROR(vlookup(C142,RadioFreqs,5,FALSE)), "", vlookup(C142,RadioFreqs,5,FALSE))</f>
        <v/>
      </c>
      <c r="I142" s="618" t="str">
        <f> IF(ISERROR(vlookup(C142,RadioFreqs,6,FALSE)), "", vlookup(C142,RadioFreqs,6,FALSE))</f>
        <v/>
      </c>
      <c r="J142" s="619" t="str">
        <f> IF(ISERROR(vlookup(C142,RadioFreqs,7,FALSE)), "", vlookup(C142,RadioFreqs,7,FALSE))</f>
        <v/>
      </c>
      <c r="K142" s="643"/>
      <c r="L142" s="644"/>
      <c r="M142" s="644"/>
    </row>
    <row r="143">
      <c r="A143" s="628"/>
      <c r="B143" s="649"/>
      <c r="C143" s="653"/>
      <c r="D143" s="654"/>
      <c r="E143" s="616" t="str">
        <f> IF(ISERROR(vlookup(C143,RadioFreqs,2,FALSE)), "", vlookup(C143,RadioFreqs,2,FALSE))</f>
        <v/>
      </c>
      <c r="F143" s="617" t="str">
        <f> IF(ISERROR(vlookup(C143,RadioFreqs,3,FALSE)), "", vlookup(C143,RadioFreqs,3,FALSE))</f>
        <v/>
      </c>
      <c r="G143" s="618" t="str">
        <f> IF(ISERROR(vlookup(C143,RadioFreqs,4,FALSE)), "", vlookup(C143,RadioFreqs,4,FALSE))</f>
        <v/>
      </c>
      <c r="H143" s="617" t="str">
        <f> IF(ISERROR(vlookup(C143,RadioFreqs,5,FALSE)), "", vlookup(C143,RadioFreqs,5,FALSE))</f>
        <v/>
      </c>
      <c r="I143" s="618" t="str">
        <f> IF(ISERROR(vlookup(C143,RadioFreqs,6,FALSE)), "", vlookup(C143,RadioFreqs,6,FALSE))</f>
        <v/>
      </c>
      <c r="J143" s="619" t="str">
        <f> IF(ISERROR(vlookup(C143,RadioFreqs,7,FALSE)), "", vlookup(C143,RadioFreqs,7,FALSE))</f>
        <v/>
      </c>
      <c r="K143" s="643"/>
      <c r="L143" s="644"/>
      <c r="M143" s="644"/>
    </row>
    <row r="144">
      <c r="A144" s="628"/>
      <c r="B144" s="649"/>
      <c r="C144" s="653"/>
      <c r="D144" s="654"/>
      <c r="E144" s="616" t="str">
        <f> IF(ISERROR(vlookup(C144,RadioFreqs,2,FALSE)), "", vlookup(C144,RadioFreqs,2,FALSE))</f>
        <v/>
      </c>
      <c r="F144" s="617" t="str">
        <f> IF(ISERROR(vlookup(C144,RadioFreqs,3,FALSE)), "", vlookup(C144,RadioFreqs,3,FALSE))</f>
        <v/>
      </c>
      <c r="G144" s="618" t="str">
        <f> IF(ISERROR(vlookup(C144,RadioFreqs,4,FALSE)), "", vlookup(C144,RadioFreqs,4,FALSE))</f>
        <v/>
      </c>
      <c r="H144" s="617" t="str">
        <f> IF(ISERROR(vlookup(C144,RadioFreqs,5,FALSE)), "", vlookup(C144,RadioFreqs,5,FALSE))</f>
        <v/>
      </c>
      <c r="I144" s="618" t="str">
        <f> IF(ISERROR(vlookup(C144,RadioFreqs,6,FALSE)), "", vlookup(C144,RadioFreqs,6,FALSE))</f>
        <v/>
      </c>
      <c r="J144" s="619" t="str">
        <f> IF(ISERROR(vlookup(C144,RadioFreqs,7,FALSE)), "", vlookup(C144,RadioFreqs,7,FALSE))</f>
        <v/>
      </c>
      <c r="K144" s="643"/>
      <c r="L144" s="644"/>
      <c r="M144" s="644"/>
    </row>
    <row r="145">
      <c r="A145" s="628"/>
      <c r="B145" s="649"/>
      <c r="C145" s="653"/>
      <c r="D145" s="654"/>
      <c r="E145" s="616" t="str">
        <f> IF(ISERROR(vlookup(C145,RadioFreqs,2,FALSE)), "", vlookup(C145,RadioFreqs,2,FALSE))</f>
        <v/>
      </c>
      <c r="F145" s="617" t="str">
        <f> IF(ISERROR(vlookup(C145,RadioFreqs,3,FALSE)), "", vlookup(C145,RadioFreqs,3,FALSE))</f>
        <v/>
      </c>
      <c r="G145" s="618" t="str">
        <f> IF(ISERROR(vlookup(C145,RadioFreqs,4,FALSE)), "", vlookup(C145,RadioFreqs,4,FALSE))</f>
        <v/>
      </c>
      <c r="H145" s="617" t="str">
        <f> IF(ISERROR(vlookup(C145,RadioFreqs,5,FALSE)), "", vlookup(C145,RadioFreqs,5,FALSE))</f>
        <v/>
      </c>
      <c r="I145" s="618" t="str">
        <f> IF(ISERROR(vlookup(C145,RadioFreqs,6,FALSE)), "", vlookup(C145,RadioFreqs,6,FALSE))</f>
        <v/>
      </c>
      <c r="J145" s="619" t="str">
        <f> IF(ISERROR(vlookup(C145,RadioFreqs,7,FALSE)), "", vlookup(C145,RadioFreqs,7,FALSE))</f>
        <v/>
      </c>
      <c r="K145" s="643"/>
      <c r="L145" s="644"/>
      <c r="M145" s="644"/>
    </row>
    <row r="146">
      <c r="A146" s="661"/>
      <c r="F146" s="133"/>
      <c r="G146" s="133"/>
      <c r="H146" s="133"/>
      <c r="I146" s="133"/>
      <c r="J146" s="133"/>
      <c r="L146" s="555"/>
      <c r="M146" s="555"/>
    </row>
    <row r="147">
      <c r="A147" s="662" t="s">
        <v>558</v>
      </c>
      <c r="B147" s="74"/>
      <c r="C147" s="74"/>
      <c r="D147" s="74"/>
      <c r="E147" s="74"/>
      <c r="F147" s="74"/>
      <c r="G147" s="74"/>
      <c r="H147" s="74"/>
      <c r="I147" s="74"/>
      <c r="J147" s="74"/>
      <c r="K147" s="45"/>
      <c r="L147" s="663"/>
      <c r="M147" s="663"/>
    </row>
    <row r="148">
      <c r="A148" s="664" t="s">
        <v>559</v>
      </c>
      <c r="B148" s="165"/>
      <c r="C148" s="165"/>
      <c r="D148" s="165"/>
      <c r="E148" s="165"/>
      <c r="F148" s="165"/>
      <c r="G148" s="165"/>
      <c r="H148" s="165"/>
      <c r="I148" s="165"/>
      <c r="J148" s="165"/>
      <c r="K148" s="210"/>
      <c r="L148" s="661"/>
      <c r="M148" s="661"/>
    </row>
    <row r="149">
      <c r="A149" s="104"/>
      <c r="B149" s="77"/>
      <c r="C149" s="77"/>
      <c r="D149" s="77"/>
      <c r="E149" s="77"/>
      <c r="F149" s="77"/>
      <c r="G149" s="77"/>
      <c r="H149" s="77"/>
      <c r="I149" s="77"/>
      <c r="J149" s="77"/>
      <c r="K149" s="55"/>
      <c r="L149" s="661"/>
      <c r="M149" s="661"/>
    </row>
    <row r="150">
      <c r="A150" s="665" t="s">
        <v>560</v>
      </c>
      <c r="B150" s="77"/>
      <c r="C150" s="77"/>
      <c r="D150" s="77"/>
      <c r="E150" s="666"/>
      <c r="F150" s="77"/>
      <c r="G150" s="667"/>
      <c r="H150" s="165"/>
      <c r="I150" s="165"/>
      <c r="J150" s="668"/>
      <c r="K150" s="669"/>
      <c r="L150" s="24"/>
      <c r="M150" s="24"/>
    </row>
    <row r="151">
      <c r="A151" s="670" t="s">
        <v>315</v>
      </c>
      <c r="B151" s="77"/>
      <c r="C151" s="55"/>
      <c r="D151" s="258"/>
      <c r="E151" s="671"/>
      <c r="F151" s="672"/>
      <c r="G151" s="673"/>
      <c r="H151" s="77"/>
      <c r="I151" s="77"/>
      <c r="J151" s="674"/>
      <c r="K151" s="675"/>
      <c r="L151" s="24"/>
      <c r="M151" s="24"/>
    </row>
    <row r="152">
      <c r="A152" s="676"/>
      <c r="F152" s="133"/>
      <c r="G152" s="133"/>
      <c r="H152" s="133"/>
      <c r="I152" s="677"/>
      <c r="J152" s="677"/>
      <c r="K152" s="677" t="s">
        <v>414</v>
      </c>
    </row>
    <row r="153">
      <c r="A153" s="678" t="s">
        <v>561</v>
      </c>
    </row>
    <row r="154">
      <c r="A154" s="679" t="s">
        <v>562</v>
      </c>
      <c r="K154" s="680"/>
    </row>
    <row r="155">
      <c r="A155" s="679" t="s">
        <v>563</v>
      </c>
      <c r="K155" s="680"/>
      <c r="L155" s="24"/>
      <c r="M155" s="24"/>
    </row>
    <row r="156">
      <c r="A156" s="679" t="s">
        <v>564</v>
      </c>
      <c r="K156" s="680"/>
      <c r="L156" s="24"/>
      <c r="M156" s="24"/>
    </row>
    <row r="157">
      <c r="A157" s="681" t="s">
        <v>565</v>
      </c>
      <c r="K157" s="680"/>
      <c r="L157" s="24"/>
      <c r="M157" s="24"/>
    </row>
    <row r="158">
      <c r="A158" s="682" t="s">
        <v>566</v>
      </c>
      <c r="K158" s="680"/>
      <c r="L158" s="24"/>
      <c r="M158" s="24"/>
    </row>
    <row r="159">
      <c r="A159" s="682" t="s">
        <v>567</v>
      </c>
      <c r="K159" s="680"/>
      <c r="L159" s="24"/>
      <c r="M159" s="24"/>
    </row>
    <row r="160">
      <c r="A160" s="682" t="s">
        <v>568</v>
      </c>
      <c r="K160" s="680"/>
      <c r="L160" s="24"/>
      <c r="M160" s="24"/>
    </row>
    <row r="161">
      <c r="A161" s="679" t="s">
        <v>569</v>
      </c>
      <c r="K161" s="680"/>
      <c r="L161" s="24"/>
      <c r="M161" s="24"/>
    </row>
    <row r="162">
      <c r="A162" s="682" t="s">
        <v>570</v>
      </c>
      <c r="K162" s="680"/>
      <c r="L162" s="24"/>
      <c r="M162" s="24"/>
    </row>
    <row r="163">
      <c r="A163" s="683" t="s">
        <v>571</v>
      </c>
      <c r="L163" s="24"/>
      <c r="M163" s="24"/>
    </row>
    <row r="164">
      <c r="A164" s="678" t="s">
        <v>482</v>
      </c>
      <c r="L164" s="24"/>
      <c r="M164" s="24"/>
    </row>
    <row r="165">
      <c r="A165" s="679" t="s">
        <v>572</v>
      </c>
      <c r="K165" s="680"/>
      <c r="L165" s="24"/>
      <c r="M165" s="24"/>
    </row>
    <row r="166">
      <c r="A166" s="679" t="s">
        <v>573</v>
      </c>
      <c r="K166" s="680"/>
      <c r="L166" s="24"/>
      <c r="M166" s="24"/>
    </row>
    <row r="167">
      <c r="A167" s="682" t="s">
        <v>574</v>
      </c>
      <c r="K167" s="680"/>
      <c r="L167" s="24"/>
      <c r="M167" s="24"/>
    </row>
    <row r="168">
      <c r="A168" s="661" t="s">
        <v>575</v>
      </c>
      <c r="M168" s="24"/>
    </row>
    <row r="169">
      <c r="A169" s="676" t="s">
        <v>576</v>
      </c>
      <c r="M169" s="24"/>
    </row>
    <row r="170">
      <c r="A170" s="676" t="s">
        <v>577</v>
      </c>
      <c r="M170" s="24"/>
    </row>
    <row r="171">
      <c r="A171" s="678" t="s">
        <v>484</v>
      </c>
      <c r="L171" s="684"/>
      <c r="M171" s="24"/>
    </row>
    <row r="172">
      <c r="A172" s="679" t="s">
        <v>578</v>
      </c>
      <c r="L172" s="24"/>
      <c r="M172" s="24"/>
    </row>
    <row r="173">
      <c r="A173" s="682" t="s">
        <v>579</v>
      </c>
      <c r="K173" s="680"/>
      <c r="L173" s="24"/>
      <c r="M173" s="24"/>
    </row>
    <row r="174">
      <c r="A174" s="661" t="s">
        <v>508</v>
      </c>
      <c r="L174" s="24"/>
      <c r="M174" s="24"/>
    </row>
    <row r="175">
      <c r="A175" s="685" t="s">
        <v>580</v>
      </c>
      <c r="B175" s="24"/>
      <c r="C175" s="24"/>
      <c r="D175" s="24"/>
      <c r="E175" s="24"/>
      <c r="F175" s="686"/>
      <c r="G175" s="687"/>
      <c r="H175" s="686"/>
      <c r="I175" s="687"/>
      <c r="J175" s="687"/>
      <c r="K175" s="24"/>
      <c r="L175" s="24"/>
      <c r="M175" s="24"/>
    </row>
    <row r="176">
      <c r="A176" s="688" t="s">
        <v>581</v>
      </c>
      <c r="B176" s="24"/>
      <c r="C176" s="24"/>
      <c r="D176" s="24"/>
      <c r="E176" s="24"/>
      <c r="F176" s="686"/>
      <c r="G176" s="687"/>
      <c r="H176" s="686"/>
      <c r="I176" s="687"/>
      <c r="J176" s="687"/>
      <c r="K176" s="24"/>
      <c r="L176" s="24"/>
      <c r="M176" s="24"/>
    </row>
    <row r="177">
      <c r="A177" s="685" t="s">
        <v>582</v>
      </c>
      <c r="B177" s="24"/>
      <c r="C177" s="24"/>
      <c r="D177" s="24"/>
      <c r="E177" s="24"/>
      <c r="F177" s="686"/>
      <c r="G177" s="687"/>
      <c r="H177" s="686"/>
      <c r="I177" s="687"/>
      <c r="J177" s="687"/>
      <c r="K177" s="24"/>
      <c r="L177" s="24"/>
      <c r="M177" s="24"/>
    </row>
    <row r="178">
      <c r="A178" s="689"/>
      <c r="B178" s="24"/>
      <c r="C178" s="24"/>
      <c r="D178" s="24"/>
      <c r="E178" s="24"/>
      <c r="F178" s="686"/>
      <c r="G178" s="687"/>
      <c r="H178" s="686"/>
      <c r="I178" s="687"/>
      <c r="J178" s="687"/>
      <c r="K178" s="24"/>
      <c r="L178" s="24"/>
      <c r="M178" s="24"/>
    </row>
    <row r="179">
      <c r="A179" s="690" t="s">
        <v>256</v>
      </c>
      <c r="B179" s="223"/>
      <c r="C179" s="224"/>
      <c r="D179" s="24"/>
      <c r="E179" s="24"/>
      <c r="F179" s="686"/>
      <c r="G179" s="691"/>
      <c r="H179" s="686"/>
      <c r="I179" s="687"/>
      <c r="J179" s="687"/>
      <c r="K179" s="24"/>
      <c r="L179" s="24"/>
      <c r="M179" s="24"/>
    </row>
    <row r="180">
      <c r="A180" s="692" t="s">
        <v>257</v>
      </c>
      <c r="B180" s="693" t="s">
        <v>583</v>
      </c>
      <c r="C180" s="694"/>
      <c r="D180" s="694"/>
      <c r="E180" s="24"/>
      <c r="F180" s="686"/>
      <c r="G180" s="687"/>
      <c r="H180" s="686"/>
      <c r="I180" s="687"/>
      <c r="J180" s="687"/>
      <c r="K180" s="24"/>
      <c r="L180" s="24"/>
      <c r="M180" s="24"/>
    </row>
    <row r="181">
      <c r="A181" s="695" t="str">
        <f>'203'!E9</f>
        <v>I</v>
      </c>
      <c r="B181" s="24"/>
      <c r="C181" s="24"/>
      <c r="D181" s="24"/>
      <c r="E181" s="24"/>
      <c r="F181" s="686"/>
      <c r="G181" s="687"/>
      <c r="H181" s="686"/>
      <c r="I181" s="687"/>
      <c r="J181" s="687"/>
      <c r="K181" s="24"/>
      <c r="L181" s="24"/>
      <c r="M181" s="24"/>
    </row>
    <row r="182">
      <c r="A182" s="695" t="str">
        <f>'203'!E10</f>
        <v>A - FEMA</v>
      </c>
      <c r="B182" s="24"/>
      <c r="C182" s="24"/>
      <c r="D182" s="24"/>
      <c r="E182" s="24"/>
      <c r="F182" s="686"/>
      <c r="G182" s="687"/>
      <c r="H182" s="686"/>
      <c r="I182" s="687"/>
      <c r="J182" s="687"/>
      <c r="K182" s="24"/>
      <c r="L182" s="24"/>
      <c r="M182" s="24"/>
    </row>
    <row r="183">
      <c r="A183" s="695" t="str">
        <f>'203'!E11</f>
        <v>B - NWCG</v>
      </c>
      <c r="B183" s="24"/>
      <c r="C183" s="24"/>
      <c r="D183" s="24"/>
      <c r="E183" s="24"/>
      <c r="F183" s="686"/>
      <c r="G183" s="691"/>
      <c r="H183" s="686"/>
      <c r="I183" s="687"/>
      <c r="J183" s="687"/>
      <c r="K183" s="24"/>
      <c r="L183" s="24"/>
      <c r="M183" s="24"/>
    </row>
    <row r="184">
      <c r="A184" s="695" t="str">
        <f>'203'!E12</f>
        <v>M</v>
      </c>
      <c r="B184" s="24"/>
      <c r="C184" s="24"/>
      <c r="D184" s="24"/>
      <c r="E184" s="24"/>
      <c r="F184" s="686"/>
      <c r="G184" s="691"/>
      <c r="H184" s="686"/>
      <c r="I184" s="687"/>
      <c r="J184" s="687"/>
      <c r="K184" s="24"/>
      <c r="L184" s="24"/>
      <c r="M184" s="24"/>
    </row>
    <row r="185">
      <c r="A185" s="695" t="str">
        <f>'203'!E13</f>
        <v/>
      </c>
      <c r="B185" s="24"/>
      <c r="C185" s="24"/>
      <c r="D185" s="24"/>
      <c r="E185" s="24"/>
      <c r="F185" s="686"/>
      <c r="G185" s="691"/>
      <c r="H185" s="686"/>
      <c r="I185" s="687"/>
      <c r="J185" s="687"/>
      <c r="K185" s="24"/>
      <c r="L185" s="24"/>
      <c r="M185" s="24"/>
    </row>
    <row r="186">
      <c r="A186" s="695" t="str">
        <f>'203'!E14</f>
        <v/>
      </c>
      <c r="B186" s="24"/>
      <c r="C186" s="24"/>
      <c r="D186" s="24"/>
      <c r="E186" s="24"/>
      <c r="F186" s="686"/>
      <c r="G186" s="691"/>
      <c r="H186" s="686"/>
      <c r="I186" s="687"/>
      <c r="J186" s="687"/>
      <c r="K186" s="24"/>
      <c r="L186" s="24"/>
      <c r="M186" s="24"/>
    </row>
    <row r="187">
      <c r="A187" s="695" t="str">
        <f>'203'!E15</f>
        <v>II</v>
      </c>
      <c r="B187" s="24"/>
      <c r="C187" s="24"/>
      <c r="D187" s="24"/>
      <c r="E187" s="24"/>
      <c r="F187" s="686"/>
      <c r="G187" s="691"/>
      <c r="H187" s="686"/>
      <c r="I187" s="687"/>
      <c r="J187" s="687"/>
      <c r="K187" s="24"/>
      <c r="L187" s="24"/>
      <c r="M187" s="24"/>
    </row>
    <row r="188">
      <c r="A188" s="695" t="str">
        <f>'203'!E16</f>
        <v/>
      </c>
      <c r="B188" s="24"/>
      <c r="C188" s="24"/>
      <c r="D188" s="24"/>
      <c r="E188" s="24"/>
      <c r="F188" s="686"/>
      <c r="G188" s="691"/>
      <c r="H188" s="686"/>
      <c r="I188" s="687"/>
      <c r="J188" s="687"/>
      <c r="K188" s="24"/>
      <c r="L188" s="24"/>
      <c r="M188" s="24"/>
    </row>
    <row r="189">
      <c r="A189" s="695" t="str">
        <f>'203'!E17</f>
        <v/>
      </c>
      <c r="B189" s="24"/>
      <c r="C189" s="24"/>
      <c r="D189" s="24"/>
      <c r="E189" s="24"/>
      <c r="F189" s="686"/>
      <c r="G189" s="691"/>
      <c r="H189" s="686"/>
      <c r="I189" s="687"/>
      <c r="J189" s="687"/>
      <c r="K189" s="24"/>
      <c r="L189" s="24"/>
      <c r="M189" s="24"/>
    </row>
    <row r="190">
      <c r="A190" s="695" t="str">
        <f>'203'!E18</f>
        <v/>
      </c>
      <c r="B190" s="24"/>
      <c r="C190" s="24"/>
      <c r="D190" s="24"/>
      <c r="E190" s="24"/>
      <c r="F190" s="686"/>
      <c r="G190" s="691"/>
      <c r="H190" s="686"/>
      <c r="I190" s="687"/>
      <c r="J190" s="687"/>
      <c r="K190" s="24"/>
      <c r="L190" s="24"/>
      <c r="M190" s="24"/>
    </row>
    <row r="191">
      <c r="A191" s="695" t="str">
        <f>'203'!E19</f>
        <v/>
      </c>
      <c r="B191" s="24"/>
      <c r="C191" s="24"/>
      <c r="D191" s="24"/>
      <c r="E191" s="24"/>
      <c r="F191" s="686"/>
      <c r="G191" s="691"/>
      <c r="H191" s="686"/>
      <c r="I191" s="687"/>
      <c r="J191" s="687"/>
      <c r="K191" s="24"/>
      <c r="L191" s="24"/>
      <c r="M191" s="24"/>
    </row>
    <row r="192">
      <c r="A192" s="695" t="str">
        <f>'203'!E20</f>
        <v/>
      </c>
      <c r="B192" s="24"/>
      <c r="C192" s="24"/>
      <c r="D192" s="24"/>
      <c r="E192" s="24"/>
      <c r="F192" s="686"/>
      <c r="G192" s="691"/>
      <c r="H192" s="686"/>
      <c r="I192" s="687"/>
      <c r="J192" s="687"/>
      <c r="K192" s="24"/>
      <c r="L192" s="24"/>
      <c r="M192" s="24"/>
    </row>
    <row r="193">
      <c r="A193" s="695" t="str">
        <f>'203'!E21</f>
        <v>III</v>
      </c>
      <c r="B193" s="24"/>
      <c r="C193" s="24"/>
      <c r="D193" s="24"/>
      <c r="E193" s="24"/>
      <c r="F193" s="686"/>
      <c r="G193" s="691"/>
      <c r="H193" s="686"/>
      <c r="I193" s="687"/>
      <c r="J193" s="687"/>
      <c r="K193" s="24"/>
      <c r="L193" s="24"/>
      <c r="M193" s="24"/>
    </row>
    <row r="194">
      <c r="A194" s="695" t="str">
        <f>'203'!E22</f>
        <v/>
      </c>
      <c r="B194" s="24"/>
      <c r="C194" s="24"/>
      <c r="D194" s="24"/>
      <c r="E194" s="24"/>
      <c r="F194" s="686"/>
      <c r="G194" s="691"/>
      <c r="H194" s="686"/>
      <c r="I194" s="687"/>
      <c r="J194" s="687"/>
      <c r="K194" s="24"/>
      <c r="L194" s="24"/>
      <c r="M194" s="24"/>
    </row>
    <row r="195">
      <c r="A195" s="695" t="str">
        <f>'203'!E23</f>
        <v/>
      </c>
      <c r="B195" s="24"/>
      <c r="C195" s="24"/>
      <c r="D195" s="24"/>
      <c r="E195" s="24"/>
      <c r="F195" s="686"/>
      <c r="G195" s="691"/>
      <c r="H195" s="686"/>
      <c r="I195" s="687"/>
      <c r="J195" s="687"/>
      <c r="K195" s="24"/>
      <c r="L195" s="24"/>
      <c r="M195" s="24"/>
    </row>
    <row r="196">
      <c r="A196" s="695" t="str">
        <f>'203'!E24</f>
        <v/>
      </c>
      <c r="B196" s="24"/>
      <c r="C196" s="24"/>
      <c r="D196" s="24"/>
      <c r="E196" s="24"/>
      <c r="F196" s="686"/>
      <c r="G196" s="691"/>
      <c r="H196" s="686"/>
      <c r="I196" s="687"/>
      <c r="J196" s="687"/>
      <c r="K196" s="24"/>
      <c r="L196" s="24"/>
      <c r="M196" s="24"/>
    </row>
    <row r="197">
      <c r="A197" s="695" t="str">
        <f>'203'!E25</f>
        <v/>
      </c>
      <c r="B197" s="24"/>
      <c r="C197" s="24"/>
      <c r="D197" s="24"/>
      <c r="E197" s="24"/>
      <c r="F197" s="686"/>
      <c r="G197" s="691"/>
      <c r="H197" s="686"/>
      <c r="I197" s="687"/>
      <c r="J197" s="687"/>
      <c r="K197" s="24"/>
      <c r="L197" s="24"/>
      <c r="M197" s="24"/>
    </row>
    <row r="198">
      <c r="A198" s="695" t="str">
        <f>'203'!E26</f>
        <v/>
      </c>
      <c r="B198" s="24"/>
      <c r="C198" s="24"/>
      <c r="D198" s="24"/>
      <c r="E198" s="24"/>
      <c r="F198" s="686"/>
      <c r="G198" s="691"/>
      <c r="H198" s="686"/>
      <c r="I198" s="687"/>
      <c r="J198" s="687"/>
      <c r="K198" s="24"/>
      <c r="L198" s="24"/>
      <c r="M198" s="24"/>
    </row>
    <row r="199">
      <c r="A199" s="695" t="str">
        <f>'203'!E27</f>
        <v>IV</v>
      </c>
      <c r="B199" s="24"/>
      <c r="C199" s="24"/>
      <c r="D199" s="24"/>
      <c r="E199" s="24"/>
      <c r="F199" s="686"/>
      <c r="G199" s="691"/>
      <c r="H199" s="686"/>
      <c r="I199" s="687"/>
      <c r="J199" s="687"/>
      <c r="K199" s="24"/>
      <c r="L199" s="24"/>
      <c r="M199" s="24"/>
    </row>
    <row r="200">
      <c r="A200" s="695" t="str">
        <f>'203'!E28</f>
        <v/>
      </c>
      <c r="B200" s="24"/>
      <c r="C200" s="24"/>
      <c r="D200" s="24"/>
      <c r="E200" s="24"/>
      <c r="F200" s="686"/>
      <c r="G200" s="691"/>
      <c r="H200" s="686"/>
      <c r="I200" s="687"/>
      <c r="J200" s="687"/>
      <c r="K200" s="24"/>
      <c r="L200" s="24"/>
      <c r="M200" s="24"/>
    </row>
    <row r="201">
      <c r="A201" s="695" t="str">
        <f>'203'!E29</f>
        <v/>
      </c>
      <c r="B201" s="24"/>
      <c r="C201" s="24"/>
      <c r="D201" s="24"/>
      <c r="E201" s="24"/>
      <c r="F201" s="686"/>
      <c r="G201" s="691"/>
      <c r="H201" s="686"/>
      <c r="I201" s="687"/>
      <c r="J201" s="687"/>
      <c r="K201" s="24"/>
      <c r="L201" s="24"/>
      <c r="M201" s="24"/>
    </row>
    <row r="202">
      <c r="A202" s="695" t="str">
        <f>'203'!E30</f>
        <v/>
      </c>
      <c r="B202" s="24"/>
      <c r="C202" s="24"/>
      <c r="D202" s="24"/>
      <c r="E202" s="24"/>
      <c r="F202" s="686"/>
      <c r="G202" s="691"/>
      <c r="H202" s="686"/>
      <c r="I202" s="687"/>
      <c r="J202" s="687"/>
      <c r="K202" s="24"/>
      <c r="L202" s="24"/>
      <c r="M202" s="24"/>
    </row>
    <row r="203">
      <c r="A203" s="695" t="str">
        <f>'203'!E31</f>
        <v/>
      </c>
      <c r="B203" s="24"/>
      <c r="C203" s="24"/>
      <c r="D203" s="24"/>
      <c r="E203" s="24"/>
      <c r="F203" s="686"/>
      <c r="G203" s="691"/>
      <c r="H203" s="686"/>
      <c r="I203" s="687"/>
      <c r="J203" s="687"/>
      <c r="K203" s="24"/>
      <c r="L203" s="24"/>
      <c r="M203" s="24"/>
    </row>
    <row r="204">
      <c r="A204" s="695" t="str">
        <f>'203'!E32</f>
        <v/>
      </c>
      <c r="B204" s="24"/>
      <c r="C204" s="24"/>
      <c r="D204" s="24"/>
      <c r="E204" s="24"/>
      <c r="F204" s="686"/>
      <c r="G204" s="691"/>
      <c r="H204" s="686"/>
      <c r="I204" s="687"/>
      <c r="J204" s="687"/>
      <c r="K204" s="24"/>
      <c r="L204" s="24"/>
      <c r="M204" s="24"/>
    </row>
    <row r="205">
      <c r="A205" s="695" t="str">
        <f>'203'!E33</f>
        <v>V</v>
      </c>
      <c r="B205" s="24"/>
      <c r="C205" s="24"/>
      <c r="D205" s="24"/>
      <c r="E205" s="24"/>
      <c r="F205" s="686"/>
      <c r="G205" s="691"/>
      <c r="H205" s="686"/>
      <c r="I205" s="687"/>
      <c r="J205" s="687"/>
      <c r="K205" s="24"/>
      <c r="L205" s="24"/>
      <c r="M205" s="24"/>
    </row>
    <row r="206">
      <c r="A206" s="695" t="str">
        <f>'203'!E34</f>
        <v/>
      </c>
      <c r="B206" s="24"/>
      <c r="C206" s="24"/>
      <c r="D206" s="24"/>
      <c r="E206" s="24"/>
      <c r="F206" s="686"/>
      <c r="G206" s="691"/>
      <c r="H206" s="686"/>
      <c r="I206" s="687"/>
      <c r="J206" s="687"/>
      <c r="K206" s="24"/>
      <c r="L206" s="24"/>
      <c r="M206" s="24"/>
    </row>
    <row r="207">
      <c r="A207" s="695" t="str">
        <f>'203'!E35</f>
        <v/>
      </c>
      <c r="B207" s="24"/>
      <c r="C207" s="24"/>
      <c r="D207" s="24"/>
      <c r="E207" s="24"/>
      <c r="F207" s="686"/>
      <c r="G207" s="691"/>
      <c r="H207" s="686"/>
      <c r="I207" s="687"/>
      <c r="J207" s="687"/>
      <c r="K207" s="24"/>
      <c r="L207" s="24"/>
      <c r="M207" s="24"/>
    </row>
    <row r="208">
      <c r="A208" s="695" t="str">
        <f>'203'!E36</f>
        <v/>
      </c>
      <c r="B208" s="24"/>
      <c r="C208" s="24"/>
      <c r="D208" s="24"/>
      <c r="E208" s="24"/>
      <c r="F208" s="686"/>
      <c r="G208" s="691"/>
      <c r="H208" s="686"/>
      <c r="I208" s="687"/>
      <c r="J208" s="687"/>
      <c r="K208" s="24"/>
      <c r="L208" s="24"/>
      <c r="M208" s="24"/>
    </row>
    <row r="209">
      <c r="A209" s="695" t="str">
        <f>'203'!E37</f>
        <v/>
      </c>
      <c r="B209" s="24"/>
      <c r="C209" s="24"/>
      <c r="D209" s="24"/>
      <c r="E209" s="24"/>
      <c r="F209" s="686"/>
      <c r="G209" s="691"/>
      <c r="H209" s="686"/>
      <c r="I209" s="687"/>
      <c r="J209" s="687"/>
      <c r="K209" s="24"/>
      <c r="L209" s="24"/>
      <c r="M209" s="24"/>
    </row>
    <row r="210">
      <c r="A210" s="695" t="str">
        <f>'203'!E38</f>
        <v/>
      </c>
      <c r="B210" s="24"/>
      <c r="C210" s="24"/>
      <c r="D210" s="24"/>
      <c r="E210" s="24"/>
      <c r="F210" s="686"/>
      <c r="G210" s="691"/>
      <c r="H210" s="686"/>
      <c r="I210" s="687"/>
      <c r="J210" s="687"/>
      <c r="K210" s="24"/>
      <c r="L210" s="24"/>
      <c r="M210" s="24"/>
    </row>
    <row r="211">
      <c r="A211" s="695" t="str">
        <f>'203A'!B8</f>
        <v/>
      </c>
      <c r="B211" s="24"/>
      <c r="C211" s="24"/>
      <c r="D211" s="24"/>
      <c r="E211" s="24"/>
      <c r="F211" s="686"/>
      <c r="G211" s="691"/>
      <c r="H211" s="686"/>
      <c r="I211" s="687"/>
      <c r="J211" s="687"/>
      <c r="K211" s="24"/>
      <c r="L211" s="24"/>
      <c r="M211" s="24"/>
    </row>
    <row r="212">
      <c r="A212" s="695" t="str">
        <f>'203A'!B9</f>
        <v>VI</v>
      </c>
      <c r="B212" s="24"/>
      <c r="C212" s="24"/>
      <c r="D212" s="24"/>
      <c r="E212" s="24"/>
      <c r="F212" s="686"/>
      <c r="G212" s="691"/>
      <c r="H212" s="686"/>
      <c r="I212" s="687"/>
      <c r="J212" s="687"/>
      <c r="K212" s="24"/>
      <c r="L212" s="24"/>
      <c r="M212" s="24"/>
    </row>
    <row r="213">
      <c r="A213" s="695" t="str">
        <f>'203A'!B10</f>
        <v/>
      </c>
      <c r="B213" s="24"/>
      <c r="C213" s="24"/>
      <c r="D213" s="24"/>
      <c r="E213" s="24"/>
      <c r="F213" s="686"/>
      <c r="G213" s="691"/>
      <c r="H213" s="686"/>
      <c r="I213" s="687"/>
      <c r="J213" s="687"/>
      <c r="K213" s="24"/>
      <c r="L213" s="24"/>
      <c r="M213" s="24"/>
    </row>
    <row r="214">
      <c r="A214" s="695" t="str">
        <f>'203A'!B11</f>
        <v/>
      </c>
      <c r="B214" s="24"/>
      <c r="C214" s="24"/>
      <c r="D214" s="24"/>
      <c r="E214" s="24"/>
      <c r="F214" s="686"/>
      <c r="G214" s="691"/>
      <c r="H214" s="686"/>
      <c r="I214" s="687"/>
      <c r="J214" s="687"/>
      <c r="K214" s="24"/>
      <c r="L214" s="24"/>
      <c r="M214" s="24"/>
    </row>
    <row r="215">
      <c r="A215" s="695" t="str">
        <f>'203A'!B12</f>
        <v/>
      </c>
      <c r="B215" s="24"/>
      <c r="C215" s="24"/>
      <c r="D215" s="24"/>
      <c r="E215" s="24"/>
      <c r="F215" s="686"/>
      <c r="G215" s="691"/>
      <c r="H215" s="686"/>
      <c r="I215" s="687"/>
      <c r="J215" s="687"/>
      <c r="K215" s="24"/>
      <c r="L215" s="24"/>
      <c r="M215" s="24"/>
    </row>
    <row r="216">
      <c r="A216" s="695" t="str">
        <f>'203A'!B13</f>
        <v/>
      </c>
      <c r="B216" s="24"/>
      <c r="C216" s="24"/>
      <c r="D216" s="24"/>
      <c r="E216" s="24"/>
      <c r="F216" s="686"/>
      <c r="G216" s="691"/>
      <c r="H216" s="686"/>
      <c r="I216" s="687"/>
      <c r="J216" s="687"/>
      <c r="K216" s="24"/>
      <c r="L216" s="24"/>
      <c r="M216" s="24"/>
    </row>
    <row r="217">
      <c r="A217" s="695" t="str">
        <f>'203A'!B14</f>
        <v/>
      </c>
      <c r="B217" s="24"/>
      <c r="C217" s="24"/>
      <c r="D217" s="24"/>
      <c r="E217" s="24"/>
      <c r="F217" s="686"/>
      <c r="G217" s="691"/>
      <c r="H217" s="686"/>
      <c r="I217" s="687"/>
      <c r="J217" s="687"/>
      <c r="K217" s="24"/>
      <c r="L217" s="24"/>
      <c r="M217" s="24"/>
    </row>
    <row r="218">
      <c r="A218" s="695" t="str">
        <f>'203A'!B15</f>
        <v/>
      </c>
      <c r="B218" s="24"/>
      <c r="C218" s="24"/>
      <c r="D218" s="24"/>
      <c r="E218" s="24"/>
      <c r="F218" s="686"/>
      <c r="G218" s="691"/>
      <c r="H218" s="686"/>
      <c r="I218" s="687"/>
      <c r="J218" s="687"/>
      <c r="K218" s="24"/>
      <c r="L218" s="24"/>
      <c r="M218" s="24"/>
    </row>
    <row r="219">
      <c r="A219" s="695" t="str">
        <f>'203A'!B16</f>
        <v>VII</v>
      </c>
      <c r="B219" s="24"/>
      <c r="C219" s="24"/>
      <c r="D219" s="24"/>
      <c r="E219" s="24"/>
      <c r="F219" s="686"/>
      <c r="G219" s="691"/>
      <c r="H219" s="686"/>
      <c r="I219" s="687"/>
      <c r="J219" s="687"/>
      <c r="K219" s="24"/>
      <c r="L219" s="24"/>
      <c r="M219" s="24"/>
    </row>
    <row r="220">
      <c r="A220" s="695" t="str">
        <f>'203A'!B17</f>
        <v/>
      </c>
      <c r="B220" s="24"/>
      <c r="C220" s="24"/>
      <c r="D220" s="24"/>
      <c r="E220" s="24"/>
      <c r="F220" s="686"/>
      <c r="G220" s="691"/>
      <c r="H220" s="686"/>
      <c r="I220" s="687"/>
      <c r="J220" s="687"/>
      <c r="K220" s="24"/>
      <c r="L220" s="24"/>
      <c r="M220" s="24"/>
    </row>
    <row r="221">
      <c r="A221" s="695" t="str">
        <f>'203A'!B18</f>
        <v/>
      </c>
      <c r="B221" s="24"/>
      <c r="C221" s="24"/>
      <c r="D221" s="24"/>
      <c r="E221" s="24"/>
      <c r="F221" s="686"/>
      <c r="G221" s="691"/>
      <c r="H221" s="686"/>
      <c r="I221" s="687"/>
      <c r="J221" s="687"/>
      <c r="K221" s="24"/>
      <c r="L221" s="24"/>
      <c r="M221" s="24"/>
    </row>
    <row r="222">
      <c r="A222" s="695" t="str">
        <f>'203A'!B19</f>
        <v/>
      </c>
      <c r="B222" s="24"/>
      <c r="C222" s="24"/>
      <c r="D222" s="24"/>
      <c r="E222" s="24"/>
      <c r="F222" s="686"/>
      <c r="G222" s="691"/>
      <c r="H222" s="686"/>
      <c r="I222" s="687"/>
      <c r="J222" s="687"/>
      <c r="K222" s="24"/>
      <c r="L222" s="24"/>
      <c r="M222" s="24"/>
    </row>
    <row r="223">
      <c r="A223" s="695" t="str">
        <f>'203A'!B20</f>
        <v/>
      </c>
      <c r="B223" s="24"/>
      <c r="C223" s="24"/>
      <c r="D223" s="24"/>
      <c r="E223" s="24"/>
      <c r="F223" s="686"/>
      <c r="G223" s="691"/>
      <c r="H223" s="686"/>
      <c r="I223" s="687"/>
      <c r="J223" s="687"/>
      <c r="K223" s="24"/>
      <c r="L223" s="24"/>
      <c r="M223" s="24"/>
    </row>
    <row r="224">
      <c r="A224" s="695" t="str">
        <f>'203A'!B21</f>
        <v/>
      </c>
      <c r="B224" s="24"/>
      <c r="C224" s="24"/>
      <c r="D224" s="24"/>
      <c r="E224" s="24"/>
      <c r="F224" s="686"/>
      <c r="G224" s="691"/>
      <c r="H224" s="686"/>
      <c r="I224" s="687"/>
      <c r="J224" s="687"/>
      <c r="K224" s="24"/>
      <c r="L224" s="24"/>
      <c r="M224" s="24"/>
    </row>
    <row r="225">
      <c r="A225" s="695" t="str">
        <f>'203A'!B22</f>
        <v/>
      </c>
      <c r="B225" s="24"/>
      <c r="C225" s="24"/>
      <c r="D225" s="24"/>
      <c r="E225" s="24"/>
      <c r="F225" s="686"/>
      <c r="G225" s="691"/>
      <c r="H225" s="686"/>
      <c r="I225" s="687"/>
      <c r="J225" s="687"/>
      <c r="K225" s="24"/>
      <c r="L225" s="24"/>
      <c r="M225" s="24"/>
    </row>
    <row r="226">
      <c r="A226" s="695" t="str">
        <f>'203A'!B23</f>
        <v>VIII</v>
      </c>
      <c r="B226" s="24"/>
      <c r="C226" s="24"/>
      <c r="D226" s="24"/>
      <c r="E226" s="24"/>
      <c r="F226" s="686"/>
      <c r="G226" s="691"/>
      <c r="H226" s="686"/>
      <c r="I226" s="687"/>
      <c r="J226" s="687"/>
      <c r="K226" s="24"/>
      <c r="L226" s="24"/>
      <c r="M226" s="24"/>
    </row>
    <row r="227">
      <c r="A227" s="695" t="str">
        <f>'203A'!B24</f>
        <v/>
      </c>
      <c r="B227" s="24"/>
      <c r="C227" s="24"/>
      <c r="D227" s="24"/>
      <c r="E227" s="24"/>
      <c r="F227" s="686"/>
      <c r="G227" s="691"/>
      <c r="H227" s="686"/>
      <c r="I227" s="687"/>
      <c r="J227" s="687"/>
      <c r="K227" s="24"/>
      <c r="L227" s="24"/>
      <c r="M227" s="24"/>
    </row>
    <row r="228">
      <c r="A228" s="695" t="str">
        <f>'203A'!B25</f>
        <v/>
      </c>
      <c r="B228" s="24"/>
      <c r="C228" s="24"/>
      <c r="D228" s="24"/>
      <c r="E228" s="24"/>
      <c r="F228" s="686"/>
      <c r="G228" s="691"/>
      <c r="H228" s="686"/>
      <c r="I228" s="687"/>
      <c r="J228" s="687"/>
      <c r="K228" s="24"/>
      <c r="L228" s="24"/>
      <c r="M228" s="24"/>
    </row>
    <row r="229">
      <c r="A229" s="695" t="str">
        <f>'203A'!B26</f>
        <v/>
      </c>
      <c r="B229" s="24"/>
      <c r="C229" s="24"/>
      <c r="D229" s="24"/>
      <c r="E229" s="24"/>
      <c r="F229" s="686"/>
      <c r="G229" s="691"/>
      <c r="H229" s="686"/>
      <c r="I229" s="687"/>
      <c r="J229" s="687"/>
      <c r="K229" s="24"/>
      <c r="L229" s="24"/>
      <c r="M229" s="24"/>
    </row>
    <row r="230">
      <c r="A230" s="695" t="str">
        <f>'203A'!B27</f>
        <v/>
      </c>
      <c r="B230" s="24"/>
      <c r="C230" s="24"/>
      <c r="D230" s="24"/>
      <c r="E230" s="24"/>
      <c r="F230" s="686"/>
      <c r="G230" s="691"/>
      <c r="H230" s="686"/>
      <c r="I230" s="687"/>
      <c r="J230" s="687"/>
      <c r="K230" s="24"/>
      <c r="L230" s="24"/>
      <c r="M230" s="24"/>
    </row>
    <row r="231">
      <c r="A231" s="695" t="str">
        <f>'203A'!B28</f>
        <v/>
      </c>
      <c r="B231" s="24"/>
      <c r="C231" s="24"/>
      <c r="D231" s="24"/>
      <c r="E231" s="24"/>
      <c r="F231" s="686"/>
      <c r="G231" s="691"/>
      <c r="H231" s="686"/>
      <c r="I231" s="687"/>
      <c r="J231" s="687"/>
      <c r="K231" s="24"/>
      <c r="L231" s="24"/>
      <c r="M231" s="24"/>
    </row>
    <row r="232">
      <c r="A232" s="695" t="str">
        <f>'203A'!B29</f>
        <v/>
      </c>
      <c r="B232" s="24"/>
      <c r="C232" s="24"/>
      <c r="D232" s="24"/>
      <c r="E232" s="24"/>
      <c r="F232" s="686"/>
      <c r="G232" s="691"/>
      <c r="H232" s="686"/>
      <c r="I232" s="687"/>
      <c r="J232" s="687"/>
      <c r="K232" s="24"/>
      <c r="L232" s="24"/>
      <c r="M232" s="24"/>
    </row>
    <row r="233">
      <c r="A233" s="695" t="str">
        <f>'203A'!B30</f>
        <v>IX</v>
      </c>
      <c r="B233" s="24"/>
      <c r="C233" s="24"/>
      <c r="D233" s="24"/>
      <c r="E233" s="24"/>
      <c r="F233" s="686"/>
      <c r="G233" s="691"/>
      <c r="H233" s="686"/>
      <c r="I233" s="687"/>
      <c r="J233" s="687"/>
      <c r="K233" s="24"/>
      <c r="L233" s="24"/>
      <c r="M233" s="24"/>
    </row>
    <row r="234">
      <c r="A234" s="695" t="str">
        <f>'203A'!B31</f>
        <v/>
      </c>
      <c r="B234" s="24"/>
      <c r="C234" s="24"/>
      <c r="D234" s="24"/>
      <c r="E234" s="24"/>
      <c r="F234" s="686"/>
      <c r="G234" s="691"/>
      <c r="H234" s="686"/>
      <c r="I234" s="687"/>
      <c r="J234" s="687"/>
      <c r="K234" s="24"/>
      <c r="L234" s="24"/>
      <c r="M234" s="24"/>
    </row>
    <row r="235">
      <c r="A235" s="695" t="str">
        <f>'203A'!B32</f>
        <v/>
      </c>
      <c r="B235" s="24"/>
      <c r="C235" s="24"/>
      <c r="D235" s="24"/>
      <c r="E235" s="24"/>
      <c r="F235" s="686"/>
      <c r="G235" s="691"/>
      <c r="H235" s="686"/>
      <c r="I235" s="687"/>
      <c r="J235" s="687"/>
      <c r="K235" s="24"/>
      <c r="L235" s="24"/>
      <c r="M235" s="24"/>
    </row>
    <row r="236">
      <c r="A236" s="695" t="str">
        <f>'203A'!B33</f>
        <v/>
      </c>
      <c r="B236" s="24"/>
      <c r="C236" s="24"/>
      <c r="D236" s="24"/>
      <c r="E236" s="24"/>
      <c r="F236" s="686"/>
      <c r="G236" s="691"/>
      <c r="H236" s="686"/>
      <c r="I236" s="687"/>
      <c r="J236" s="687"/>
      <c r="K236" s="24"/>
      <c r="L236" s="24"/>
      <c r="M236" s="24"/>
    </row>
    <row r="237">
      <c r="A237" s="695" t="str">
        <f>'203A'!B34</f>
        <v/>
      </c>
      <c r="B237" s="24"/>
      <c r="C237" s="24"/>
      <c r="D237" s="24"/>
      <c r="E237" s="24"/>
      <c r="F237" s="686"/>
      <c r="G237" s="691"/>
      <c r="H237" s="686"/>
      <c r="I237" s="687"/>
      <c r="J237" s="687"/>
      <c r="K237" s="24"/>
      <c r="L237" s="24"/>
      <c r="M237" s="24"/>
    </row>
    <row r="238">
      <c r="A238" s="695" t="str">
        <f>'203A'!B35</f>
        <v/>
      </c>
      <c r="B238" s="24"/>
      <c r="C238" s="24"/>
      <c r="D238" s="24"/>
      <c r="E238" s="24"/>
      <c r="F238" s="686"/>
      <c r="G238" s="691"/>
      <c r="H238" s="686"/>
      <c r="I238" s="687"/>
      <c r="J238" s="687"/>
      <c r="K238" s="24"/>
      <c r="L238" s="24"/>
      <c r="M238" s="24"/>
    </row>
    <row r="239">
      <c r="A239" s="695" t="str">
        <f>'203A'!B36</f>
        <v/>
      </c>
      <c r="B239" s="24"/>
      <c r="C239" s="24"/>
      <c r="D239" s="24"/>
      <c r="E239" s="24"/>
      <c r="F239" s="686"/>
      <c r="G239" s="691"/>
      <c r="H239" s="686"/>
      <c r="I239" s="687"/>
      <c r="J239" s="687"/>
      <c r="K239" s="24"/>
      <c r="L239" s="24"/>
      <c r="M239" s="24"/>
    </row>
    <row r="240">
      <c r="A240" s="695" t="str">
        <f>'203A'!B37</f>
        <v>X</v>
      </c>
      <c r="B240" s="24"/>
      <c r="C240" s="24"/>
      <c r="D240" s="24"/>
      <c r="E240" s="24"/>
      <c r="F240" s="686"/>
      <c r="G240" s="691"/>
      <c r="H240" s="686"/>
      <c r="I240" s="687"/>
      <c r="J240" s="687"/>
      <c r="K240" s="24"/>
      <c r="L240" s="24"/>
      <c r="M240" s="24"/>
    </row>
    <row r="241">
      <c r="A241" s="695" t="str">
        <f>'203A'!B38</f>
        <v/>
      </c>
      <c r="B241" s="24"/>
      <c r="C241" s="24"/>
      <c r="D241" s="24"/>
      <c r="E241" s="24"/>
      <c r="F241" s="686"/>
      <c r="G241" s="691"/>
      <c r="H241" s="686"/>
      <c r="I241" s="687"/>
      <c r="J241" s="687"/>
      <c r="K241" s="24"/>
      <c r="L241" s="24"/>
      <c r="M241" s="24"/>
    </row>
    <row r="242">
      <c r="A242" s="695" t="str">
        <f>'203A'!B39</f>
        <v/>
      </c>
      <c r="B242" s="24"/>
      <c r="C242" s="24"/>
      <c r="D242" s="24"/>
      <c r="E242" s="24"/>
      <c r="F242" s="686"/>
      <c r="G242" s="691"/>
      <c r="H242" s="686"/>
      <c r="I242" s="687"/>
      <c r="J242" s="687"/>
      <c r="K242" s="24"/>
      <c r="L242" s="24"/>
      <c r="M242" s="24"/>
    </row>
    <row r="243">
      <c r="A243" s="695" t="str">
        <f>'203A'!B40</f>
        <v/>
      </c>
      <c r="B243" s="24"/>
      <c r="C243" s="24"/>
      <c r="D243" s="24"/>
      <c r="E243" s="24"/>
      <c r="F243" s="686"/>
      <c r="G243" s="691"/>
      <c r="H243" s="686"/>
      <c r="I243" s="687"/>
      <c r="J243" s="687"/>
      <c r="K243" s="24"/>
      <c r="L243" s="24"/>
      <c r="M243" s="24"/>
    </row>
    <row r="244">
      <c r="A244" s="695" t="str">
        <f>'203A'!B41</f>
        <v/>
      </c>
      <c r="B244" s="24"/>
      <c r="C244" s="24"/>
      <c r="D244" s="24"/>
      <c r="E244" s="24"/>
      <c r="F244" s="686"/>
      <c r="G244" s="691"/>
      <c r="H244" s="686"/>
      <c r="I244" s="687"/>
      <c r="J244" s="687"/>
      <c r="K244" s="24"/>
      <c r="L244" s="24"/>
      <c r="M244" s="24"/>
    </row>
    <row r="245">
      <c r="A245" s="695" t="str">
        <f>'203A'!B42</f>
        <v/>
      </c>
      <c r="B245" s="24"/>
      <c r="C245" s="24"/>
      <c r="D245" s="24"/>
      <c r="E245" s="24"/>
      <c r="F245" s="686"/>
      <c r="G245" s="691"/>
      <c r="H245" s="686"/>
      <c r="I245" s="687"/>
      <c r="J245" s="687"/>
      <c r="K245" s="24"/>
      <c r="L245" s="24"/>
      <c r="M245" s="24"/>
    </row>
    <row r="246">
      <c r="A246" s="695" t="str">
        <f>'203A'!B43</f>
        <v/>
      </c>
      <c r="B246" s="24"/>
      <c r="C246" s="24"/>
      <c r="D246" s="24"/>
      <c r="E246" s="24"/>
      <c r="F246" s="686"/>
      <c r="G246" s="691"/>
      <c r="H246" s="686"/>
      <c r="I246" s="687"/>
      <c r="J246" s="687"/>
      <c r="K246" s="24"/>
      <c r="L246" s="24"/>
      <c r="M246" s="24"/>
    </row>
    <row r="247">
      <c r="A247" s="695" t="str">
        <f>'203A'!B44</f>
        <v>XI</v>
      </c>
      <c r="B247" s="24"/>
      <c r="C247" s="24"/>
      <c r="D247" s="24"/>
      <c r="E247" s="24"/>
      <c r="F247" s="686"/>
      <c r="G247" s="691"/>
      <c r="H247" s="686"/>
      <c r="I247" s="687"/>
      <c r="J247" s="687"/>
      <c r="K247" s="24"/>
      <c r="L247" s="24"/>
      <c r="M247" s="24"/>
    </row>
    <row r="248">
      <c r="A248" s="695" t="str">
        <f>'203A'!B45</f>
        <v/>
      </c>
      <c r="B248" s="24"/>
      <c r="C248" s="24"/>
      <c r="D248" s="24"/>
      <c r="E248" s="24"/>
      <c r="F248" s="686"/>
      <c r="G248" s="691"/>
      <c r="H248" s="686"/>
      <c r="I248" s="687"/>
      <c r="J248" s="687"/>
      <c r="K248" s="24"/>
      <c r="L248" s="24"/>
      <c r="M248" s="24"/>
    </row>
    <row r="249">
      <c r="A249" s="695" t="str">
        <f>'203A'!B46</f>
        <v/>
      </c>
      <c r="B249" s="24"/>
      <c r="C249" s="24"/>
      <c r="D249" s="24"/>
      <c r="E249" s="24"/>
      <c r="F249" s="686"/>
      <c r="G249" s="691"/>
      <c r="H249" s="686"/>
      <c r="I249" s="687"/>
      <c r="J249" s="687"/>
      <c r="K249" s="24"/>
      <c r="L249" s="24"/>
      <c r="M249" s="24"/>
    </row>
    <row r="250">
      <c r="A250" s="695" t="str">
        <f>'203A'!B47</f>
        <v/>
      </c>
      <c r="B250" s="24"/>
      <c r="C250" s="24"/>
      <c r="D250" s="24"/>
      <c r="E250" s="24"/>
      <c r="F250" s="686"/>
      <c r="G250" s="691"/>
      <c r="H250" s="686"/>
      <c r="I250" s="687"/>
      <c r="J250" s="687"/>
      <c r="K250" s="24"/>
      <c r="L250" s="24"/>
      <c r="M250" s="24"/>
    </row>
    <row r="251">
      <c r="A251" s="695" t="str">
        <f>'203A'!B48</f>
        <v/>
      </c>
      <c r="B251" s="24"/>
      <c r="C251" s="24"/>
      <c r="D251" s="24"/>
      <c r="E251" s="24"/>
      <c r="F251" s="686"/>
      <c r="G251" s="691"/>
      <c r="H251" s="686"/>
      <c r="I251" s="687"/>
      <c r="J251" s="687"/>
      <c r="K251" s="24"/>
      <c r="L251" s="24"/>
      <c r="M251" s="24"/>
    </row>
    <row r="252">
      <c r="A252" s="695" t="str">
        <f>'203A'!B49</f>
        <v/>
      </c>
      <c r="B252" s="24"/>
      <c r="C252" s="24"/>
      <c r="D252" s="24"/>
      <c r="E252" s="24"/>
      <c r="F252" s="686"/>
      <c r="G252" s="691"/>
      <c r="H252" s="686"/>
      <c r="I252" s="687"/>
      <c r="J252" s="687"/>
      <c r="K252" s="24"/>
      <c r="L252" s="24"/>
      <c r="M252" s="24"/>
    </row>
    <row r="253">
      <c r="A253" s="696" t="str">
        <f>'203A'!G8</f>
        <v/>
      </c>
      <c r="B253" s="24"/>
      <c r="C253" s="24"/>
      <c r="D253" s="24"/>
      <c r="E253" s="24"/>
      <c r="F253" s="686"/>
      <c r="G253" s="691"/>
      <c r="H253" s="686"/>
      <c r="I253" s="687"/>
      <c r="J253" s="687"/>
      <c r="K253" s="24"/>
      <c r="L253" s="24"/>
      <c r="M253" s="24"/>
    </row>
    <row r="254">
      <c r="A254" s="696" t="str">
        <f>'203A'!G9</f>
        <v>XII</v>
      </c>
      <c r="B254" s="24"/>
      <c r="C254" s="24"/>
      <c r="D254" s="24"/>
      <c r="E254" s="24"/>
      <c r="F254" s="686"/>
      <c r="G254" s="691"/>
      <c r="H254" s="686"/>
      <c r="I254" s="687"/>
      <c r="J254" s="687"/>
      <c r="K254" s="24"/>
      <c r="L254" s="24"/>
      <c r="M254" s="24"/>
    </row>
    <row r="255">
      <c r="A255" s="696" t="str">
        <f>'203A'!G10</f>
        <v/>
      </c>
      <c r="B255" s="24"/>
      <c r="C255" s="24"/>
      <c r="D255" s="24"/>
      <c r="E255" s="24"/>
      <c r="F255" s="686"/>
      <c r="G255" s="691"/>
      <c r="H255" s="686"/>
      <c r="I255" s="687"/>
      <c r="J255" s="687"/>
      <c r="K255" s="24"/>
      <c r="L255" s="24"/>
      <c r="M255" s="24"/>
    </row>
    <row r="256">
      <c r="A256" s="696" t="str">
        <f>'203A'!G11</f>
        <v/>
      </c>
      <c r="B256" s="24"/>
      <c r="C256" s="24"/>
      <c r="D256" s="24"/>
      <c r="E256" s="24"/>
      <c r="F256" s="686"/>
      <c r="G256" s="691"/>
      <c r="H256" s="686"/>
      <c r="I256" s="687"/>
      <c r="J256" s="687"/>
      <c r="K256" s="24"/>
      <c r="L256" s="24"/>
      <c r="M256" s="24"/>
    </row>
    <row r="257">
      <c r="A257" s="696" t="str">
        <f>'203A'!G12</f>
        <v/>
      </c>
      <c r="B257" s="24"/>
      <c r="C257" s="24"/>
      <c r="D257" s="24"/>
      <c r="E257" s="24"/>
      <c r="F257" s="686"/>
      <c r="G257" s="691"/>
      <c r="H257" s="686"/>
      <c r="I257" s="687"/>
      <c r="J257" s="687"/>
      <c r="K257" s="24"/>
      <c r="L257" s="24"/>
      <c r="M257" s="24"/>
    </row>
    <row r="258">
      <c r="A258" s="696" t="str">
        <f>'203A'!G13</f>
        <v/>
      </c>
      <c r="B258" s="24"/>
      <c r="C258" s="24"/>
      <c r="D258" s="24"/>
      <c r="E258" s="24"/>
      <c r="F258" s="686"/>
      <c r="G258" s="691"/>
      <c r="H258" s="686"/>
      <c r="I258" s="687"/>
      <c r="J258" s="687"/>
      <c r="K258" s="24"/>
      <c r="L258" s="24"/>
      <c r="M258" s="24"/>
    </row>
    <row r="259">
      <c r="A259" s="696" t="str">
        <f>'203A'!G14</f>
        <v/>
      </c>
      <c r="B259" s="24"/>
      <c r="C259" s="24"/>
      <c r="D259" s="24"/>
      <c r="E259" s="24"/>
      <c r="F259" s="686"/>
      <c r="G259" s="691"/>
      <c r="H259" s="686"/>
      <c r="I259" s="687"/>
      <c r="J259" s="687"/>
      <c r="K259" s="24"/>
      <c r="L259" s="24"/>
      <c r="M259" s="24"/>
    </row>
    <row r="260">
      <c r="A260" s="696" t="str">
        <f>'203A'!G15</f>
        <v/>
      </c>
      <c r="B260" s="24"/>
      <c r="C260" s="24"/>
      <c r="D260" s="24"/>
      <c r="E260" s="24"/>
      <c r="F260" s="686"/>
      <c r="G260" s="691"/>
      <c r="H260" s="686"/>
      <c r="I260" s="687"/>
      <c r="J260" s="687"/>
      <c r="K260" s="24"/>
      <c r="L260" s="24"/>
      <c r="M260" s="24"/>
    </row>
    <row r="261">
      <c r="A261" s="696" t="str">
        <f>'203A'!G16</f>
        <v>XIII</v>
      </c>
      <c r="B261" s="24"/>
      <c r="C261" s="24"/>
      <c r="D261" s="24"/>
      <c r="E261" s="24"/>
      <c r="F261" s="686"/>
      <c r="G261" s="691"/>
      <c r="H261" s="686"/>
      <c r="I261" s="687"/>
      <c r="J261" s="687"/>
      <c r="K261" s="24"/>
      <c r="L261" s="24"/>
      <c r="M261" s="24"/>
    </row>
    <row r="262">
      <c r="A262" s="696" t="str">
        <f>'203A'!G17</f>
        <v/>
      </c>
      <c r="B262" s="24"/>
      <c r="C262" s="24"/>
      <c r="D262" s="24"/>
      <c r="E262" s="24"/>
      <c r="F262" s="686"/>
      <c r="G262" s="691"/>
      <c r="H262" s="686"/>
      <c r="I262" s="687"/>
      <c r="J262" s="687"/>
      <c r="K262" s="24"/>
      <c r="L262" s="24"/>
      <c r="M262" s="24"/>
    </row>
    <row r="263">
      <c r="A263" s="696" t="str">
        <f>'203A'!G18</f>
        <v/>
      </c>
      <c r="B263" s="24"/>
      <c r="C263" s="24"/>
      <c r="D263" s="24"/>
      <c r="E263" s="24"/>
      <c r="F263" s="686"/>
      <c r="G263" s="691"/>
      <c r="H263" s="686"/>
      <c r="I263" s="687"/>
      <c r="J263" s="687"/>
      <c r="K263" s="24"/>
      <c r="L263" s="24"/>
      <c r="M263" s="24"/>
    </row>
    <row r="264">
      <c r="A264" s="696" t="str">
        <f>'203A'!G19</f>
        <v/>
      </c>
      <c r="B264" s="24"/>
      <c r="C264" s="24"/>
      <c r="D264" s="24"/>
      <c r="E264" s="24"/>
      <c r="F264" s="686"/>
      <c r="G264" s="691"/>
      <c r="H264" s="686"/>
      <c r="I264" s="687"/>
      <c r="J264" s="687"/>
      <c r="K264" s="24"/>
      <c r="L264" s="24"/>
      <c r="M264" s="24"/>
    </row>
    <row r="265">
      <c r="A265" s="696" t="str">
        <f>'203A'!G20</f>
        <v/>
      </c>
      <c r="B265" s="24"/>
      <c r="C265" s="24"/>
      <c r="D265" s="24"/>
      <c r="E265" s="24"/>
      <c r="F265" s="686"/>
      <c r="G265" s="691"/>
      <c r="H265" s="686"/>
      <c r="I265" s="687"/>
      <c r="J265" s="687"/>
      <c r="K265" s="24"/>
      <c r="L265" s="24"/>
      <c r="M265" s="24"/>
    </row>
    <row r="266">
      <c r="A266" s="696" t="str">
        <f>'203A'!G21</f>
        <v/>
      </c>
      <c r="B266" s="24"/>
      <c r="C266" s="24"/>
      <c r="D266" s="24"/>
      <c r="E266" s="24"/>
      <c r="F266" s="686"/>
      <c r="G266" s="691"/>
      <c r="H266" s="686"/>
      <c r="I266" s="687"/>
      <c r="J266" s="687"/>
      <c r="K266" s="24"/>
      <c r="L266" s="24"/>
      <c r="M266" s="24"/>
    </row>
    <row r="267">
      <c r="A267" s="696" t="str">
        <f>'203A'!G22</f>
        <v/>
      </c>
      <c r="B267" s="24"/>
      <c r="C267" s="24"/>
      <c r="D267" s="24"/>
      <c r="E267" s="24"/>
      <c r="F267" s="686"/>
      <c r="G267" s="691"/>
      <c r="H267" s="686"/>
      <c r="I267" s="687"/>
      <c r="J267" s="687"/>
      <c r="K267" s="24"/>
      <c r="L267" s="24"/>
      <c r="M267" s="24"/>
    </row>
    <row r="268">
      <c r="A268" s="696" t="str">
        <f>'203A'!G23</f>
        <v>XIV</v>
      </c>
      <c r="B268" s="24"/>
      <c r="C268" s="24"/>
      <c r="D268" s="24"/>
      <c r="E268" s="24"/>
      <c r="F268" s="686"/>
      <c r="G268" s="691"/>
      <c r="H268" s="686"/>
      <c r="I268" s="687"/>
      <c r="J268" s="687"/>
      <c r="K268" s="24"/>
      <c r="L268" s="24"/>
      <c r="M268" s="24"/>
    </row>
    <row r="269">
      <c r="A269" s="696" t="str">
        <f>'203A'!G24</f>
        <v/>
      </c>
      <c r="B269" s="24"/>
      <c r="C269" s="24"/>
      <c r="D269" s="24"/>
      <c r="E269" s="24"/>
      <c r="F269" s="686"/>
      <c r="G269" s="691"/>
      <c r="H269" s="686"/>
      <c r="I269" s="687"/>
      <c r="J269" s="687"/>
      <c r="K269" s="24"/>
      <c r="L269" s="24"/>
      <c r="M269" s="24"/>
    </row>
    <row r="270">
      <c r="A270" s="696" t="str">
        <f>'203A'!G25</f>
        <v/>
      </c>
      <c r="B270" s="24"/>
      <c r="C270" s="24"/>
      <c r="D270" s="24"/>
      <c r="E270" s="24"/>
      <c r="F270" s="686"/>
      <c r="G270" s="691"/>
      <c r="H270" s="686"/>
      <c r="I270" s="687"/>
      <c r="J270" s="687"/>
      <c r="K270" s="24"/>
      <c r="L270" s="24"/>
      <c r="M270" s="24"/>
    </row>
    <row r="271">
      <c r="A271" s="696" t="str">
        <f>'203A'!G26</f>
        <v/>
      </c>
      <c r="B271" s="24"/>
      <c r="C271" s="24"/>
      <c r="D271" s="24"/>
      <c r="E271" s="24"/>
      <c r="F271" s="686"/>
      <c r="G271" s="691"/>
      <c r="H271" s="686"/>
      <c r="I271" s="687"/>
      <c r="J271" s="687"/>
      <c r="K271" s="24"/>
      <c r="L271" s="24"/>
      <c r="M271" s="24"/>
    </row>
    <row r="272">
      <c r="A272" s="696" t="str">
        <f>'203A'!G27</f>
        <v/>
      </c>
      <c r="B272" s="24"/>
      <c r="C272" s="24"/>
      <c r="D272" s="24"/>
      <c r="E272" s="24"/>
      <c r="F272" s="686"/>
      <c r="G272" s="691"/>
      <c r="H272" s="686"/>
      <c r="I272" s="687"/>
      <c r="J272" s="687"/>
      <c r="K272" s="24"/>
      <c r="L272" s="24"/>
      <c r="M272" s="24"/>
    </row>
    <row r="273">
      <c r="A273" s="696" t="str">
        <f>'203A'!G28</f>
        <v/>
      </c>
      <c r="B273" s="24"/>
      <c r="C273" s="24"/>
      <c r="D273" s="24"/>
      <c r="E273" s="24"/>
      <c r="F273" s="686"/>
      <c r="G273" s="691"/>
      <c r="H273" s="686"/>
      <c r="I273" s="687"/>
      <c r="J273" s="687"/>
      <c r="K273" s="24"/>
      <c r="L273" s="24"/>
      <c r="M273" s="24"/>
    </row>
    <row r="274">
      <c r="A274" s="696" t="str">
        <f>'203A'!G29</f>
        <v/>
      </c>
      <c r="B274" s="24"/>
      <c r="C274" s="24"/>
      <c r="D274" s="24"/>
      <c r="E274" s="24"/>
      <c r="F274" s="686"/>
      <c r="G274" s="691"/>
      <c r="H274" s="686"/>
      <c r="I274" s="687"/>
      <c r="J274" s="687"/>
      <c r="K274" s="24"/>
      <c r="L274" s="24"/>
      <c r="M274" s="24"/>
    </row>
    <row r="275">
      <c r="A275" s="696" t="str">
        <f>'203A'!G30</f>
        <v>XV</v>
      </c>
      <c r="B275" s="24"/>
      <c r="C275" s="24"/>
      <c r="D275" s="24"/>
      <c r="E275" s="24"/>
      <c r="F275" s="686"/>
      <c r="G275" s="691"/>
      <c r="H275" s="686"/>
      <c r="I275" s="687"/>
      <c r="J275" s="687"/>
      <c r="K275" s="24"/>
      <c r="L275" s="24"/>
      <c r="M275" s="24"/>
    </row>
    <row r="276">
      <c r="A276" s="696" t="str">
        <f>'203A'!G31</f>
        <v/>
      </c>
      <c r="B276" s="24"/>
      <c r="C276" s="24"/>
      <c r="D276" s="24"/>
      <c r="E276" s="24"/>
      <c r="F276" s="686"/>
      <c r="G276" s="691"/>
      <c r="H276" s="686"/>
      <c r="I276" s="687"/>
      <c r="J276" s="687"/>
      <c r="K276" s="24"/>
      <c r="L276" s="24"/>
      <c r="M276" s="24"/>
    </row>
    <row r="277">
      <c r="A277" s="696" t="str">
        <f>'203A'!G32</f>
        <v/>
      </c>
      <c r="B277" s="24"/>
      <c r="C277" s="24"/>
      <c r="D277" s="24"/>
      <c r="E277" s="24"/>
      <c r="F277" s="686"/>
      <c r="G277" s="691"/>
      <c r="H277" s="686"/>
      <c r="I277" s="687"/>
      <c r="J277" s="687"/>
      <c r="K277" s="24"/>
      <c r="L277" s="24"/>
      <c r="M277" s="24"/>
    </row>
    <row r="278">
      <c r="A278" s="696" t="str">
        <f>'203A'!G33</f>
        <v/>
      </c>
      <c r="B278" s="24"/>
      <c r="C278" s="24"/>
      <c r="D278" s="24"/>
      <c r="E278" s="24"/>
      <c r="F278" s="686"/>
      <c r="G278" s="691"/>
      <c r="H278" s="686"/>
      <c r="I278" s="687"/>
      <c r="J278" s="687"/>
      <c r="K278" s="24"/>
      <c r="L278" s="24"/>
      <c r="M278" s="24"/>
    </row>
    <row r="279">
      <c r="A279" s="696" t="str">
        <f>'203A'!G34</f>
        <v/>
      </c>
      <c r="B279" s="24"/>
      <c r="C279" s="24"/>
      <c r="D279" s="24"/>
      <c r="E279" s="24"/>
      <c r="F279" s="686"/>
      <c r="G279" s="691"/>
      <c r="H279" s="686"/>
      <c r="I279" s="687"/>
      <c r="J279" s="687"/>
      <c r="K279" s="24"/>
      <c r="L279" s="24"/>
      <c r="M279" s="24"/>
    </row>
    <row r="280">
      <c r="A280" s="696" t="str">
        <f>'203A'!G35</f>
        <v/>
      </c>
      <c r="B280" s="24"/>
      <c r="C280" s="24"/>
      <c r="D280" s="24"/>
      <c r="E280" s="24"/>
      <c r="F280" s="686"/>
      <c r="G280" s="691"/>
      <c r="H280" s="686"/>
      <c r="I280" s="687"/>
      <c r="J280" s="687"/>
      <c r="K280" s="24"/>
      <c r="L280" s="24"/>
      <c r="M280" s="24"/>
    </row>
    <row r="281">
      <c r="A281" s="696" t="str">
        <f>'203A'!G36</f>
        <v/>
      </c>
      <c r="B281" s="24"/>
      <c r="C281" s="24"/>
      <c r="D281" s="24"/>
      <c r="E281" s="24"/>
      <c r="F281" s="686"/>
      <c r="G281" s="691"/>
      <c r="H281" s="686"/>
      <c r="I281" s="687"/>
      <c r="J281" s="687"/>
      <c r="K281" s="24"/>
      <c r="L281" s="24"/>
      <c r="M281" s="24"/>
    </row>
    <row r="282">
      <c r="A282" s="696" t="str">
        <f>'203A'!G37</f>
        <v>XVI</v>
      </c>
      <c r="B282" s="24"/>
      <c r="C282" s="24"/>
      <c r="D282" s="24"/>
      <c r="E282" s="24"/>
      <c r="F282" s="686"/>
      <c r="G282" s="691"/>
      <c r="H282" s="686"/>
      <c r="I282" s="687"/>
      <c r="J282" s="687"/>
      <c r="K282" s="24"/>
      <c r="L282" s="24"/>
      <c r="M282" s="24"/>
    </row>
    <row r="283">
      <c r="A283" s="696" t="str">
        <f>'203A'!G38</f>
        <v/>
      </c>
      <c r="B283" s="24"/>
      <c r="C283" s="24"/>
      <c r="D283" s="24"/>
      <c r="E283" s="24"/>
      <c r="F283" s="686"/>
      <c r="G283" s="691"/>
      <c r="H283" s="686"/>
      <c r="I283" s="687"/>
      <c r="J283" s="687"/>
      <c r="K283" s="24"/>
      <c r="L283" s="24"/>
      <c r="M283" s="24"/>
    </row>
    <row r="284">
      <c r="A284" s="696" t="str">
        <f>'203A'!G39</f>
        <v/>
      </c>
      <c r="B284" s="24"/>
      <c r="C284" s="24"/>
      <c r="D284" s="24"/>
      <c r="E284" s="24"/>
      <c r="F284" s="686"/>
      <c r="G284" s="691"/>
      <c r="H284" s="686"/>
      <c r="I284" s="687"/>
      <c r="J284" s="687"/>
      <c r="K284" s="24"/>
      <c r="L284" s="24"/>
      <c r="M284" s="24"/>
    </row>
    <row r="285">
      <c r="A285" s="696" t="str">
        <f>'203A'!G40</f>
        <v/>
      </c>
      <c r="B285" s="24"/>
      <c r="C285" s="24"/>
      <c r="D285" s="24"/>
      <c r="E285" s="24"/>
      <c r="F285" s="686"/>
      <c r="G285" s="691"/>
      <c r="H285" s="686"/>
      <c r="I285" s="687"/>
      <c r="J285" s="687"/>
      <c r="K285" s="24"/>
      <c r="L285" s="24"/>
      <c r="M285" s="24"/>
    </row>
    <row r="286">
      <c r="A286" s="696" t="str">
        <f>'203A'!G41</f>
        <v/>
      </c>
      <c r="B286" s="24"/>
      <c r="C286" s="24"/>
      <c r="D286" s="24"/>
      <c r="E286" s="24"/>
      <c r="F286" s="686"/>
      <c r="G286" s="691"/>
      <c r="H286" s="686"/>
      <c r="I286" s="687"/>
      <c r="J286" s="687"/>
      <c r="K286" s="24"/>
      <c r="L286" s="24"/>
      <c r="M286" s="24"/>
    </row>
    <row r="287">
      <c r="A287" s="696" t="str">
        <f>'203A'!G42</f>
        <v/>
      </c>
      <c r="B287" s="24"/>
      <c r="C287" s="24"/>
      <c r="D287" s="24"/>
      <c r="E287" s="24"/>
      <c r="F287" s="686"/>
      <c r="G287" s="691"/>
      <c r="H287" s="686"/>
      <c r="I287" s="687"/>
      <c r="J287" s="687"/>
      <c r="K287" s="24"/>
      <c r="L287" s="24"/>
      <c r="M287" s="24"/>
    </row>
    <row r="288">
      <c r="A288" s="696" t="str">
        <f>'203A'!G43</f>
        <v/>
      </c>
      <c r="B288" s="24"/>
      <c r="C288" s="24"/>
      <c r="D288" s="24"/>
      <c r="E288" s="24"/>
      <c r="F288" s="686"/>
      <c r="G288" s="691"/>
      <c r="H288" s="686"/>
      <c r="I288" s="687"/>
      <c r="J288" s="687"/>
      <c r="K288" s="24"/>
      <c r="L288" s="24"/>
      <c r="M288" s="24"/>
    </row>
    <row r="289">
      <c r="A289" s="696" t="str">
        <f>'203A'!G44</f>
        <v>XVII</v>
      </c>
      <c r="B289" s="24"/>
      <c r="C289" s="24"/>
      <c r="D289" s="24"/>
      <c r="E289" s="24"/>
      <c r="F289" s="686"/>
      <c r="G289" s="691"/>
      <c r="H289" s="686"/>
      <c r="I289" s="687"/>
      <c r="J289" s="687"/>
      <c r="K289" s="24"/>
      <c r="L289" s="24"/>
      <c r="M289" s="24"/>
    </row>
    <row r="290">
      <c r="A290" s="696" t="str">
        <f>'203A'!G45</f>
        <v/>
      </c>
      <c r="B290" s="24"/>
      <c r="C290" s="24"/>
      <c r="D290" s="24"/>
      <c r="E290" s="24"/>
      <c r="F290" s="686"/>
      <c r="G290" s="691"/>
      <c r="H290" s="686"/>
      <c r="I290" s="687"/>
      <c r="J290" s="687"/>
      <c r="K290" s="24"/>
      <c r="L290" s="24"/>
      <c r="M290" s="24"/>
    </row>
    <row r="291">
      <c r="A291" s="696" t="str">
        <f>'203A'!G46</f>
        <v/>
      </c>
      <c r="B291" s="24"/>
      <c r="C291" s="24"/>
      <c r="D291" s="24"/>
      <c r="E291" s="24"/>
      <c r="F291" s="686"/>
      <c r="G291" s="691"/>
      <c r="H291" s="686"/>
      <c r="I291" s="687"/>
      <c r="J291" s="687"/>
      <c r="K291" s="24"/>
      <c r="L291" s="24"/>
      <c r="M291" s="24"/>
    </row>
    <row r="292">
      <c r="A292" s="696" t="str">
        <f>'203A'!G47</f>
        <v/>
      </c>
      <c r="B292" s="24"/>
      <c r="C292" s="24"/>
      <c r="D292" s="24"/>
      <c r="E292" s="24"/>
      <c r="F292" s="686"/>
      <c r="G292" s="691"/>
      <c r="H292" s="686"/>
      <c r="I292" s="687"/>
      <c r="J292" s="687"/>
      <c r="K292" s="24"/>
      <c r="L292" s="24"/>
      <c r="M292" s="24"/>
    </row>
    <row r="293">
      <c r="A293" s="696" t="str">
        <f>'203A'!G48</f>
        <v/>
      </c>
      <c r="B293" s="24"/>
      <c r="C293" s="24"/>
      <c r="D293" s="24"/>
      <c r="E293" s="24"/>
      <c r="F293" s="686"/>
      <c r="G293" s="691"/>
      <c r="H293" s="686"/>
      <c r="I293" s="687"/>
      <c r="J293" s="687"/>
      <c r="K293" s="24"/>
      <c r="L293" s="24"/>
      <c r="M293" s="24"/>
    </row>
    <row r="294">
      <c r="A294" s="696" t="str">
        <f>'203A'!G49</f>
        <v/>
      </c>
      <c r="B294" s="24"/>
      <c r="C294" s="24"/>
      <c r="D294" s="24"/>
      <c r="E294" s="24"/>
      <c r="F294" s="686"/>
      <c r="G294" s="691"/>
      <c r="H294" s="686"/>
      <c r="I294" s="687"/>
      <c r="J294" s="687"/>
      <c r="K294" s="24"/>
      <c r="L294" s="24"/>
      <c r="M294" s="24"/>
    </row>
    <row r="295">
      <c r="A295" s="696"/>
      <c r="B295" s="24"/>
      <c r="C295" s="24"/>
      <c r="D295" s="24"/>
      <c r="E295" s="24"/>
      <c r="F295" s="686"/>
      <c r="G295" s="691"/>
      <c r="H295" s="686"/>
      <c r="I295" s="687"/>
      <c r="J295" s="687"/>
      <c r="K295" s="24"/>
      <c r="L295" s="24"/>
      <c r="M295" s="24"/>
    </row>
    <row r="296">
      <c r="A296" s="696"/>
      <c r="B296" s="24"/>
      <c r="C296" s="24"/>
      <c r="D296" s="24"/>
      <c r="E296" s="24"/>
      <c r="F296" s="686"/>
      <c r="G296" s="691"/>
      <c r="H296" s="686"/>
      <c r="I296" s="687"/>
      <c r="J296" s="687"/>
      <c r="K296" s="24"/>
      <c r="L296" s="24"/>
      <c r="M296" s="24"/>
    </row>
    <row r="297">
      <c r="A297" s="697" t="s">
        <v>259</v>
      </c>
      <c r="B297" s="24"/>
      <c r="C297" s="24"/>
      <c r="D297" s="24"/>
      <c r="E297" s="24"/>
      <c r="F297" s="686"/>
      <c r="G297" s="691"/>
      <c r="H297" s="686"/>
      <c r="I297" s="687"/>
      <c r="J297" s="687"/>
      <c r="K297" s="24"/>
      <c r="L297" s="24"/>
      <c r="M297" s="24"/>
    </row>
    <row r="298">
      <c r="A298" s="698"/>
      <c r="B298" s="228"/>
      <c r="C298" s="24"/>
      <c r="D298" s="229"/>
      <c r="E298" s="24"/>
      <c r="F298" s="686"/>
      <c r="G298" s="691"/>
      <c r="H298" s="686"/>
      <c r="I298" s="687"/>
      <c r="J298" s="687"/>
      <c r="K298" s="24"/>
      <c r="L298" s="24"/>
      <c r="M298" s="24"/>
    </row>
    <row r="299">
      <c r="A299" s="698"/>
      <c r="B299" s="228"/>
      <c r="C299" s="24"/>
      <c r="D299" s="229"/>
      <c r="E299" s="24"/>
      <c r="F299" s="686"/>
      <c r="G299" s="691"/>
      <c r="H299" s="686"/>
      <c r="I299" s="687"/>
      <c r="J299" s="687"/>
      <c r="K299" s="24"/>
      <c r="L299" s="24"/>
      <c r="M299" s="24"/>
    </row>
    <row r="300">
      <c r="A300" s="698"/>
      <c r="B300" s="228"/>
      <c r="C300" s="24"/>
      <c r="D300" s="229"/>
      <c r="E300" s="24"/>
      <c r="F300" s="686"/>
      <c r="G300" s="691"/>
      <c r="H300" s="686"/>
      <c r="I300" s="687"/>
      <c r="J300" s="687"/>
      <c r="K300" s="24"/>
      <c r="L300" s="24"/>
      <c r="M300" s="24"/>
    </row>
    <row r="301">
      <c r="A301" s="698"/>
      <c r="B301" s="228"/>
      <c r="C301" s="24"/>
      <c r="D301" s="229"/>
      <c r="E301" s="24"/>
      <c r="F301" s="686"/>
      <c r="G301" s="691"/>
      <c r="H301" s="686"/>
      <c r="I301" s="687"/>
      <c r="J301" s="687"/>
      <c r="K301" s="24"/>
      <c r="L301" s="24"/>
      <c r="M301" s="24"/>
    </row>
    <row r="302">
      <c r="A302" s="698"/>
      <c r="B302" s="228"/>
      <c r="C302" s="24"/>
      <c r="D302" s="229"/>
      <c r="E302" s="24"/>
      <c r="F302" s="686"/>
      <c r="G302" s="691"/>
      <c r="H302" s="686"/>
      <c r="I302" s="687"/>
      <c r="J302" s="687"/>
      <c r="K302" s="24"/>
      <c r="L302" s="24"/>
      <c r="M302" s="24"/>
    </row>
    <row r="303">
      <c r="A303" s="698"/>
      <c r="B303" s="228"/>
      <c r="C303" s="24"/>
      <c r="D303" s="229"/>
      <c r="E303" s="24"/>
      <c r="F303" s="686"/>
      <c r="G303" s="691"/>
      <c r="H303" s="686"/>
      <c r="I303" s="687"/>
      <c r="J303" s="687"/>
      <c r="K303" s="24"/>
      <c r="L303" s="24"/>
      <c r="M303" s="24"/>
    </row>
    <row r="304">
      <c r="A304" s="698"/>
      <c r="B304" s="228"/>
      <c r="C304" s="24"/>
      <c r="D304" s="229"/>
      <c r="E304" s="24"/>
      <c r="F304" s="686"/>
      <c r="G304" s="691"/>
      <c r="H304" s="686"/>
      <c r="I304" s="687"/>
      <c r="J304" s="687"/>
      <c r="K304" s="24"/>
      <c r="L304" s="24"/>
      <c r="M304" s="24"/>
    </row>
    <row r="305">
      <c r="A305" s="698"/>
      <c r="B305" s="228"/>
      <c r="C305" s="24"/>
      <c r="D305" s="229"/>
      <c r="E305" s="24"/>
      <c r="F305" s="686"/>
      <c r="G305" s="691"/>
      <c r="H305" s="686"/>
      <c r="I305" s="687"/>
      <c r="J305" s="687"/>
      <c r="K305" s="24"/>
      <c r="L305" s="24"/>
      <c r="M305" s="24"/>
    </row>
    <row r="306">
      <c r="A306" s="698"/>
      <c r="B306" s="228"/>
      <c r="C306" s="24"/>
      <c r="D306" s="229"/>
      <c r="E306" s="24"/>
      <c r="F306" s="686"/>
      <c r="G306" s="691"/>
      <c r="H306" s="686"/>
      <c r="I306" s="687"/>
      <c r="J306" s="687"/>
      <c r="K306" s="24"/>
      <c r="L306" s="24"/>
      <c r="M306" s="24"/>
    </row>
    <row r="307">
      <c r="A307" s="698"/>
      <c r="B307" s="228"/>
      <c r="C307" s="24"/>
      <c r="D307" s="229"/>
      <c r="E307" s="24"/>
      <c r="F307" s="686"/>
      <c r="G307" s="691"/>
      <c r="H307" s="686"/>
      <c r="I307" s="687"/>
      <c r="J307" s="687"/>
      <c r="K307" s="24"/>
      <c r="L307" s="24"/>
      <c r="M307" s="24"/>
    </row>
    <row r="308">
      <c r="A308" s="698"/>
      <c r="B308" s="228"/>
      <c r="C308" s="24"/>
      <c r="D308" s="229"/>
      <c r="E308" s="24"/>
      <c r="F308" s="686"/>
      <c r="G308" s="691"/>
      <c r="H308" s="686"/>
      <c r="I308" s="687"/>
      <c r="J308" s="687"/>
      <c r="K308" s="24"/>
      <c r="L308" s="24"/>
      <c r="M308" s="24"/>
    </row>
    <row r="309">
      <c r="A309" s="698"/>
      <c r="B309" s="228"/>
      <c r="C309" s="24"/>
      <c r="D309" s="229"/>
      <c r="E309" s="24"/>
      <c r="F309" s="686"/>
      <c r="G309" s="691"/>
      <c r="H309" s="686"/>
      <c r="I309" s="687"/>
      <c r="J309" s="687"/>
      <c r="K309" s="24"/>
      <c r="L309" s="24"/>
      <c r="M309" s="24"/>
    </row>
  </sheetData>
  <mergeCells count="39">
    <mergeCell ref="D1:K1"/>
    <mergeCell ref="A2:C2"/>
    <mergeCell ref="A3:C3"/>
    <mergeCell ref="M3:M4"/>
    <mergeCell ref="A4:C4"/>
    <mergeCell ref="D5:I5"/>
    <mergeCell ref="B7:K7"/>
    <mergeCell ref="E150:F150"/>
    <mergeCell ref="G150:I150"/>
    <mergeCell ref="B36:K36"/>
    <mergeCell ref="B68:K68"/>
    <mergeCell ref="B94:K94"/>
    <mergeCell ref="B120:K120"/>
    <mergeCell ref="A147:K147"/>
    <mergeCell ref="A148:K149"/>
    <mergeCell ref="A150:D150"/>
    <mergeCell ref="A151:C151"/>
    <mergeCell ref="G151:I151"/>
    <mergeCell ref="A153:K153"/>
    <mergeCell ref="A154:K154"/>
    <mergeCell ref="A155:K155"/>
    <mergeCell ref="A156:K156"/>
    <mergeCell ref="A157:K157"/>
    <mergeCell ref="A158:K158"/>
    <mergeCell ref="A159:K159"/>
    <mergeCell ref="A160:K160"/>
    <mergeCell ref="A161:K161"/>
    <mergeCell ref="A162:K162"/>
    <mergeCell ref="A163:K163"/>
    <mergeCell ref="A164:K164"/>
    <mergeCell ref="A172:K172"/>
    <mergeCell ref="A173:K173"/>
    <mergeCell ref="A165:K165"/>
    <mergeCell ref="A166:K166"/>
    <mergeCell ref="A167:K167"/>
    <mergeCell ref="A168:L168"/>
    <mergeCell ref="A169:L169"/>
    <mergeCell ref="A170:L170"/>
    <mergeCell ref="A171:K171"/>
  </mergeCells>
  <dataValidations>
    <dataValidation type="list" allowBlank="1" sqref="C8:C35 C37:C67 C69:C93 C95:C119 C121:C145">
      <formula1>RadioIDs</formula1>
    </dataValidation>
    <dataValidation type="list" allowBlank="1" sqref="K4">
      <formula1>"Portrait,Landscape (Rotated)"</formula1>
    </dataValidation>
    <dataValidation type="list" allowBlank="1" sqref="A12:A35 A41:A67 A73:A93 A99:A119 A125:A145">
      <formula1>All_Div_Groups</formula1>
    </dataValidation>
    <dataValidation type="list" allowBlank="1" sqref="C5">
      <formula1>"☑ Fire Load,☐ Non Fire"</formula1>
    </dataValidation>
    <dataValidation type="list" allowBlank="1" sqref="L4">
      <formula1>"1,2,3,4,5"</formula1>
    </dataValidation>
  </dataValidations>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7.5"/>
    <col customWidth="1" min="2" max="2" width="15.63"/>
    <col customWidth="1" min="7" max="7" width="10.88"/>
    <col customWidth="1" min="8" max="21" width="24.88"/>
  </cols>
  <sheetData>
    <row r="1" ht="38.25" customHeight="1">
      <c r="A1" s="699" t="s">
        <v>584</v>
      </c>
      <c r="B1" s="74"/>
      <c r="C1" s="74"/>
      <c r="D1" s="45"/>
      <c r="E1" s="700" t="s">
        <v>585</v>
      </c>
      <c r="F1" s="74"/>
      <c r="G1" s="74"/>
      <c r="H1" s="45"/>
      <c r="I1" s="701"/>
      <c r="J1" s="701"/>
      <c r="K1" s="701"/>
      <c r="L1" s="701"/>
      <c r="M1" s="701"/>
      <c r="N1" s="701"/>
      <c r="O1" s="701"/>
      <c r="P1" s="701"/>
      <c r="Q1" s="701"/>
      <c r="R1" s="701"/>
      <c r="S1" s="701"/>
      <c r="T1" s="701"/>
      <c r="U1" s="701"/>
    </row>
    <row r="2" ht="13.5" customHeight="1">
      <c r="A2" s="702" t="s">
        <v>586</v>
      </c>
      <c r="B2" s="702" t="s">
        <v>485</v>
      </c>
      <c r="C2" s="703" t="s">
        <v>587</v>
      </c>
      <c r="D2" s="704" t="s">
        <v>487</v>
      </c>
      <c r="E2" s="703" t="s">
        <v>588</v>
      </c>
      <c r="F2" s="704" t="s">
        <v>489</v>
      </c>
      <c r="G2" s="705" t="s">
        <v>433</v>
      </c>
      <c r="H2" s="702" t="s">
        <v>434</v>
      </c>
      <c r="I2" s="701"/>
      <c r="J2" s="701"/>
      <c r="K2" s="701"/>
      <c r="L2" s="701"/>
      <c r="M2" s="701"/>
      <c r="N2" s="701"/>
      <c r="O2" s="701"/>
      <c r="P2" s="701"/>
      <c r="Q2" s="701"/>
      <c r="R2" s="701"/>
      <c r="S2" s="701"/>
      <c r="T2" s="701"/>
      <c r="U2" s="701"/>
    </row>
    <row r="3">
      <c r="A3" s="706" t="s">
        <v>542</v>
      </c>
      <c r="B3" s="707" t="s">
        <v>542</v>
      </c>
      <c r="C3" s="708">
        <v>168.325</v>
      </c>
      <c r="D3" s="709"/>
      <c r="E3" s="708">
        <v>168.325</v>
      </c>
      <c r="F3" s="710">
        <v>0.0</v>
      </c>
      <c r="G3" s="711" t="s">
        <v>517</v>
      </c>
      <c r="H3" s="701"/>
      <c r="I3" s="701"/>
      <c r="J3" s="701"/>
      <c r="K3" s="701"/>
      <c r="L3" s="701"/>
      <c r="M3" s="701"/>
      <c r="N3" s="701"/>
      <c r="O3" s="701"/>
      <c r="P3" s="701"/>
      <c r="Q3" s="701"/>
      <c r="R3" s="701"/>
      <c r="S3" s="701"/>
      <c r="T3" s="701"/>
      <c r="U3" s="701"/>
    </row>
    <row r="4">
      <c r="A4" s="712" t="s">
        <v>498</v>
      </c>
      <c r="B4" s="713" t="s">
        <v>498</v>
      </c>
      <c r="C4" s="708" t="s">
        <v>589</v>
      </c>
      <c r="D4" s="714"/>
      <c r="E4" s="708" t="s">
        <v>589</v>
      </c>
      <c r="F4" s="710">
        <v>0.0</v>
      </c>
      <c r="G4" s="711" t="s">
        <v>517</v>
      </c>
      <c r="H4" s="701"/>
      <c r="I4" s="701"/>
      <c r="J4" s="701"/>
      <c r="K4" s="701"/>
      <c r="L4" s="701"/>
      <c r="M4" s="701"/>
      <c r="N4" s="701"/>
      <c r="O4" s="701"/>
      <c r="P4" s="701"/>
      <c r="Q4" s="701"/>
      <c r="R4" s="701"/>
      <c r="S4" s="701"/>
      <c r="T4" s="701"/>
      <c r="U4" s="701"/>
    </row>
    <row r="5">
      <c r="A5" s="715" t="s">
        <v>590</v>
      </c>
      <c r="B5" s="713" t="s">
        <v>590</v>
      </c>
      <c r="C5" s="708">
        <v>173.7</v>
      </c>
      <c r="D5" s="709"/>
      <c r="E5" s="708">
        <v>173.7</v>
      </c>
      <c r="F5" s="709"/>
      <c r="G5" s="711" t="s">
        <v>517</v>
      </c>
      <c r="H5" s="701"/>
      <c r="I5" s="701"/>
      <c r="J5" s="701"/>
      <c r="K5" s="701"/>
      <c r="L5" s="701"/>
      <c r="M5" s="701"/>
      <c r="N5" s="701"/>
      <c r="O5" s="701"/>
      <c r="P5" s="701"/>
      <c r="Q5" s="701"/>
      <c r="R5" s="701"/>
      <c r="S5" s="701"/>
      <c r="T5" s="701"/>
      <c r="U5" s="701"/>
    </row>
    <row r="6">
      <c r="A6" s="716" t="s">
        <v>502</v>
      </c>
      <c r="B6" s="707" t="s">
        <v>542</v>
      </c>
      <c r="C6" s="708" t="s">
        <v>591</v>
      </c>
      <c r="D6" s="714"/>
      <c r="E6" s="708" t="s">
        <v>591</v>
      </c>
      <c r="F6" s="711">
        <v>0.0</v>
      </c>
      <c r="G6" s="711" t="s">
        <v>517</v>
      </c>
      <c r="H6" s="701"/>
      <c r="I6" s="701"/>
      <c r="J6" s="701"/>
      <c r="K6" s="701"/>
      <c r="L6" s="701"/>
      <c r="M6" s="701"/>
      <c r="N6" s="701"/>
      <c r="O6" s="701"/>
      <c r="P6" s="701"/>
      <c r="Q6" s="701"/>
      <c r="R6" s="701"/>
      <c r="S6" s="701"/>
      <c r="T6" s="701"/>
      <c r="U6" s="701"/>
    </row>
    <row r="7">
      <c r="A7" s="715" t="s">
        <v>592</v>
      </c>
      <c r="B7" s="707" t="s">
        <v>593</v>
      </c>
      <c r="C7" s="708" t="s">
        <v>594</v>
      </c>
      <c r="D7" s="709"/>
      <c r="E7" s="708" t="s">
        <v>595</v>
      </c>
      <c r="F7" s="709" t="s">
        <v>596</v>
      </c>
      <c r="G7" s="711" t="s">
        <v>517</v>
      </c>
      <c r="H7" s="701" t="s">
        <v>597</v>
      </c>
      <c r="I7" s="701"/>
      <c r="J7" s="701"/>
      <c r="K7" s="701"/>
      <c r="L7" s="701"/>
      <c r="M7" s="701"/>
      <c r="N7" s="701"/>
      <c r="O7" s="701"/>
      <c r="P7" s="701"/>
      <c r="Q7" s="701"/>
      <c r="R7" s="701"/>
      <c r="S7" s="701"/>
      <c r="T7" s="701"/>
      <c r="U7" s="701"/>
    </row>
    <row r="8">
      <c r="A8" s="716" t="s">
        <v>598</v>
      </c>
      <c r="B8" s="713" t="s">
        <v>599</v>
      </c>
      <c r="C8" s="708" t="s">
        <v>600</v>
      </c>
      <c r="D8" s="714"/>
      <c r="E8" s="708" t="s">
        <v>601</v>
      </c>
      <c r="F8" s="717" t="s">
        <v>596</v>
      </c>
      <c r="G8" s="711" t="s">
        <v>517</v>
      </c>
      <c r="H8" s="701" t="s">
        <v>602</v>
      </c>
      <c r="I8" s="701"/>
      <c r="J8" s="701"/>
      <c r="K8" s="701"/>
      <c r="L8" s="701"/>
      <c r="M8" s="701"/>
      <c r="N8" s="701"/>
      <c r="O8" s="701"/>
      <c r="P8" s="701"/>
      <c r="Q8" s="701"/>
      <c r="R8" s="701"/>
      <c r="S8" s="701"/>
      <c r="T8" s="701"/>
      <c r="U8" s="701"/>
    </row>
    <row r="9">
      <c r="A9" s="716" t="s">
        <v>603</v>
      </c>
      <c r="B9" s="713" t="s">
        <v>599</v>
      </c>
      <c r="C9" s="708">
        <v>172.775</v>
      </c>
      <c r="D9" s="714"/>
      <c r="E9" s="708">
        <v>171.725</v>
      </c>
      <c r="F9" s="717" t="s">
        <v>604</v>
      </c>
      <c r="G9" s="711" t="s">
        <v>517</v>
      </c>
      <c r="H9" s="701"/>
      <c r="I9" s="701"/>
      <c r="J9" s="701"/>
      <c r="K9" s="701"/>
      <c r="L9" s="701"/>
      <c r="M9" s="701"/>
      <c r="N9" s="701"/>
      <c r="O9" s="701"/>
      <c r="P9" s="701"/>
      <c r="Q9" s="701"/>
      <c r="R9" s="701"/>
      <c r="S9" s="701"/>
      <c r="T9" s="701"/>
      <c r="U9" s="701"/>
    </row>
    <row r="10">
      <c r="A10" s="715" t="s">
        <v>605</v>
      </c>
      <c r="B10" s="707" t="s">
        <v>606</v>
      </c>
      <c r="C10" s="708">
        <v>411.3</v>
      </c>
      <c r="D10" s="709"/>
      <c r="E10" s="708">
        <v>411.3</v>
      </c>
      <c r="F10" s="709"/>
      <c r="G10" s="711" t="s">
        <v>517</v>
      </c>
      <c r="H10" s="701"/>
      <c r="I10" s="701"/>
      <c r="J10" s="701"/>
      <c r="K10" s="701"/>
      <c r="L10" s="701"/>
      <c r="M10" s="701"/>
      <c r="N10" s="701"/>
      <c r="O10" s="701"/>
      <c r="P10" s="701"/>
      <c r="Q10" s="701"/>
      <c r="R10" s="701"/>
      <c r="S10" s="701"/>
      <c r="T10" s="701"/>
      <c r="U10" s="701"/>
    </row>
    <row r="11">
      <c r="A11" s="715" t="s">
        <v>607</v>
      </c>
      <c r="B11" s="707" t="s">
        <v>606</v>
      </c>
      <c r="C11" s="708">
        <v>411.425</v>
      </c>
      <c r="D11" s="709"/>
      <c r="E11" s="708">
        <v>411.425</v>
      </c>
      <c r="F11" s="709"/>
      <c r="G11" s="711" t="s">
        <v>517</v>
      </c>
      <c r="H11" s="701"/>
      <c r="I11" s="701"/>
      <c r="J11" s="701"/>
      <c r="K11" s="701"/>
      <c r="L11" s="701"/>
      <c r="M11" s="701"/>
      <c r="N11" s="701"/>
      <c r="O11" s="701"/>
      <c r="P11" s="701"/>
      <c r="Q11" s="701"/>
      <c r="R11" s="701"/>
      <c r="S11" s="701"/>
      <c r="T11" s="701"/>
      <c r="U11" s="701"/>
    </row>
    <row r="12">
      <c r="A12" s="715" t="s">
        <v>608</v>
      </c>
      <c r="B12" s="707" t="s">
        <v>606</v>
      </c>
      <c r="C12" s="708">
        <v>411.525</v>
      </c>
      <c r="D12" s="709"/>
      <c r="E12" s="708">
        <v>411.525</v>
      </c>
      <c r="F12" s="709"/>
      <c r="G12" s="711" t="s">
        <v>517</v>
      </c>
      <c r="H12" s="701"/>
      <c r="I12" s="701"/>
      <c r="J12" s="701"/>
      <c r="K12" s="701"/>
      <c r="L12" s="701"/>
      <c r="M12" s="701"/>
      <c r="N12" s="701"/>
      <c r="O12" s="701"/>
      <c r="P12" s="701"/>
      <c r="Q12" s="701"/>
      <c r="R12" s="701"/>
      <c r="S12" s="701"/>
      <c r="T12" s="701"/>
      <c r="U12" s="701"/>
    </row>
    <row r="13">
      <c r="A13" s="712" t="s">
        <v>609</v>
      </c>
      <c r="B13" s="713" t="s">
        <v>494</v>
      </c>
      <c r="C13" s="708">
        <v>155.385</v>
      </c>
      <c r="D13" s="709"/>
      <c r="E13" s="708">
        <v>150.805</v>
      </c>
      <c r="F13" s="718" t="s">
        <v>596</v>
      </c>
      <c r="G13" s="711" t="s">
        <v>517</v>
      </c>
      <c r="H13" s="716" t="s">
        <v>610</v>
      </c>
      <c r="I13" s="701"/>
      <c r="J13" s="701"/>
      <c r="K13" s="701"/>
      <c r="L13" s="701"/>
      <c r="M13" s="701"/>
      <c r="N13" s="701"/>
      <c r="O13" s="701"/>
      <c r="P13" s="701"/>
      <c r="Q13" s="701"/>
      <c r="R13" s="701"/>
      <c r="S13" s="701"/>
      <c r="T13" s="701"/>
      <c r="U13" s="701"/>
    </row>
    <row r="14">
      <c r="A14" s="712" t="s">
        <v>611</v>
      </c>
      <c r="B14" s="713" t="s">
        <v>612</v>
      </c>
      <c r="C14" s="708">
        <v>154.19</v>
      </c>
      <c r="D14" s="709"/>
      <c r="E14" s="708">
        <v>154.19</v>
      </c>
      <c r="F14" s="718" t="s">
        <v>613</v>
      </c>
      <c r="G14" s="711" t="s">
        <v>517</v>
      </c>
      <c r="H14" s="701"/>
      <c r="I14" s="701"/>
      <c r="J14" s="701"/>
      <c r="K14" s="701"/>
      <c r="L14" s="701"/>
      <c r="M14" s="701"/>
      <c r="N14" s="701"/>
      <c r="O14" s="701"/>
      <c r="P14" s="701"/>
      <c r="Q14" s="701"/>
      <c r="R14" s="701"/>
      <c r="S14" s="701"/>
      <c r="T14" s="701"/>
      <c r="U14" s="701"/>
    </row>
    <row r="15">
      <c r="A15" s="712" t="s">
        <v>614</v>
      </c>
      <c r="B15" s="713" t="s">
        <v>612</v>
      </c>
      <c r="C15" s="708">
        <v>154.355</v>
      </c>
      <c r="D15" s="709"/>
      <c r="E15" s="708">
        <v>154.355</v>
      </c>
      <c r="F15" s="718" t="s">
        <v>615</v>
      </c>
      <c r="G15" s="711" t="s">
        <v>517</v>
      </c>
      <c r="H15" s="701"/>
      <c r="I15" s="701"/>
      <c r="J15" s="701"/>
      <c r="K15" s="701"/>
      <c r="L15" s="701"/>
      <c r="M15" s="701"/>
      <c r="N15" s="701"/>
      <c r="O15" s="701"/>
      <c r="P15" s="701"/>
      <c r="Q15" s="701"/>
      <c r="R15" s="701"/>
      <c r="S15" s="701"/>
      <c r="T15" s="701"/>
      <c r="U15" s="701"/>
    </row>
    <row r="16">
      <c r="A16" s="712" t="s">
        <v>616</v>
      </c>
      <c r="B16" s="713" t="s">
        <v>612</v>
      </c>
      <c r="C16" s="708">
        <v>155.1</v>
      </c>
      <c r="D16" s="709"/>
      <c r="E16" s="708">
        <v>155.1</v>
      </c>
      <c r="F16" s="718" t="s">
        <v>617</v>
      </c>
      <c r="G16" s="711" t="s">
        <v>517</v>
      </c>
      <c r="H16" s="701"/>
      <c r="I16" s="701"/>
      <c r="J16" s="701"/>
      <c r="K16" s="701"/>
      <c r="L16" s="701"/>
      <c r="M16" s="701"/>
      <c r="N16" s="701"/>
      <c r="O16" s="701"/>
      <c r="P16" s="701"/>
      <c r="Q16" s="701"/>
      <c r="R16" s="701"/>
      <c r="S16" s="701"/>
      <c r="T16" s="701"/>
      <c r="U16" s="701"/>
    </row>
    <row r="17">
      <c r="A17" s="712" t="s">
        <v>618</v>
      </c>
      <c r="B17" s="713" t="s">
        <v>612</v>
      </c>
      <c r="C17" s="708">
        <v>155.82</v>
      </c>
      <c r="D17" s="709"/>
      <c r="E17" s="708">
        <v>155.82</v>
      </c>
      <c r="F17" s="718" t="s">
        <v>619</v>
      </c>
      <c r="G17" s="711" t="s">
        <v>517</v>
      </c>
      <c r="H17" s="701"/>
      <c r="I17" s="701"/>
      <c r="J17" s="701"/>
      <c r="K17" s="701"/>
      <c r="L17" s="701"/>
      <c r="M17" s="701"/>
      <c r="N17" s="701"/>
      <c r="O17" s="701"/>
      <c r="P17" s="701"/>
      <c r="Q17" s="701"/>
      <c r="R17" s="701"/>
      <c r="S17" s="701"/>
      <c r="T17" s="701"/>
      <c r="U17" s="701"/>
    </row>
    <row r="18">
      <c r="A18" s="712" t="s">
        <v>620</v>
      </c>
      <c r="B18" s="713" t="s">
        <v>494</v>
      </c>
      <c r="C18" s="708">
        <v>171.0875</v>
      </c>
      <c r="D18" s="709"/>
      <c r="E18" s="708">
        <v>164.0125</v>
      </c>
      <c r="F18" s="709"/>
      <c r="G18" s="711" t="s">
        <v>517</v>
      </c>
      <c r="H18" s="701"/>
      <c r="I18" s="701"/>
      <c r="J18" s="701"/>
      <c r="K18" s="701"/>
      <c r="L18" s="701"/>
      <c r="M18" s="701"/>
      <c r="N18" s="701"/>
      <c r="O18" s="701"/>
      <c r="P18" s="701"/>
      <c r="Q18" s="701"/>
      <c r="R18" s="701"/>
      <c r="S18" s="701"/>
      <c r="T18" s="701"/>
      <c r="U18" s="701"/>
    </row>
    <row r="19">
      <c r="A19" s="715" t="s">
        <v>621</v>
      </c>
      <c r="B19" s="713" t="s">
        <v>494</v>
      </c>
      <c r="C19" s="708">
        <v>172.25</v>
      </c>
      <c r="D19" s="709"/>
      <c r="E19" s="708">
        <v>164.25</v>
      </c>
      <c r="F19" s="709"/>
      <c r="G19" s="711" t="s">
        <v>517</v>
      </c>
      <c r="H19" s="701"/>
      <c r="I19" s="701"/>
      <c r="J19" s="701"/>
      <c r="K19" s="701"/>
      <c r="L19" s="701"/>
      <c r="M19" s="701"/>
      <c r="N19" s="701"/>
      <c r="O19" s="701"/>
      <c r="P19" s="701"/>
      <c r="Q19" s="701"/>
      <c r="R19" s="701"/>
      <c r="S19" s="701"/>
      <c r="T19" s="701"/>
      <c r="U19" s="701"/>
    </row>
    <row r="20">
      <c r="A20" s="712" t="s">
        <v>622</v>
      </c>
      <c r="B20" s="713" t="s">
        <v>494</v>
      </c>
      <c r="C20" s="708">
        <v>169.975</v>
      </c>
      <c r="D20" s="709"/>
      <c r="E20" s="708">
        <v>164.8625</v>
      </c>
      <c r="F20" s="709"/>
      <c r="G20" s="711" t="s">
        <v>517</v>
      </c>
      <c r="H20" s="701"/>
      <c r="I20" s="701"/>
      <c r="J20" s="701"/>
      <c r="K20" s="701"/>
      <c r="L20" s="701"/>
      <c r="M20" s="701"/>
      <c r="N20" s="701"/>
      <c r="O20" s="701"/>
      <c r="P20" s="701"/>
      <c r="Q20" s="701"/>
      <c r="R20" s="701"/>
      <c r="S20" s="701"/>
      <c r="T20" s="701"/>
      <c r="U20" s="701"/>
    </row>
    <row r="21">
      <c r="A21" s="715" t="s">
        <v>623</v>
      </c>
      <c r="B21" s="713" t="s">
        <v>494</v>
      </c>
      <c r="C21" s="708">
        <v>173.825</v>
      </c>
      <c r="D21" s="709"/>
      <c r="E21" s="708">
        <v>170.075</v>
      </c>
      <c r="F21" s="709"/>
      <c r="G21" s="711" t="s">
        <v>517</v>
      </c>
      <c r="H21" s="701"/>
      <c r="I21" s="701"/>
      <c r="J21" s="701"/>
      <c r="K21" s="701"/>
      <c r="L21" s="701"/>
      <c r="M21" s="701"/>
      <c r="N21" s="701"/>
      <c r="O21" s="701"/>
      <c r="P21" s="701"/>
      <c r="Q21" s="701"/>
      <c r="R21" s="701"/>
      <c r="S21" s="701"/>
      <c r="T21" s="701"/>
      <c r="U21" s="701"/>
    </row>
    <row r="22">
      <c r="A22" s="715" t="s">
        <v>624</v>
      </c>
      <c r="B22" s="713" t="s">
        <v>494</v>
      </c>
      <c r="C22" s="708">
        <v>170.3125</v>
      </c>
      <c r="D22" s="709"/>
      <c r="E22" s="708">
        <v>164.175</v>
      </c>
      <c r="F22" s="709"/>
      <c r="G22" s="711" t="s">
        <v>517</v>
      </c>
      <c r="H22" s="701"/>
      <c r="I22" s="701"/>
      <c r="J22" s="701"/>
      <c r="K22" s="701"/>
      <c r="L22" s="701"/>
      <c r="M22" s="701"/>
      <c r="N22" s="701"/>
      <c r="O22" s="701"/>
      <c r="P22" s="701"/>
      <c r="Q22" s="701"/>
      <c r="R22" s="701"/>
      <c r="S22" s="701"/>
      <c r="T22" s="701"/>
      <c r="U22" s="701"/>
    </row>
    <row r="23">
      <c r="A23" s="715" t="s">
        <v>625</v>
      </c>
      <c r="B23" s="713" t="s">
        <v>494</v>
      </c>
      <c r="C23" s="708">
        <v>172.4375</v>
      </c>
      <c r="D23" s="709"/>
      <c r="E23" s="708">
        <v>163.3875</v>
      </c>
      <c r="F23" s="709"/>
      <c r="G23" s="711" t="s">
        <v>517</v>
      </c>
      <c r="H23" s="701"/>
      <c r="I23" s="701"/>
      <c r="J23" s="701"/>
      <c r="K23" s="701"/>
      <c r="L23" s="701"/>
      <c r="M23" s="701"/>
      <c r="N23" s="701"/>
      <c r="O23" s="701"/>
      <c r="P23" s="701"/>
      <c r="Q23" s="701"/>
      <c r="R23" s="701"/>
      <c r="S23" s="701"/>
      <c r="T23" s="701"/>
      <c r="U23" s="701"/>
    </row>
    <row r="24">
      <c r="A24" s="712" t="s">
        <v>626</v>
      </c>
      <c r="B24" s="713" t="s">
        <v>494</v>
      </c>
      <c r="C24" s="708">
        <v>168.1375</v>
      </c>
      <c r="D24" s="709"/>
      <c r="E24" s="708">
        <v>165.1</v>
      </c>
      <c r="F24" s="709"/>
      <c r="G24" s="711" t="s">
        <v>517</v>
      </c>
      <c r="H24" s="701"/>
      <c r="I24" s="701"/>
      <c r="J24" s="701"/>
      <c r="K24" s="701"/>
      <c r="L24" s="701"/>
      <c r="M24" s="701"/>
      <c r="N24" s="701"/>
      <c r="O24" s="701"/>
      <c r="P24" s="701"/>
      <c r="Q24" s="701"/>
      <c r="R24" s="701"/>
      <c r="S24" s="701"/>
      <c r="T24" s="701"/>
      <c r="U24" s="701"/>
    </row>
    <row r="25">
      <c r="A25" s="715" t="s">
        <v>627</v>
      </c>
      <c r="B25" s="713" t="s">
        <v>612</v>
      </c>
      <c r="C25" s="708">
        <v>167.1375</v>
      </c>
      <c r="D25" s="709"/>
      <c r="E25" s="708">
        <v>167.1375</v>
      </c>
      <c r="F25" s="709"/>
      <c r="G25" s="711" t="s">
        <v>517</v>
      </c>
      <c r="H25" s="701"/>
      <c r="I25" s="701"/>
      <c r="J25" s="701"/>
      <c r="K25" s="701"/>
      <c r="L25" s="701"/>
      <c r="M25" s="701"/>
      <c r="N25" s="701"/>
      <c r="O25" s="701"/>
      <c r="P25" s="701"/>
      <c r="Q25" s="701"/>
      <c r="R25" s="701"/>
      <c r="S25" s="701"/>
      <c r="T25" s="701"/>
      <c r="U25" s="701"/>
    </row>
    <row r="26">
      <c r="A26" s="715" t="s">
        <v>628</v>
      </c>
      <c r="B26" s="713" t="s">
        <v>612</v>
      </c>
      <c r="C26" s="708">
        <v>173.625</v>
      </c>
      <c r="D26" s="709"/>
      <c r="E26" s="708">
        <v>173.625</v>
      </c>
      <c r="F26" s="709"/>
      <c r="G26" s="711" t="s">
        <v>517</v>
      </c>
      <c r="H26" s="701"/>
      <c r="I26" s="701"/>
      <c r="J26" s="701"/>
      <c r="K26" s="701"/>
      <c r="L26" s="701"/>
      <c r="M26" s="701"/>
      <c r="N26" s="701"/>
      <c r="O26" s="701"/>
      <c r="P26" s="701"/>
      <c r="Q26" s="701"/>
      <c r="R26" s="701"/>
      <c r="S26" s="701"/>
      <c r="T26" s="701"/>
      <c r="U26" s="701"/>
    </row>
    <row r="27">
      <c r="A27" s="715" t="s">
        <v>629</v>
      </c>
      <c r="B27" s="713" t="s">
        <v>612</v>
      </c>
      <c r="C27" s="708">
        <v>163.7125</v>
      </c>
      <c r="D27" s="709"/>
      <c r="E27" s="708">
        <v>163.7125</v>
      </c>
      <c r="F27" s="709"/>
      <c r="G27" s="711" t="s">
        <v>517</v>
      </c>
      <c r="H27" s="701"/>
      <c r="I27" s="701"/>
      <c r="J27" s="701"/>
      <c r="K27" s="701"/>
      <c r="L27" s="701"/>
      <c r="M27" s="701"/>
      <c r="N27" s="701"/>
      <c r="O27" s="701"/>
      <c r="P27" s="701"/>
      <c r="Q27" s="701"/>
      <c r="R27" s="701"/>
      <c r="S27" s="701"/>
      <c r="T27" s="701"/>
      <c r="U27" s="701"/>
    </row>
    <row r="28">
      <c r="A28" s="715" t="s">
        <v>630</v>
      </c>
      <c r="B28" s="713" t="s">
        <v>612</v>
      </c>
      <c r="C28" s="708">
        <v>168.6125</v>
      </c>
      <c r="D28" s="709"/>
      <c r="E28" s="708">
        <v>168.6125</v>
      </c>
      <c r="F28" s="709"/>
      <c r="G28" s="711" t="s">
        <v>517</v>
      </c>
      <c r="H28" s="701"/>
      <c r="I28" s="701"/>
      <c r="J28" s="701"/>
      <c r="K28" s="701"/>
      <c r="L28" s="701"/>
      <c r="M28" s="701"/>
      <c r="N28" s="701"/>
      <c r="O28" s="701"/>
      <c r="P28" s="701"/>
      <c r="Q28" s="701"/>
      <c r="R28" s="701"/>
      <c r="S28" s="701"/>
      <c r="T28" s="701"/>
      <c r="U28" s="701"/>
    </row>
    <row r="29">
      <c r="A29" s="719" t="s">
        <v>631</v>
      </c>
      <c r="B29" s="713" t="s">
        <v>612</v>
      </c>
      <c r="C29" s="708" t="s">
        <v>632</v>
      </c>
      <c r="D29" s="709"/>
      <c r="E29" s="708" t="s">
        <v>632</v>
      </c>
      <c r="F29" s="717" t="s">
        <v>604</v>
      </c>
      <c r="G29" s="711" t="s">
        <v>517</v>
      </c>
      <c r="H29" s="719"/>
      <c r="I29" s="701"/>
      <c r="J29" s="701"/>
      <c r="K29" s="701"/>
      <c r="L29" s="701"/>
      <c r="M29" s="701"/>
      <c r="N29" s="701"/>
      <c r="O29" s="701"/>
      <c r="P29" s="701"/>
      <c r="Q29" s="701"/>
      <c r="R29" s="701"/>
      <c r="S29" s="701"/>
      <c r="T29" s="701"/>
      <c r="U29" s="701"/>
    </row>
    <row r="30">
      <c r="A30" s="716" t="s">
        <v>633</v>
      </c>
      <c r="B30" s="713" t="s">
        <v>494</v>
      </c>
      <c r="C30" s="708" t="s">
        <v>600</v>
      </c>
      <c r="D30" s="714"/>
      <c r="E30" s="708" t="s">
        <v>634</v>
      </c>
      <c r="F30" s="717" t="s">
        <v>635</v>
      </c>
      <c r="G30" s="711" t="s">
        <v>517</v>
      </c>
      <c r="H30" s="701"/>
      <c r="I30" s="701"/>
      <c r="J30" s="701"/>
      <c r="K30" s="701"/>
      <c r="L30" s="701"/>
      <c r="M30" s="701"/>
      <c r="N30" s="701"/>
      <c r="O30" s="701"/>
      <c r="P30" s="701"/>
      <c r="Q30" s="701"/>
      <c r="R30" s="701"/>
      <c r="S30" s="701"/>
      <c r="T30" s="701"/>
      <c r="U30" s="701"/>
    </row>
    <row r="31">
      <c r="A31" s="716" t="s">
        <v>519</v>
      </c>
      <c r="B31" s="713" t="s">
        <v>494</v>
      </c>
      <c r="C31" s="708" t="s">
        <v>636</v>
      </c>
      <c r="D31" s="711">
        <v>0.0</v>
      </c>
      <c r="E31" s="708" t="s">
        <v>637</v>
      </c>
      <c r="F31" s="720">
        <v>0.0</v>
      </c>
      <c r="G31" s="711" t="s">
        <v>517</v>
      </c>
      <c r="H31" s="701"/>
      <c r="I31" s="701"/>
      <c r="J31" s="701"/>
      <c r="K31" s="701"/>
      <c r="L31" s="701"/>
      <c r="M31" s="701"/>
      <c r="N31" s="701"/>
      <c r="O31" s="701"/>
      <c r="P31" s="701"/>
      <c r="Q31" s="701"/>
      <c r="R31" s="701"/>
      <c r="S31" s="701"/>
      <c r="T31" s="701"/>
      <c r="U31" s="701"/>
    </row>
    <row r="32">
      <c r="A32" s="716" t="s">
        <v>638</v>
      </c>
      <c r="B32" s="713" t="s">
        <v>494</v>
      </c>
      <c r="C32" s="708" t="s">
        <v>636</v>
      </c>
      <c r="D32" s="714"/>
      <c r="E32" s="708" t="s">
        <v>637</v>
      </c>
      <c r="F32" s="717" t="s">
        <v>619</v>
      </c>
      <c r="G32" s="711" t="s">
        <v>517</v>
      </c>
      <c r="H32" s="701"/>
      <c r="I32" s="701"/>
      <c r="J32" s="701"/>
      <c r="K32" s="701"/>
      <c r="L32" s="701"/>
      <c r="M32" s="701"/>
      <c r="N32" s="701"/>
      <c r="O32" s="701"/>
      <c r="P32" s="701"/>
      <c r="Q32" s="701"/>
      <c r="R32" s="701"/>
      <c r="S32" s="701"/>
      <c r="T32" s="701"/>
      <c r="U32" s="701"/>
    </row>
    <row r="33">
      <c r="A33" s="721" t="s">
        <v>639</v>
      </c>
      <c r="B33" s="713" t="s">
        <v>599</v>
      </c>
      <c r="C33" s="708" t="s">
        <v>640</v>
      </c>
      <c r="D33" s="709"/>
      <c r="E33" s="708" t="s">
        <v>640</v>
      </c>
      <c r="F33" s="709"/>
      <c r="G33" s="711" t="s">
        <v>517</v>
      </c>
      <c r="H33" s="719"/>
      <c r="I33" s="701"/>
      <c r="J33" s="701"/>
      <c r="K33" s="701"/>
      <c r="L33" s="701"/>
      <c r="M33" s="701"/>
      <c r="N33" s="701"/>
      <c r="O33" s="701"/>
      <c r="P33" s="701"/>
      <c r="Q33" s="701"/>
      <c r="R33" s="701"/>
      <c r="S33" s="701"/>
      <c r="T33" s="701"/>
      <c r="U33" s="701"/>
    </row>
    <row r="34">
      <c r="A34" s="719" t="s">
        <v>641</v>
      </c>
      <c r="B34" s="713" t="s">
        <v>599</v>
      </c>
      <c r="C34" s="708" t="s">
        <v>642</v>
      </c>
      <c r="D34" s="709"/>
      <c r="E34" s="708" t="s">
        <v>642</v>
      </c>
      <c r="F34" s="709"/>
      <c r="G34" s="711" t="s">
        <v>517</v>
      </c>
      <c r="H34" s="719" t="s">
        <v>643</v>
      </c>
      <c r="I34" s="701"/>
      <c r="J34" s="701"/>
      <c r="K34" s="701"/>
      <c r="L34" s="701"/>
      <c r="M34" s="701"/>
      <c r="N34" s="701"/>
      <c r="O34" s="701"/>
      <c r="P34" s="701"/>
      <c r="Q34" s="701"/>
      <c r="R34" s="701"/>
      <c r="S34" s="701"/>
      <c r="T34" s="701"/>
      <c r="U34" s="701"/>
    </row>
    <row r="35">
      <c r="A35" s="719" t="s">
        <v>644</v>
      </c>
      <c r="B35" s="713" t="s">
        <v>612</v>
      </c>
      <c r="C35" s="708" t="s">
        <v>645</v>
      </c>
      <c r="D35" s="709"/>
      <c r="E35" s="708" t="s">
        <v>645</v>
      </c>
      <c r="F35" s="709"/>
      <c r="G35" s="711" t="s">
        <v>517</v>
      </c>
      <c r="H35" s="719" t="s">
        <v>643</v>
      </c>
      <c r="I35" s="701"/>
      <c r="J35" s="701"/>
      <c r="K35" s="701"/>
      <c r="L35" s="701"/>
      <c r="M35" s="701"/>
      <c r="N35" s="701"/>
      <c r="O35" s="701"/>
      <c r="P35" s="701"/>
      <c r="Q35" s="701"/>
      <c r="R35" s="701"/>
      <c r="S35" s="701"/>
      <c r="T35" s="701"/>
      <c r="U35" s="701"/>
    </row>
    <row r="36">
      <c r="A36" s="721" t="s">
        <v>646</v>
      </c>
      <c r="B36" s="713" t="s">
        <v>599</v>
      </c>
      <c r="C36" s="708" t="s">
        <v>647</v>
      </c>
      <c r="D36" s="709"/>
      <c r="E36" s="708" t="s">
        <v>647</v>
      </c>
      <c r="F36" s="709"/>
      <c r="G36" s="711" t="s">
        <v>517</v>
      </c>
      <c r="H36" s="719" t="s">
        <v>643</v>
      </c>
      <c r="I36" s="701"/>
      <c r="J36" s="701"/>
      <c r="K36" s="701"/>
      <c r="L36" s="701"/>
      <c r="M36" s="701"/>
      <c r="N36" s="701"/>
      <c r="O36" s="701"/>
      <c r="P36" s="701"/>
      <c r="Q36" s="701"/>
      <c r="R36" s="701"/>
      <c r="S36" s="701"/>
      <c r="T36" s="701"/>
      <c r="U36" s="701"/>
    </row>
    <row r="37">
      <c r="A37" s="719" t="s">
        <v>648</v>
      </c>
      <c r="B37" s="713" t="s">
        <v>612</v>
      </c>
      <c r="C37" s="708" t="s">
        <v>649</v>
      </c>
      <c r="D37" s="709"/>
      <c r="E37" s="708" t="s">
        <v>649</v>
      </c>
      <c r="F37" s="709"/>
      <c r="G37" s="711" t="s">
        <v>517</v>
      </c>
      <c r="H37" s="719" t="s">
        <v>643</v>
      </c>
      <c r="I37" s="701"/>
      <c r="J37" s="701"/>
      <c r="K37" s="701"/>
      <c r="L37" s="701"/>
      <c r="M37" s="701"/>
      <c r="N37" s="701"/>
      <c r="O37" s="701"/>
      <c r="P37" s="701"/>
      <c r="Q37" s="701"/>
      <c r="R37" s="701"/>
      <c r="S37" s="701"/>
      <c r="T37" s="701"/>
      <c r="U37" s="701"/>
    </row>
    <row r="38">
      <c r="A38" s="719" t="s">
        <v>650</v>
      </c>
      <c r="B38" s="713" t="s">
        <v>612</v>
      </c>
      <c r="C38" s="708" t="s">
        <v>651</v>
      </c>
      <c r="D38" s="709"/>
      <c r="E38" s="708" t="s">
        <v>651</v>
      </c>
      <c r="F38" s="709"/>
      <c r="G38" s="711" t="s">
        <v>517</v>
      </c>
      <c r="H38" s="719" t="s">
        <v>643</v>
      </c>
      <c r="I38" s="701"/>
      <c r="J38" s="701"/>
      <c r="K38" s="701"/>
      <c r="L38" s="701"/>
      <c r="M38" s="701"/>
      <c r="N38" s="701"/>
      <c r="O38" s="701"/>
      <c r="P38" s="701"/>
      <c r="Q38" s="701"/>
      <c r="R38" s="701"/>
      <c r="S38" s="701"/>
      <c r="T38" s="701"/>
      <c r="U38" s="701"/>
    </row>
    <row r="39">
      <c r="A39" s="721" t="s">
        <v>652</v>
      </c>
      <c r="B39" s="713" t="s">
        <v>612</v>
      </c>
      <c r="C39" s="708" t="s">
        <v>653</v>
      </c>
      <c r="D39" s="709"/>
      <c r="E39" s="708" t="s">
        <v>653</v>
      </c>
      <c r="F39" s="709"/>
      <c r="G39" s="711" t="s">
        <v>517</v>
      </c>
      <c r="H39" s="719" t="s">
        <v>643</v>
      </c>
      <c r="I39" s="701"/>
      <c r="J39" s="701"/>
      <c r="K39" s="701"/>
      <c r="L39" s="701"/>
      <c r="M39" s="701"/>
      <c r="N39" s="701"/>
      <c r="O39" s="701"/>
      <c r="P39" s="701"/>
      <c r="Q39" s="701"/>
      <c r="R39" s="701"/>
      <c r="S39" s="701"/>
      <c r="T39" s="701"/>
      <c r="U39" s="701"/>
    </row>
    <row r="40">
      <c r="A40" s="719" t="s">
        <v>654</v>
      </c>
      <c r="B40" s="713" t="s">
        <v>612</v>
      </c>
      <c r="C40" s="708" t="s">
        <v>655</v>
      </c>
      <c r="D40" s="709"/>
      <c r="E40" s="708" t="s">
        <v>655</v>
      </c>
      <c r="F40" s="709"/>
      <c r="G40" s="711" t="s">
        <v>517</v>
      </c>
      <c r="H40" s="719" t="s">
        <v>643</v>
      </c>
      <c r="I40" s="701"/>
      <c r="J40" s="701"/>
      <c r="K40" s="701"/>
      <c r="L40" s="701"/>
      <c r="M40" s="701"/>
      <c r="N40" s="701"/>
      <c r="O40" s="701"/>
      <c r="P40" s="701"/>
      <c r="Q40" s="701"/>
      <c r="R40" s="701"/>
      <c r="S40" s="701"/>
      <c r="T40" s="701"/>
      <c r="U40" s="701"/>
    </row>
    <row r="41">
      <c r="A41" s="712" t="s">
        <v>656</v>
      </c>
      <c r="B41" s="713" t="s">
        <v>494</v>
      </c>
      <c r="C41" s="708" t="s">
        <v>657</v>
      </c>
      <c r="D41" s="718" t="s">
        <v>619</v>
      </c>
      <c r="E41" s="708" t="s">
        <v>657</v>
      </c>
      <c r="F41" s="718" t="s">
        <v>619</v>
      </c>
      <c r="G41" s="711" t="s">
        <v>517</v>
      </c>
      <c r="H41" s="722"/>
      <c r="I41" s="701"/>
      <c r="J41" s="701"/>
      <c r="K41" s="701"/>
      <c r="L41" s="701"/>
      <c r="M41" s="701"/>
      <c r="N41" s="701"/>
      <c r="O41" s="701"/>
      <c r="P41" s="701"/>
      <c r="Q41" s="701"/>
      <c r="R41" s="701"/>
      <c r="S41" s="701"/>
      <c r="T41" s="701"/>
      <c r="U41" s="701"/>
    </row>
    <row r="42">
      <c r="A42" s="719" t="s">
        <v>658</v>
      </c>
      <c r="B42" s="713" t="s">
        <v>494</v>
      </c>
      <c r="C42" s="708" t="s">
        <v>659</v>
      </c>
      <c r="D42" s="709"/>
      <c r="E42" s="708" t="s">
        <v>659</v>
      </c>
      <c r="F42" s="709"/>
      <c r="G42" s="711" t="s">
        <v>517</v>
      </c>
      <c r="H42" s="719"/>
      <c r="I42" s="701"/>
      <c r="J42" s="701"/>
      <c r="K42" s="701"/>
      <c r="L42" s="701"/>
      <c r="M42" s="701"/>
      <c r="N42" s="701"/>
      <c r="O42" s="701"/>
      <c r="P42" s="701"/>
      <c r="Q42" s="701"/>
      <c r="R42" s="701"/>
      <c r="S42" s="701"/>
      <c r="T42" s="701"/>
      <c r="U42" s="701"/>
    </row>
    <row r="43">
      <c r="A43" s="719" t="s">
        <v>660</v>
      </c>
      <c r="B43" s="713" t="s">
        <v>494</v>
      </c>
      <c r="C43" s="708" t="s">
        <v>661</v>
      </c>
      <c r="D43" s="709"/>
      <c r="E43" s="708" t="s">
        <v>661</v>
      </c>
      <c r="F43" s="709"/>
      <c r="G43" s="711" t="s">
        <v>517</v>
      </c>
      <c r="H43" s="719"/>
      <c r="I43" s="701"/>
      <c r="J43" s="701"/>
      <c r="K43" s="701"/>
      <c r="L43" s="701"/>
      <c r="M43" s="701"/>
      <c r="N43" s="701"/>
      <c r="O43" s="701"/>
      <c r="P43" s="701"/>
      <c r="Q43" s="701"/>
      <c r="R43" s="701"/>
      <c r="S43" s="701"/>
      <c r="T43" s="701"/>
      <c r="U43" s="701"/>
    </row>
    <row r="44">
      <c r="A44" s="715" t="s">
        <v>662</v>
      </c>
      <c r="B44" s="713"/>
      <c r="C44" s="708">
        <v>163.35</v>
      </c>
      <c r="D44" s="709"/>
      <c r="E44" s="708" t="s">
        <v>663</v>
      </c>
      <c r="F44" s="709"/>
      <c r="G44" s="711" t="s">
        <v>517</v>
      </c>
      <c r="H44" s="701"/>
      <c r="I44" s="701"/>
      <c r="J44" s="701"/>
      <c r="K44" s="701"/>
      <c r="L44" s="701"/>
      <c r="M44" s="701"/>
      <c r="N44" s="701"/>
      <c r="O44" s="701"/>
      <c r="P44" s="701"/>
      <c r="Q44" s="701"/>
      <c r="R44" s="701"/>
      <c r="S44" s="701"/>
      <c r="T44" s="701"/>
      <c r="U44" s="701"/>
    </row>
    <row r="45">
      <c r="A45" s="716" t="s">
        <v>664</v>
      </c>
      <c r="B45" s="713" t="s">
        <v>599</v>
      </c>
      <c r="C45" s="708" t="s">
        <v>665</v>
      </c>
      <c r="D45" s="714"/>
      <c r="E45" s="708" t="s">
        <v>666</v>
      </c>
      <c r="F45" s="717" t="s">
        <v>635</v>
      </c>
      <c r="G45" s="711" t="s">
        <v>517</v>
      </c>
      <c r="H45" s="701"/>
      <c r="I45" s="701"/>
      <c r="J45" s="701"/>
      <c r="K45" s="701"/>
      <c r="L45" s="701"/>
      <c r="M45" s="701"/>
      <c r="N45" s="701"/>
      <c r="O45" s="701"/>
      <c r="P45" s="701"/>
      <c r="Q45" s="701"/>
      <c r="R45" s="701"/>
      <c r="S45" s="701"/>
      <c r="T45" s="701"/>
      <c r="U45" s="701"/>
    </row>
    <row r="46">
      <c r="A46" s="701"/>
      <c r="B46" s="722"/>
      <c r="C46" s="723"/>
      <c r="D46" s="714"/>
      <c r="E46" s="723"/>
      <c r="F46" s="717"/>
      <c r="G46" s="714"/>
      <c r="H46" s="701"/>
      <c r="I46" s="701"/>
      <c r="J46" s="701"/>
      <c r="K46" s="701"/>
      <c r="L46" s="701"/>
      <c r="M46" s="701"/>
      <c r="N46" s="701"/>
      <c r="O46" s="701"/>
      <c r="P46" s="701"/>
      <c r="Q46" s="701"/>
      <c r="R46" s="701"/>
      <c r="S46" s="701"/>
      <c r="T46" s="701"/>
      <c r="U46" s="701"/>
    </row>
    <row r="47">
      <c r="A47" s="701"/>
      <c r="B47" s="713"/>
      <c r="C47" s="708"/>
      <c r="D47" s="714"/>
      <c r="E47" s="708"/>
      <c r="F47" s="717"/>
      <c r="G47" s="714"/>
      <c r="H47" s="701"/>
      <c r="I47" s="701"/>
      <c r="J47" s="701"/>
      <c r="K47" s="701"/>
      <c r="L47" s="701"/>
      <c r="M47" s="701"/>
      <c r="N47" s="701"/>
      <c r="O47" s="701"/>
      <c r="P47" s="701"/>
      <c r="Q47" s="701"/>
      <c r="R47" s="701"/>
      <c r="S47" s="701"/>
      <c r="T47" s="701"/>
      <c r="U47" s="701"/>
    </row>
    <row r="48">
      <c r="A48" s="716"/>
      <c r="B48" s="713"/>
      <c r="C48" s="708"/>
      <c r="D48" s="714"/>
      <c r="E48" s="708"/>
      <c r="F48" s="717"/>
      <c r="G48" s="714"/>
      <c r="H48" s="701"/>
      <c r="I48" s="701"/>
      <c r="J48" s="701"/>
      <c r="K48" s="701"/>
      <c r="L48" s="701"/>
      <c r="M48" s="701"/>
      <c r="N48" s="701"/>
      <c r="O48" s="701"/>
      <c r="P48" s="701"/>
      <c r="Q48" s="701"/>
      <c r="R48" s="701"/>
      <c r="S48" s="701"/>
      <c r="T48" s="701"/>
      <c r="U48" s="701"/>
    </row>
    <row r="49">
      <c r="A49" s="716"/>
      <c r="B49" s="713"/>
      <c r="C49" s="708"/>
      <c r="D49" s="714"/>
      <c r="E49" s="708"/>
      <c r="F49" s="717"/>
      <c r="G49" s="714"/>
      <c r="H49" s="701"/>
      <c r="I49" s="701"/>
      <c r="J49" s="701"/>
      <c r="K49" s="701"/>
      <c r="L49" s="701"/>
      <c r="M49" s="701"/>
      <c r="N49" s="701"/>
      <c r="O49" s="701"/>
      <c r="P49" s="701"/>
      <c r="Q49" s="701"/>
      <c r="R49" s="701"/>
      <c r="S49" s="701"/>
      <c r="T49" s="701"/>
      <c r="U49" s="701"/>
    </row>
    <row r="50">
      <c r="A50" s="716"/>
      <c r="B50" s="713"/>
      <c r="C50" s="708"/>
      <c r="D50" s="714"/>
      <c r="E50" s="708"/>
      <c r="F50" s="717"/>
      <c r="G50" s="714"/>
      <c r="H50" s="701"/>
      <c r="I50" s="701"/>
      <c r="J50" s="701"/>
      <c r="K50" s="701"/>
      <c r="L50" s="701"/>
      <c r="M50" s="701"/>
      <c r="N50" s="701"/>
      <c r="O50" s="701"/>
      <c r="P50" s="701"/>
      <c r="Q50" s="701"/>
      <c r="R50" s="701"/>
      <c r="S50" s="701"/>
      <c r="T50" s="701"/>
      <c r="U50" s="701"/>
    </row>
    <row r="51">
      <c r="A51" s="716"/>
      <c r="B51" s="713"/>
      <c r="C51" s="708"/>
      <c r="D51" s="714"/>
      <c r="E51" s="708"/>
      <c r="F51" s="717"/>
      <c r="G51" s="714"/>
      <c r="H51" s="701"/>
      <c r="I51" s="701"/>
      <c r="J51" s="701"/>
      <c r="K51" s="701"/>
      <c r="L51" s="701"/>
      <c r="M51" s="701"/>
      <c r="N51" s="701"/>
      <c r="O51" s="701"/>
      <c r="P51" s="701"/>
      <c r="Q51" s="701"/>
      <c r="R51" s="701"/>
      <c r="S51" s="701"/>
      <c r="T51" s="701"/>
      <c r="U51" s="701"/>
    </row>
    <row r="52">
      <c r="A52" s="716"/>
      <c r="B52" s="713"/>
      <c r="C52" s="708"/>
      <c r="D52" s="714"/>
      <c r="E52" s="708"/>
      <c r="F52" s="717"/>
      <c r="G52" s="714"/>
      <c r="H52" s="701"/>
      <c r="I52" s="701"/>
      <c r="J52" s="701"/>
      <c r="K52" s="701"/>
      <c r="L52" s="701"/>
      <c r="M52" s="701"/>
      <c r="N52" s="701"/>
      <c r="O52" s="701"/>
      <c r="P52" s="701"/>
      <c r="Q52" s="701"/>
      <c r="R52" s="701"/>
      <c r="S52" s="701"/>
      <c r="T52" s="701"/>
      <c r="U52" s="701"/>
    </row>
    <row r="53">
      <c r="A53" s="716"/>
      <c r="B53" s="713"/>
      <c r="C53" s="708"/>
      <c r="D53" s="714"/>
      <c r="E53" s="708"/>
      <c r="F53" s="717"/>
      <c r="G53" s="714"/>
      <c r="H53" s="701"/>
      <c r="I53" s="701"/>
      <c r="J53" s="701"/>
      <c r="K53" s="701"/>
      <c r="L53" s="701"/>
      <c r="M53" s="701"/>
      <c r="N53" s="701"/>
      <c r="O53" s="701"/>
      <c r="P53" s="701"/>
      <c r="Q53" s="701"/>
      <c r="R53" s="701"/>
      <c r="S53" s="701"/>
      <c r="T53" s="701"/>
      <c r="U53" s="701"/>
    </row>
    <row r="54">
      <c r="A54" s="716"/>
      <c r="B54" s="713"/>
      <c r="C54" s="708"/>
      <c r="D54" s="714"/>
      <c r="E54" s="708"/>
      <c r="F54" s="717"/>
      <c r="G54" s="714"/>
      <c r="H54" s="701"/>
      <c r="I54" s="701"/>
      <c r="J54" s="701"/>
      <c r="K54" s="701"/>
      <c r="L54" s="701"/>
      <c r="M54" s="701"/>
      <c r="N54" s="701"/>
      <c r="O54" s="701"/>
      <c r="P54" s="701"/>
      <c r="Q54" s="701"/>
      <c r="R54" s="701"/>
      <c r="S54" s="701"/>
      <c r="T54" s="701"/>
      <c r="U54" s="701"/>
    </row>
    <row r="55">
      <c r="A55" s="716"/>
      <c r="B55" s="713"/>
      <c r="C55" s="708"/>
      <c r="D55" s="714"/>
      <c r="E55" s="708"/>
      <c r="F55" s="717"/>
      <c r="G55" s="714"/>
      <c r="H55" s="701"/>
      <c r="I55" s="701"/>
      <c r="J55" s="701"/>
      <c r="K55" s="701"/>
      <c r="L55" s="701"/>
      <c r="M55" s="701"/>
      <c r="N55" s="701"/>
      <c r="O55" s="701"/>
      <c r="P55" s="701"/>
      <c r="Q55" s="701"/>
      <c r="R55" s="701"/>
      <c r="S55" s="701"/>
      <c r="T55" s="701"/>
      <c r="U55" s="701"/>
    </row>
    <row r="56">
      <c r="A56" s="716"/>
      <c r="B56" s="713"/>
      <c r="C56" s="708"/>
      <c r="D56" s="714"/>
      <c r="E56" s="708"/>
      <c r="F56" s="717"/>
      <c r="G56" s="714"/>
      <c r="H56" s="701"/>
      <c r="I56" s="701"/>
      <c r="J56" s="701"/>
      <c r="K56" s="701"/>
      <c r="L56" s="701"/>
      <c r="M56" s="701"/>
      <c r="N56" s="701"/>
      <c r="O56" s="701"/>
      <c r="P56" s="701"/>
      <c r="Q56" s="701"/>
      <c r="R56" s="701"/>
      <c r="S56" s="701"/>
      <c r="T56" s="701"/>
      <c r="U56" s="701"/>
    </row>
    <row r="57">
      <c r="A57" s="716"/>
      <c r="B57" s="713"/>
      <c r="C57" s="708"/>
      <c r="D57" s="714"/>
      <c r="E57" s="708"/>
      <c r="F57" s="717"/>
      <c r="G57" s="714"/>
      <c r="H57" s="701"/>
      <c r="I57" s="701"/>
      <c r="J57" s="701"/>
      <c r="K57" s="701"/>
      <c r="L57" s="701"/>
      <c r="M57" s="701"/>
      <c r="N57" s="701"/>
      <c r="O57" s="701"/>
      <c r="P57" s="701"/>
      <c r="Q57" s="701"/>
      <c r="R57" s="701"/>
      <c r="S57" s="701"/>
      <c r="T57" s="701"/>
      <c r="U57" s="701"/>
    </row>
    <row r="58">
      <c r="A58" s="716"/>
      <c r="B58" s="713"/>
      <c r="C58" s="708"/>
      <c r="D58" s="714"/>
      <c r="E58" s="708"/>
      <c r="F58" s="717"/>
      <c r="G58" s="714"/>
      <c r="H58" s="701"/>
      <c r="I58" s="701"/>
      <c r="J58" s="701"/>
      <c r="K58" s="701"/>
      <c r="L58" s="701"/>
      <c r="M58" s="701"/>
      <c r="N58" s="701"/>
      <c r="O58" s="701"/>
      <c r="P58" s="701"/>
      <c r="Q58" s="701"/>
      <c r="R58" s="701"/>
      <c r="S58" s="701"/>
      <c r="T58" s="701"/>
      <c r="U58" s="701"/>
    </row>
    <row r="59">
      <c r="A59" s="716"/>
      <c r="B59" s="713"/>
      <c r="C59" s="708"/>
      <c r="D59" s="714"/>
      <c r="E59" s="708"/>
      <c r="F59" s="717"/>
      <c r="G59" s="714"/>
      <c r="H59" s="701"/>
      <c r="I59" s="701"/>
      <c r="J59" s="701"/>
      <c r="K59" s="701"/>
      <c r="L59" s="701"/>
      <c r="M59" s="701"/>
      <c r="N59" s="701"/>
      <c r="O59" s="701"/>
      <c r="P59" s="701"/>
      <c r="Q59" s="701"/>
      <c r="R59" s="701"/>
      <c r="S59" s="701"/>
      <c r="T59" s="701"/>
      <c r="U59" s="701"/>
    </row>
    <row r="60">
      <c r="A60" s="716"/>
      <c r="B60" s="713"/>
      <c r="C60" s="708"/>
      <c r="D60" s="714"/>
      <c r="E60" s="708"/>
      <c r="F60" s="717"/>
      <c r="G60" s="714"/>
      <c r="H60" s="701"/>
      <c r="I60" s="701"/>
      <c r="J60" s="701"/>
      <c r="K60" s="701"/>
      <c r="L60" s="701"/>
      <c r="M60" s="701"/>
      <c r="N60" s="701"/>
      <c r="O60" s="701"/>
      <c r="P60" s="701"/>
      <c r="Q60" s="701"/>
      <c r="R60" s="701"/>
      <c r="S60" s="701"/>
      <c r="T60" s="701"/>
      <c r="U60" s="701"/>
    </row>
    <row r="61">
      <c r="A61" s="724"/>
      <c r="B61" s="725"/>
      <c r="C61" s="726"/>
      <c r="D61" s="727"/>
      <c r="E61" s="726"/>
      <c r="F61" s="728"/>
      <c r="G61" s="727"/>
      <c r="H61" s="729"/>
      <c r="I61" s="701"/>
      <c r="J61" s="701"/>
      <c r="K61" s="701"/>
      <c r="L61" s="701"/>
      <c r="M61" s="701"/>
      <c r="N61" s="701"/>
      <c r="O61" s="701"/>
      <c r="P61" s="701"/>
      <c r="Q61" s="701"/>
      <c r="R61" s="701"/>
      <c r="S61" s="701"/>
      <c r="T61" s="701"/>
      <c r="U61" s="701"/>
    </row>
    <row r="62">
      <c r="A62" s="730" t="s">
        <v>667</v>
      </c>
      <c r="B62" s="731"/>
      <c r="C62" s="732"/>
      <c r="D62" s="733"/>
      <c r="E62" s="732"/>
      <c r="F62" s="733"/>
      <c r="G62" s="733"/>
      <c r="H62" s="731"/>
      <c r="I62" s="701"/>
      <c r="J62" s="701"/>
      <c r="K62" s="701"/>
      <c r="L62" s="701"/>
      <c r="M62" s="701"/>
      <c r="N62" s="701"/>
      <c r="O62" s="701"/>
      <c r="P62" s="701"/>
      <c r="Q62" s="701"/>
      <c r="R62" s="701"/>
      <c r="S62" s="701"/>
      <c r="T62" s="701"/>
      <c r="U62" s="701"/>
    </row>
    <row r="63">
      <c r="A63" s="716" t="s">
        <v>668</v>
      </c>
      <c r="B63" s="713" t="s">
        <v>599</v>
      </c>
      <c r="C63" s="708">
        <v>151.19</v>
      </c>
      <c r="D63" s="734" t="s">
        <v>669</v>
      </c>
      <c r="E63" s="708">
        <v>159.225</v>
      </c>
      <c r="F63" s="717" t="s">
        <v>596</v>
      </c>
      <c r="G63" s="711" t="s">
        <v>517</v>
      </c>
      <c r="H63" s="701" t="s">
        <v>670</v>
      </c>
      <c r="I63" s="701"/>
      <c r="J63" s="701"/>
      <c r="K63" s="701"/>
      <c r="L63" s="701"/>
      <c r="M63" s="701"/>
      <c r="N63" s="701"/>
      <c r="O63" s="701"/>
      <c r="P63" s="701"/>
      <c r="Q63" s="701"/>
      <c r="R63" s="701"/>
      <c r="S63" s="701"/>
      <c r="T63" s="701"/>
      <c r="U63" s="701"/>
    </row>
    <row r="64">
      <c r="A64" s="716" t="s">
        <v>671</v>
      </c>
      <c r="B64" s="707" t="s">
        <v>542</v>
      </c>
      <c r="C64" s="708">
        <v>166.875</v>
      </c>
      <c r="D64" s="714">
        <v>0.0</v>
      </c>
      <c r="E64" s="708">
        <v>166.875</v>
      </c>
      <c r="F64" s="717">
        <v>0.0</v>
      </c>
      <c r="G64" s="711" t="s">
        <v>517</v>
      </c>
      <c r="H64" s="701" t="s">
        <v>672</v>
      </c>
      <c r="I64" s="701"/>
      <c r="J64" s="701"/>
      <c r="K64" s="701"/>
      <c r="L64" s="701"/>
      <c r="M64" s="701"/>
      <c r="N64" s="701"/>
      <c r="O64" s="701"/>
      <c r="P64" s="701"/>
      <c r="Q64" s="701"/>
      <c r="R64" s="701"/>
      <c r="S64" s="701"/>
      <c r="T64" s="701"/>
      <c r="U64" s="701"/>
    </row>
    <row r="65">
      <c r="A65" s="716" t="s">
        <v>673</v>
      </c>
      <c r="B65" s="707" t="s">
        <v>542</v>
      </c>
      <c r="C65" s="708">
        <v>167.5</v>
      </c>
      <c r="D65" s="714">
        <v>0.0</v>
      </c>
      <c r="E65" s="708">
        <v>167.5</v>
      </c>
      <c r="F65" s="717">
        <v>0.0</v>
      </c>
      <c r="G65" s="711" t="s">
        <v>517</v>
      </c>
      <c r="H65" s="701" t="s">
        <v>674</v>
      </c>
      <c r="I65" s="701"/>
      <c r="J65" s="701"/>
      <c r="K65" s="701"/>
      <c r="L65" s="701"/>
      <c r="M65" s="701"/>
      <c r="N65" s="701"/>
      <c r="O65" s="701"/>
      <c r="P65" s="701"/>
      <c r="Q65" s="701"/>
      <c r="R65" s="701"/>
      <c r="S65" s="701"/>
      <c r="T65" s="701"/>
      <c r="U65" s="701"/>
    </row>
    <row r="66">
      <c r="A66" s="716" t="s">
        <v>675</v>
      </c>
      <c r="B66" s="707" t="s">
        <v>542</v>
      </c>
      <c r="C66" s="708">
        <v>168.6375</v>
      </c>
      <c r="D66" s="714">
        <v>0.0</v>
      </c>
      <c r="E66" s="708">
        <v>168.6375</v>
      </c>
      <c r="F66" s="717">
        <v>0.0</v>
      </c>
      <c r="G66" s="711" t="s">
        <v>517</v>
      </c>
      <c r="H66" s="701" t="s">
        <v>676</v>
      </c>
      <c r="I66" s="701"/>
      <c r="J66" s="701"/>
      <c r="K66" s="701"/>
      <c r="L66" s="701"/>
      <c r="M66" s="701"/>
      <c r="N66" s="701"/>
      <c r="O66" s="701"/>
      <c r="P66" s="701"/>
      <c r="Q66" s="701"/>
      <c r="R66" s="701"/>
      <c r="S66" s="701"/>
      <c r="T66" s="701"/>
      <c r="U66" s="701"/>
    </row>
    <row r="67">
      <c r="A67" s="716" t="s">
        <v>677</v>
      </c>
      <c r="B67" s="707" t="s">
        <v>542</v>
      </c>
      <c r="C67" s="708">
        <v>167.475</v>
      </c>
      <c r="D67" s="714">
        <v>0.0</v>
      </c>
      <c r="E67" s="708">
        <v>167.475</v>
      </c>
      <c r="F67" s="717">
        <v>0.0</v>
      </c>
      <c r="G67" s="711" t="s">
        <v>517</v>
      </c>
      <c r="H67" s="701" t="s">
        <v>678</v>
      </c>
      <c r="I67" s="701"/>
      <c r="J67" s="701"/>
      <c r="K67" s="701"/>
      <c r="L67" s="701"/>
      <c r="M67" s="701"/>
      <c r="N67" s="701"/>
      <c r="O67" s="701"/>
      <c r="P67" s="701"/>
      <c r="Q67" s="701"/>
      <c r="R67" s="701"/>
      <c r="S67" s="701"/>
      <c r="T67" s="701"/>
      <c r="U67" s="701"/>
    </row>
    <row r="68">
      <c r="A68" s="716" t="s">
        <v>679</v>
      </c>
      <c r="B68" s="707" t="s">
        <v>542</v>
      </c>
      <c r="C68" s="708">
        <v>167.6</v>
      </c>
      <c r="D68" s="714">
        <v>0.0</v>
      </c>
      <c r="E68" s="708">
        <v>167.6</v>
      </c>
      <c r="F68" s="717">
        <v>0.0</v>
      </c>
      <c r="G68" s="711" t="s">
        <v>517</v>
      </c>
      <c r="H68" s="701" t="s">
        <v>680</v>
      </c>
      <c r="I68" s="701"/>
      <c r="J68" s="701"/>
      <c r="K68" s="701"/>
      <c r="L68" s="701"/>
      <c r="M68" s="701"/>
      <c r="N68" s="701"/>
      <c r="O68" s="701"/>
      <c r="P68" s="701"/>
      <c r="Q68" s="701"/>
      <c r="R68" s="701"/>
      <c r="S68" s="701"/>
      <c r="T68" s="701"/>
      <c r="U68" s="701"/>
    </row>
    <row r="69">
      <c r="A69" s="716" t="s">
        <v>681</v>
      </c>
      <c r="B69" s="707" t="s">
        <v>542</v>
      </c>
      <c r="C69" s="708">
        <v>168.4875</v>
      </c>
      <c r="D69" s="714">
        <v>0.0</v>
      </c>
      <c r="E69" s="708">
        <v>168.4875</v>
      </c>
      <c r="F69" s="717">
        <v>0.0</v>
      </c>
      <c r="G69" s="711" t="s">
        <v>517</v>
      </c>
      <c r="H69" s="701" t="s">
        <v>682</v>
      </c>
      <c r="I69" s="701"/>
      <c r="J69" s="701"/>
      <c r="K69" s="701"/>
      <c r="L69" s="701"/>
      <c r="M69" s="701"/>
      <c r="N69" s="701"/>
      <c r="O69" s="701"/>
      <c r="P69" s="701"/>
      <c r="Q69" s="701"/>
      <c r="R69" s="701"/>
      <c r="S69" s="701"/>
      <c r="T69" s="701"/>
      <c r="U69" s="701"/>
    </row>
    <row r="70">
      <c r="A70" s="716" t="s">
        <v>683</v>
      </c>
      <c r="B70" s="707" t="s">
        <v>542</v>
      </c>
      <c r="C70" s="708">
        <v>169.1125</v>
      </c>
      <c r="D70" s="714">
        <v>0.0</v>
      </c>
      <c r="E70" s="708">
        <v>169.1125</v>
      </c>
      <c r="F70" s="717">
        <v>0.0</v>
      </c>
      <c r="G70" s="711" t="s">
        <v>517</v>
      </c>
      <c r="H70" s="701" t="s">
        <v>684</v>
      </c>
      <c r="I70" s="701"/>
      <c r="J70" s="701"/>
      <c r="K70" s="701"/>
      <c r="L70" s="701"/>
      <c r="M70" s="701"/>
      <c r="N70" s="701"/>
      <c r="O70" s="701"/>
      <c r="P70" s="701"/>
      <c r="Q70" s="701"/>
      <c r="R70" s="701"/>
      <c r="S70" s="701"/>
      <c r="T70" s="701"/>
      <c r="U70" s="701"/>
    </row>
    <row r="71">
      <c r="A71" s="716" t="s">
        <v>685</v>
      </c>
      <c r="B71" s="713" t="s">
        <v>599</v>
      </c>
      <c r="C71" s="708">
        <v>171.5</v>
      </c>
      <c r="D71" s="714">
        <v>0.0</v>
      </c>
      <c r="E71" s="708">
        <v>164.825</v>
      </c>
      <c r="F71" s="717">
        <v>0.0</v>
      </c>
      <c r="G71" s="711" t="s">
        <v>517</v>
      </c>
      <c r="H71" s="701" t="s">
        <v>686</v>
      </c>
      <c r="I71" s="701"/>
      <c r="J71" s="701"/>
      <c r="K71" s="701"/>
      <c r="L71" s="701"/>
      <c r="M71" s="701"/>
      <c r="N71" s="701"/>
      <c r="O71" s="701"/>
      <c r="P71" s="701"/>
      <c r="Q71" s="701"/>
      <c r="R71" s="701"/>
      <c r="S71" s="701"/>
      <c r="T71" s="701"/>
      <c r="U71" s="701"/>
    </row>
    <row r="72">
      <c r="A72" s="716" t="s">
        <v>687</v>
      </c>
      <c r="B72" s="707" t="s">
        <v>542</v>
      </c>
      <c r="C72" s="708">
        <v>153.965</v>
      </c>
      <c r="D72" s="734" t="s">
        <v>688</v>
      </c>
      <c r="E72" s="708">
        <v>153.965</v>
      </c>
      <c r="F72" s="734" t="s">
        <v>688</v>
      </c>
      <c r="G72" s="711" t="s">
        <v>517</v>
      </c>
      <c r="H72" s="701" t="s">
        <v>689</v>
      </c>
      <c r="I72" s="701"/>
      <c r="J72" s="701"/>
      <c r="K72" s="701"/>
      <c r="L72" s="701"/>
      <c r="M72" s="701"/>
      <c r="N72" s="701"/>
      <c r="O72" s="701"/>
      <c r="P72" s="701"/>
      <c r="Q72" s="701"/>
      <c r="R72" s="701"/>
      <c r="S72" s="701"/>
      <c r="T72" s="701"/>
      <c r="U72" s="701"/>
    </row>
    <row r="73">
      <c r="A73" s="716" t="s">
        <v>690</v>
      </c>
      <c r="B73" s="713" t="s">
        <v>494</v>
      </c>
      <c r="C73" s="708">
        <v>159.12</v>
      </c>
      <c r="D73" s="734" t="s">
        <v>688</v>
      </c>
      <c r="E73" s="708">
        <v>156.06</v>
      </c>
      <c r="F73" s="717" t="s">
        <v>596</v>
      </c>
      <c r="G73" s="711" t="s">
        <v>517</v>
      </c>
      <c r="H73" s="701" t="s">
        <v>691</v>
      </c>
      <c r="I73" s="701"/>
      <c r="J73" s="701"/>
      <c r="K73" s="701"/>
      <c r="L73" s="701"/>
      <c r="M73" s="701"/>
      <c r="N73" s="701"/>
      <c r="O73" s="701"/>
      <c r="P73" s="701"/>
      <c r="Q73" s="701"/>
      <c r="R73" s="701"/>
      <c r="S73" s="701"/>
      <c r="T73" s="701"/>
      <c r="U73" s="701"/>
    </row>
    <row r="74">
      <c r="A74" s="716" t="s">
        <v>692</v>
      </c>
      <c r="B74" s="713" t="s">
        <v>494</v>
      </c>
      <c r="C74" s="708">
        <v>151.1525</v>
      </c>
      <c r="D74" s="734" t="s">
        <v>688</v>
      </c>
      <c r="E74" s="708">
        <v>158.8875</v>
      </c>
      <c r="F74" s="717" t="s">
        <v>596</v>
      </c>
      <c r="G74" s="711" t="s">
        <v>517</v>
      </c>
      <c r="H74" s="701" t="s">
        <v>693</v>
      </c>
      <c r="I74" s="701"/>
      <c r="J74" s="701"/>
      <c r="K74" s="701"/>
      <c r="L74" s="701"/>
      <c r="M74" s="701"/>
      <c r="N74" s="701"/>
      <c r="O74" s="701"/>
      <c r="P74" s="701"/>
      <c r="Q74" s="701"/>
      <c r="R74" s="701"/>
      <c r="S74" s="701"/>
      <c r="T74" s="701"/>
      <c r="U74" s="701"/>
    </row>
    <row r="75">
      <c r="A75" s="716" t="s">
        <v>694</v>
      </c>
      <c r="B75" s="713" t="s">
        <v>494</v>
      </c>
      <c r="C75" s="708">
        <v>154.19</v>
      </c>
      <c r="D75" s="734" t="s">
        <v>688</v>
      </c>
      <c r="E75" s="708">
        <v>154.8375</v>
      </c>
      <c r="F75" s="717" t="s">
        <v>596</v>
      </c>
      <c r="G75" s="711" t="s">
        <v>517</v>
      </c>
      <c r="H75" s="701" t="s">
        <v>695</v>
      </c>
      <c r="I75" s="701"/>
      <c r="J75" s="701"/>
      <c r="K75" s="701"/>
      <c r="L75" s="701"/>
      <c r="M75" s="701"/>
      <c r="N75" s="701"/>
      <c r="O75" s="701"/>
      <c r="P75" s="701"/>
      <c r="Q75" s="701"/>
      <c r="R75" s="701"/>
      <c r="S75" s="701"/>
      <c r="T75" s="701"/>
      <c r="U75" s="701"/>
    </row>
    <row r="76">
      <c r="A76" s="716" t="s">
        <v>696</v>
      </c>
      <c r="B76" s="713" t="s">
        <v>599</v>
      </c>
      <c r="C76" s="708">
        <v>151.445</v>
      </c>
      <c r="D76" s="734" t="s">
        <v>669</v>
      </c>
      <c r="E76" s="708">
        <v>159.39</v>
      </c>
      <c r="F76" s="717" t="s">
        <v>596</v>
      </c>
      <c r="G76" s="711" t="s">
        <v>517</v>
      </c>
      <c r="H76" s="701" t="s">
        <v>697</v>
      </c>
      <c r="I76" s="701"/>
      <c r="J76" s="701"/>
      <c r="K76" s="701"/>
      <c r="L76" s="701"/>
      <c r="M76" s="701"/>
      <c r="N76" s="701"/>
      <c r="O76" s="701"/>
      <c r="P76" s="701"/>
      <c r="Q76" s="701"/>
      <c r="R76" s="701"/>
      <c r="S76" s="701"/>
      <c r="T76" s="701"/>
      <c r="U76" s="701"/>
    </row>
    <row r="77">
      <c r="A77" s="716" t="s">
        <v>698</v>
      </c>
      <c r="B77" s="713" t="s">
        <v>599</v>
      </c>
      <c r="C77" s="708">
        <v>151.325</v>
      </c>
      <c r="D77" s="734" t="s">
        <v>669</v>
      </c>
      <c r="E77" s="708">
        <v>159.315</v>
      </c>
      <c r="F77" s="717" t="s">
        <v>596</v>
      </c>
      <c r="G77" s="711" t="s">
        <v>517</v>
      </c>
      <c r="H77" s="701" t="s">
        <v>699</v>
      </c>
      <c r="I77" s="701"/>
      <c r="J77" s="701"/>
      <c r="K77" s="701"/>
      <c r="L77" s="701"/>
      <c r="M77" s="701"/>
      <c r="N77" s="701"/>
      <c r="O77" s="701"/>
      <c r="P77" s="701"/>
      <c r="Q77" s="701"/>
      <c r="R77" s="701"/>
      <c r="S77" s="701"/>
      <c r="T77" s="701"/>
      <c r="U77" s="701"/>
    </row>
    <row r="78">
      <c r="A78" s="716" t="s">
        <v>700</v>
      </c>
      <c r="B78" s="735" t="s">
        <v>599</v>
      </c>
      <c r="C78" s="708">
        <v>151.25</v>
      </c>
      <c r="D78" s="734" t="s">
        <v>669</v>
      </c>
      <c r="E78" s="708">
        <v>159.405</v>
      </c>
      <c r="F78" s="717" t="s">
        <v>596</v>
      </c>
      <c r="G78" s="711" t="s">
        <v>517</v>
      </c>
      <c r="H78" s="701" t="s">
        <v>701</v>
      </c>
      <c r="I78" s="701"/>
      <c r="J78" s="701"/>
      <c r="K78" s="701"/>
      <c r="L78" s="701"/>
      <c r="M78" s="701"/>
      <c r="N78" s="701"/>
      <c r="O78" s="701"/>
      <c r="P78" s="701"/>
      <c r="Q78" s="701"/>
      <c r="R78" s="701"/>
      <c r="S78" s="701"/>
      <c r="T78" s="701"/>
      <c r="U78" s="701"/>
    </row>
    <row r="79">
      <c r="A79" s="716" t="s">
        <v>702</v>
      </c>
      <c r="B79" s="735" t="s">
        <v>599</v>
      </c>
      <c r="C79" s="708">
        <v>151.25</v>
      </c>
      <c r="D79" s="734" t="s">
        <v>703</v>
      </c>
      <c r="E79" s="708">
        <v>159.405</v>
      </c>
      <c r="F79" s="717" t="s">
        <v>596</v>
      </c>
      <c r="G79" s="711" t="s">
        <v>517</v>
      </c>
      <c r="H79" s="701" t="s">
        <v>704</v>
      </c>
      <c r="I79" s="701"/>
      <c r="J79" s="701"/>
      <c r="K79" s="701"/>
      <c r="L79" s="701"/>
      <c r="M79" s="701"/>
      <c r="N79" s="701"/>
      <c r="O79" s="701"/>
      <c r="P79" s="701"/>
      <c r="Q79" s="701"/>
      <c r="R79" s="701"/>
      <c r="S79" s="701"/>
      <c r="T79" s="701"/>
      <c r="U79" s="701"/>
    </row>
    <row r="80">
      <c r="A80" s="716" t="s">
        <v>705</v>
      </c>
      <c r="B80" s="713" t="s">
        <v>599</v>
      </c>
      <c r="C80" s="708">
        <v>151.3325</v>
      </c>
      <c r="D80" s="734" t="s">
        <v>703</v>
      </c>
      <c r="E80" s="708">
        <v>159.2775</v>
      </c>
      <c r="F80" s="717" t="s">
        <v>596</v>
      </c>
      <c r="G80" s="711" t="s">
        <v>517</v>
      </c>
      <c r="H80" s="701" t="s">
        <v>706</v>
      </c>
      <c r="I80" s="701"/>
      <c r="J80" s="701"/>
      <c r="K80" s="701"/>
      <c r="L80" s="701"/>
      <c r="M80" s="701"/>
      <c r="N80" s="701"/>
      <c r="O80" s="701"/>
      <c r="P80" s="701"/>
      <c r="Q80" s="701"/>
      <c r="R80" s="701"/>
      <c r="S80" s="701"/>
      <c r="T80" s="701"/>
      <c r="U80" s="701"/>
    </row>
    <row r="81">
      <c r="A81" s="716" t="s">
        <v>707</v>
      </c>
      <c r="B81" s="713" t="s">
        <v>599</v>
      </c>
      <c r="C81" s="708">
        <v>168.3</v>
      </c>
      <c r="D81" s="714">
        <v>0.0</v>
      </c>
      <c r="E81" s="708">
        <v>168.3</v>
      </c>
      <c r="F81" s="717">
        <v>0.0</v>
      </c>
      <c r="G81" s="711" t="s">
        <v>517</v>
      </c>
      <c r="H81" s="701" t="s">
        <v>708</v>
      </c>
      <c r="I81" s="701"/>
      <c r="J81" s="701"/>
      <c r="K81" s="701"/>
      <c r="L81" s="701"/>
      <c r="M81" s="701"/>
      <c r="N81" s="701"/>
      <c r="O81" s="701"/>
      <c r="P81" s="701"/>
      <c r="Q81" s="701"/>
      <c r="R81" s="701"/>
      <c r="S81" s="701"/>
      <c r="T81" s="701"/>
      <c r="U81" s="701"/>
    </row>
    <row r="82">
      <c r="A82" s="716" t="s">
        <v>709</v>
      </c>
      <c r="B82" s="713" t="s">
        <v>599</v>
      </c>
      <c r="C82" s="708">
        <v>166.4875</v>
      </c>
      <c r="D82" s="714">
        <v>0.0</v>
      </c>
      <c r="E82" s="708">
        <v>167.075</v>
      </c>
      <c r="F82" s="717" t="s">
        <v>596</v>
      </c>
      <c r="G82" s="711" t="s">
        <v>517</v>
      </c>
      <c r="H82" s="701" t="s">
        <v>710</v>
      </c>
      <c r="I82" s="701"/>
      <c r="J82" s="701"/>
      <c r="K82" s="701"/>
      <c r="L82" s="701"/>
      <c r="M82" s="701"/>
      <c r="N82" s="701"/>
      <c r="O82" s="701"/>
      <c r="P82" s="701"/>
      <c r="Q82" s="701"/>
      <c r="R82" s="701"/>
      <c r="S82" s="701"/>
      <c r="T82" s="701"/>
      <c r="U82" s="701"/>
    </row>
    <row r="83">
      <c r="A83" s="716" t="s">
        <v>711</v>
      </c>
      <c r="B83" s="713" t="s">
        <v>599</v>
      </c>
      <c r="C83" s="708">
        <v>169.775</v>
      </c>
      <c r="D83" s="714">
        <v>0.0</v>
      </c>
      <c r="E83" s="708">
        <v>163.025</v>
      </c>
      <c r="F83" s="717" t="s">
        <v>596</v>
      </c>
      <c r="G83" s="711" t="s">
        <v>517</v>
      </c>
      <c r="H83" s="701" t="s">
        <v>712</v>
      </c>
      <c r="I83" s="701"/>
      <c r="J83" s="701"/>
      <c r="K83" s="701"/>
      <c r="L83" s="701"/>
      <c r="M83" s="701"/>
      <c r="N83" s="701"/>
      <c r="O83" s="701"/>
      <c r="P83" s="701"/>
      <c r="Q83" s="701"/>
      <c r="R83" s="701"/>
      <c r="S83" s="701"/>
      <c r="T83" s="701"/>
      <c r="U83" s="701"/>
    </row>
    <row r="84">
      <c r="A84" s="716" t="s">
        <v>713</v>
      </c>
      <c r="B84" s="713" t="s">
        <v>599</v>
      </c>
      <c r="C84" s="708">
        <v>171.625</v>
      </c>
      <c r="D84" s="714">
        <v>0.0</v>
      </c>
      <c r="E84" s="708">
        <v>164.25</v>
      </c>
      <c r="F84" s="717" t="s">
        <v>596</v>
      </c>
      <c r="G84" s="711" t="s">
        <v>517</v>
      </c>
      <c r="H84" s="701" t="s">
        <v>714</v>
      </c>
      <c r="I84" s="701"/>
      <c r="J84" s="701"/>
      <c r="K84" s="701"/>
      <c r="L84" s="701"/>
      <c r="M84" s="701"/>
      <c r="N84" s="701"/>
      <c r="O84" s="701"/>
      <c r="P84" s="701"/>
      <c r="Q84" s="701"/>
      <c r="R84" s="701"/>
      <c r="S84" s="701"/>
      <c r="T84" s="701"/>
      <c r="U84" s="701"/>
    </row>
    <row r="85">
      <c r="A85" s="716" t="s">
        <v>715</v>
      </c>
      <c r="B85" s="713" t="s">
        <v>599</v>
      </c>
      <c r="C85" s="708">
        <v>172.6125</v>
      </c>
      <c r="D85" s="714">
        <v>0.0</v>
      </c>
      <c r="E85" s="708">
        <v>166.375</v>
      </c>
      <c r="F85" s="717" t="s">
        <v>596</v>
      </c>
      <c r="G85" s="711" t="s">
        <v>517</v>
      </c>
      <c r="H85" s="701" t="s">
        <v>716</v>
      </c>
      <c r="I85" s="701"/>
      <c r="J85" s="701"/>
      <c r="K85" s="701"/>
      <c r="L85" s="701"/>
      <c r="M85" s="701"/>
      <c r="N85" s="701"/>
      <c r="O85" s="701"/>
      <c r="P85" s="701"/>
      <c r="Q85" s="701"/>
      <c r="R85" s="701"/>
      <c r="S85" s="701"/>
      <c r="T85" s="701"/>
      <c r="U85" s="701"/>
    </row>
    <row r="86">
      <c r="A86" s="716" t="s">
        <v>717</v>
      </c>
      <c r="B86" s="713" t="s">
        <v>599</v>
      </c>
      <c r="C86" s="708">
        <v>151.4</v>
      </c>
      <c r="D86" s="734" t="s">
        <v>718</v>
      </c>
      <c r="E86" s="708">
        <v>159.375</v>
      </c>
      <c r="F86" s="717" t="s">
        <v>596</v>
      </c>
      <c r="G86" s="711" t="s">
        <v>517</v>
      </c>
      <c r="H86" s="701" t="s">
        <v>719</v>
      </c>
      <c r="I86" s="701"/>
      <c r="J86" s="701"/>
      <c r="K86" s="701"/>
      <c r="L86" s="701"/>
      <c r="M86" s="701"/>
      <c r="N86" s="701"/>
      <c r="O86" s="701"/>
      <c r="P86" s="701"/>
      <c r="Q86" s="701"/>
      <c r="R86" s="701"/>
      <c r="S86" s="701"/>
      <c r="T86" s="701"/>
      <c r="U86" s="701"/>
    </row>
    <row r="87">
      <c r="A87" s="716" t="s">
        <v>720</v>
      </c>
      <c r="B87" s="713" t="s">
        <v>599</v>
      </c>
      <c r="C87" s="708">
        <v>154.415</v>
      </c>
      <c r="D87" s="734" t="s">
        <v>721</v>
      </c>
      <c r="E87" s="708">
        <v>159.0</v>
      </c>
      <c r="F87" s="717" t="s">
        <v>596</v>
      </c>
      <c r="G87" s="711" t="s">
        <v>517</v>
      </c>
      <c r="H87" s="701" t="s">
        <v>722</v>
      </c>
      <c r="I87" s="701"/>
      <c r="J87" s="701"/>
      <c r="K87" s="701"/>
      <c r="L87" s="701"/>
      <c r="M87" s="701"/>
      <c r="N87" s="701"/>
      <c r="O87" s="701"/>
      <c r="P87" s="701"/>
      <c r="Q87" s="701"/>
      <c r="R87" s="701"/>
      <c r="S87" s="701"/>
      <c r="T87" s="701"/>
      <c r="U87" s="701"/>
    </row>
    <row r="88">
      <c r="A88" s="716" t="s">
        <v>723</v>
      </c>
      <c r="B88" s="713" t="s">
        <v>494</v>
      </c>
      <c r="C88" s="708">
        <v>151.6625</v>
      </c>
      <c r="D88" s="734" t="s">
        <v>724</v>
      </c>
      <c r="E88" s="708">
        <v>158.7075</v>
      </c>
      <c r="F88" s="717" t="s">
        <v>596</v>
      </c>
      <c r="G88" s="711" t="s">
        <v>517</v>
      </c>
      <c r="H88" s="701" t="s">
        <v>725</v>
      </c>
      <c r="I88" s="701"/>
      <c r="J88" s="701"/>
      <c r="K88" s="701"/>
      <c r="L88" s="701"/>
      <c r="M88" s="701"/>
      <c r="N88" s="701"/>
      <c r="O88" s="701"/>
      <c r="P88" s="701"/>
      <c r="Q88" s="701"/>
      <c r="R88" s="701"/>
      <c r="S88" s="701"/>
      <c r="T88" s="701"/>
      <c r="U88" s="701"/>
    </row>
    <row r="89">
      <c r="A89" s="716" t="s">
        <v>500</v>
      </c>
      <c r="B89" s="713" t="s">
        <v>612</v>
      </c>
      <c r="C89" s="708">
        <v>156.075</v>
      </c>
      <c r="D89" s="734" t="s">
        <v>703</v>
      </c>
      <c r="E89" s="708">
        <v>156.075</v>
      </c>
      <c r="F89" s="734" t="s">
        <v>703</v>
      </c>
      <c r="G89" s="711" t="s">
        <v>517</v>
      </c>
      <c r="H89" s="701"/>
      <c r="I89" s="701"/>
      <c r="J89" s="701"/>
      <c r="K89" s="701"/>
      <c r="L89" s="701"/>
      <c r="M89" s="701"/>
      <c r="N89" s="701"/>
      <c r="O89" s="701"/>
      <c r="P89" s="701"/>
      <c r="Q89" s="701"/>
      <c r="R89" s="701"/>
      <c r="S89" s="701"/>
      <c r="T89" s="701"/>
      <c r="U89" s="701"/>
    </row>
    <row r="90">
      <c r="A90" s="716" t="s">
        <v>726</v>
      </c>
      <c r="B90" s="707" t="s">
        <v>542</v>
      </c>
      <c r="C90" s="708">
        <v>151.22</v>
      </c>
      <c r="D90" s="734" t="s">
        <v>727</v>
      </c>
      <c r="E90" s="708">
        <v>151.22</v>
      </c>
      <c r="F90" s="734" t="s">
        <v>727</v>
      </c>
      <c r="G90" s="711" t="s">
        <v>517</v>
      </c>
      <c r="H90" s="701" t="s">
        <v>728</v>
      </c>
      <c r="I90" s="701"/>
      <c r="J90" s="701"/>
      <c r="K90" s="701"/>
      <c r="L90" s="701"/>
      <c r="M90" s="701"/>
      <c r="N90" s="701"/>
      <c r="O90" s="701"/>
      <c r="P90" s="701"/>
      <c r="Q90" s="701"/>
      <c r="R90" s="701"/>
      <c r="S90" s="701"/>
      <c r="T90" s="701"/>
      <c r="U90" s="701"/>
    </row>
    <row r="91">
      <c r="A91" s="716" t="s">
        <v>729</v>
      </c>
      <c r="B91" s="707" t="s">
        <v>542</v>
      </c>
      <c r="C91" s="708">
        <v>159.2625</v>
      </c>
      <c r="D91" s="734" t="s">
        <v>727</v>
      </c>
      <c r="E91" s="708">
        <v>159.2625</v>
      </c>
      <c r="F91" s="734" t="s">
        <v>727</v>
      </c>
      <c r="G91" s="711" t="s">
        <v>517</v>
      </c>
      <c r="H91" s="701" t="s">
        <v>730</v>
      </c>
      <c r="I91" s="701"/>
      <c r="J91" s="701"/>
      <c r="K91" s="701"/>
      <c r="L91" s="701"/>
      <c r="M91" s="701"/>
      <c r="N91" s="701"/>
      <c r="O91" s="701"/>
      <c r="P91" s="701"/>
      <c r="Q91" s="701"/>
      <c r="R91" s="701"/>
      <c r="S91" s="701"/>
      <c r="T91" s="701"/>
      <c r="U91" s="701"/>
    </row>
    <row r="92">
      <c r="A92" s="716" t="s">
        <v>731</v>
      </c>
      <c r="B92" s="707" t="s">
        <v>542</v>
      </c>
      <c r="C92" s="708">
        <v>159.3675</v>
      </c>
      <c r="D92" s="734" t="s">
        <v>727</v>
      </c>
      <c r="E92" s="708">
        <v>159.3675</v>
      </c>
      <c r="F92" s="734" t="s">
        <v>727</v>
      </c>
      <c r="G92" s="711" t="s">
        <v>517</v>
      </c>
      <c r="H92" s="701" t="s">
        <v>732</v>
      </c>
      <c r="I92" s="701"/>
      <c r="J92" s="701"/>
      <c r="K92" s="701"/>
      <c r="L92" s="701"/>
      <c r="M92" s="701"/>
      <c r="N92" s="701"/>
      <c r="O92" s="701"/>
      <c r="P92" s="701"/>
      <c r="Q92" s="701"/>
      <c r="R92" s="701"/>
      <c r="S92" s="701"/>
      <c r="T92" s="701"/>
      <c r="U92" s="701"/>
    </row>
    <row r="93">
      <c r="A93" s="716" t="s">
        <v>495</v>
      </c>
      <c r="B93" s="713" t="s">
        <v>494</v>
      </c>
      <c r="C93" s="708">
        <v>151.355</v>
      </c>
      <c r="D93" s="734" t="s">
        <v>733</v>
      </c>
      <c r="E93" s="708">
        <v>159.3</v>
      </c>
      <c r="F93" s="717" t="s">
        <v>596</v>
      </c>
      <c r="G93" s="711" t="s">
        <v>517</v>
      </c>
      <c r="H93" s="736" t="s">
        <v>734</v>
      </c>
      <c r="I93" s="736"/>
      <c r="J93" s="736"/>
      <c r="K93" s="736"/>
      <c r="L93" s="736"/>
      <c r="M93" s="736"/>
      <c r="N93" s="736"/>
      <c r="O93" s="736"/>
      <c r="P93" s="736"/>
      <c r="Q93" s="736"/>
      <c r="R93" s="736"/>
      <c r="S93" s="736"/>
      <c r="T93" s="736"/>
      <c r="U93" s="736"/>
    </row>
    <row r="94">
      <c r="A94" s="716" t="s">
        <v>735</v>
      </c>
      <c r="B94" s="713" t="s">
        <v>494</v>
      </c>
      <c r="C94" s="708">
        <v>151.19</v>
      </c>
      <c r="D94" s="734" t="s">
        <v>733</v>
      </c>
      <c r="E94" s="708">
        <v>159.225</v>
      </c>
      <c r="F94" s="717" t="s">
        <v>596</v>
      </c>
      <c r="G94" s="711" t="s">
        <v>517</v>
      </c>
      <c r="H94" s="736" t="s">
        <v>736</v>
      </c>
      <c r="I94" s="736"/>
      <c r="J94" s="736"/>
      <c r="K94" s="736"/>
      <c r="L94" s="736"/>
      <c r="M94" s="736"/>
      <c r="N94" s="736"/>
      <c r="O94" s="736"/>
      <c r="P94" s="736"/>
      <c r="Q94" s="736"/>
      <c r="R94" s="736"/>
      <c r="S94" s="736"/>
      <c r="T94" s="736"/>
      <c r="U94" s="736"/>
    </row>
    <row r="95">
      <c r="A95" s="716" t="s">
        <v>737</v>
      </c>
      <c r="B95" s="713" t="s">
        <v>494</v>
      </c>
      <c r="C95" s="708">
        <v>151.1675</v>
      </c>
      <c r="D95" s="734" t="s">
        <v>733</v>
      </c>
      <c r="E95" s="708">
        <v>159.3975</v>
      </c>
      <c r="F95" s="717" t="s">
        <v>596</v>
      </c>
      <c r="G95" s="711" t="s">
        <v>517</v>
      </c>
      <c r="H95" s="736" t="s">
        <v>738</v>
      </c>
      <c r="I95" s="736"/>
      <c r="J95" s="736"/>
      <c r="K95" s="736"/>
      <c r="L95" s="736"/>
      <c r="M95" s="736"/>
      <c r="N95" s="736"/>
      <c r="O95" s="736"/>
      <c r="P95" s="736"/>
      <c r="Q95" s="736"/>
      <c r="R95" s="736"/>
      <c r="S95" s="736"/>
      <c r="T95" s="736"/>
      <c r="U95" s="736"/>
    </row>
    <row r="96">
      <c r="A96" s="716" t="s">
        <v>739</v>
      </c>
      <c r="B96" s="713" t="s">
        <v>494</v>
      </c>
      <c r="C96" s="708">
        <v>151.2425</v>
      </c>
      <c r="D96" s="734" t="s">
        <v>733</v>
      </c>
      <c r="E96" s="708">
        <v>159.2625</v>
      </c>
      <c r="F96" s="717" t="s">
        <v>596</v>
      </c>
      <c r="G96" s="711" t="s">
        <v>517</v>
      </c>
      <c r="H96" s="736" t="s">
        <v>740</v>
      </c>
      <c r="I96" s="736"/>
      <c r="J96" s="736"/>
      <c r="K96" s="736"/>
      <c r="L96" s="736"/>
      <c r="M96" s="736"/>
      <c r="N96" s="736"/>
      <c r="O96" s="736"/>
      <c r="P96" s="736"/>
      <c r="Q96" s="736"/>
      <c r="R96" s="736"/>
      <c r="S96" s="736"/>
      <c r="T96" s="736"/>
      <c r="U96" s="736"/>
    </row>
    <row r="97">
      <c r="A97" s="716" t="s">
        <v>539</v>
      </c>
      <c r="B97" s="713" t="s">
        <v>494</v>
      </c>
      <c r="C97" s="708">
        <v>151.265</v>
      </c>
      <c r="D97" s="734" t="s">
        <v>733</v>
      </c>
      <c r="E97" s="708">
        <v>159.33</v>
      </c>
      <c r="F97" s="717" t="s">
        <v>596</v>
      </c>
      <c r="G97" s="711" t="s">
        <v>517</v>
      </c>
      <c r="H97" s="736" t="s">
        <v>741</v>
      </c>
      <c r="I97" s="736"/>
      <c r="J97" s="736"/>
      <c r="K97" s="736"/>
      <c r="L97" s="736"/>
      <c r="M97" s="736"/>
      <c r="N97" s="736"/>
      <c r="O97" s="736"/>
      <c r="P97" s="736"/>
      <c r="Q97" s="736"/>
      <c r="R97" s="736"/>
      <c r="S97" s="736"/>
      <c r="T97" s="736"/>
      <c r="U97" s="736"/>
    </row>
    <row r="98">
      <c r="A98" s="716" t="s">
        <v>547</v>
      </c>
      <c r="B98" s="713" t="s">
        <v>494</v>
      </c>
      <c r="C98" s="708">
        <v>151.34</v>
      </c>
      <c r="D98" s="734" t="s">
        <v>733</v>
      </c>
      <c r="E98" s="708">
        <v>159.345</v>
      </c>
      <c r="F98" s="717" t="s">
        <v>596</v>
      </c>
      <c r="G98" s="711" t="s">
        <v>517</v>
      </c>
      <c r="H98" s="736" t="s">
        <v>742</v>
      </c>
      <c r="I98" s="736"/>
      <c r="J98" s="736"/>
      <c r="K98" s="736"/>
      <c r="L98" s="736"/>
      <c r="M98" s="736"/>
      <c r="N98" s="736"/>
      <c r="O98" s="736"/>
      <c r="P98" s="736"/>
      <c r="Q98" s="736"/>
      <c r="R98" s="736"/>
      <c r="S98" s="736"/>
      <c r="T98" s="736"/>
      <c r="U98" s="736"/>
    </row>
    <row r="99">
      <c r="A99" s="716" t="s">
        <v>554</v>
      </c>
      <c r="B99" s="713" t="s">
        <v>494</v>
      </c>
      <c r="C99" s="708">
        <v>151.4</v>
      </c>
      <c r="D99" s="734" t="s">
        <v>733</v>
      </c>
      <c r="E99" s="708">
        <v>159.375</v>
      </c>
      <c r="F99" s="717" t="s">
        <v>596</v>
      </c>
      <c r="G99" s="711" t="s">
        <v>517</v>
      </c>
      <c r="H99" s="736" t="s">
        <v>743</v>
      </c>
      <c r="I99" s="736"/>
      <c r="J99" s="736"/>
      <c r="K99" s="736"/>
      <c r="L99" s="736"/>
      <c r="M99" s="736"/>
      <c r="N99" s="736"/>
      <c r="O99" s="736"/>
      <c r="P99" s="736"/>
      <c r="Q99" s="736"/>
      <c r="R99" s="736"/>
      <c r="S99" s="736"/>
      <c r="T99" s="736"/>
      <c r="U99" s="736"/>
    </row>
    <row r="100">
      <c r="A100" s="716" t="s">
        <v>744</v>
      </c>
      <c r="B100" s="713" t="s">
        <v>494</v>
      </c>
      <c r="C100" s="708">
        <v>151.25</v>
      </c>
      <c r="D100" s="734" t="s">
        <v>733</v>
      </c>
      <c r="E100" s="708">
        <v>159.36</v>
      </c>
      <c r="F100" s="717" t="s">
        <v>596</v>
      </c>
      <c r="G100" s="711" t="s">
        <v>517</v>
      </c>
      <c r="H100" s="736" t="s">
        <v>745</v>
      </c>
      <c r="I100" s="736"/>
      <c r="J100" s="736"/>
      <c r="K100" s="736"/>
      <c r="L100" s="736"/>
      <c r="M100" s="736"/>
      <c r="N100" s="736"/>
      <c r="O100" s="736"/>
      <c r="P100" s="736"/>
      <c r="Q100" s="736"/>
      <c r="R100" s="736"/>
      <c r="S100" s="736"/>
      <c r="T100" s="736"/>
      <c r="U100" s="736"/>
    </row>
    <row r="101">
      <c r="A101" s="716" t="s">
        <v>746</v>
      </c>
      <c r="B101" s="713" t="s">
        <v>494</v>
      </c>
      <c r="C101" s="708">
        <v>151.46</v>
      </c>
      <c r="D101" s="734" t="s">
        <v>733</v>
      </c>
      <c r="E101" s="708">
        <v>159.39</v>
      </c>
      <c r="F101" s="717" t="s">
        <v>596</v>
      </c>
      <c r="G101" s="711" t="s">
        <v>517</v>
      </c>
      <c r="H101" s="736" t="s">
        <v>747</v>
      </c>
      <c r="I101" s="736"/>
      <c r="J101" s="736"/>
      <c r="K101" s="736"/>
      <c r="L101" s="736"/>
      <c r="M101" s="736"/>
      <c r="N101" s="736"/>
      <c r="O101" s="736"/>
      <c r="P101" s="736"/>
      <c r="Q101" s="736"/>
      <c r="R101" s="736"/>
      <c r="S101" s="736"/>
      <c r="T101" s="736"/>
      <c r="U101" s="736"/>
    </row>
    <row r="102">
      <c r="A102" s="716" t="s">
        <v>748</v>
      </c>
      <c r="B102" s="713" t="s">
        <v>494</v>
      </c>
      <c r="C102" s="708">
        <v>151.445</v>
      </c>
      <c r="D102" s="734" t="s">
        <v>733</v>
      </c>
      <c r="E102" s="708">
        <v>159.345</v>
      </c>
      <c r="F102" s="717" t="s">
        <v>596</v>
      </c>
      <c r="G102" s="711" t="s">
        <v>517</v>
      </c>
      <c r="H102" s="736" t="s">
        <v>749</v>
      </c>
      <c r="I102" s="736"/>
      <c r="J102" s="736"/>
      <c r="K102" s="736"/>
      <c r="L102" s="736"/>
      <c r="M102" s="736"/>
      <c r="N102" s="736"/>
      <c r="O102" s="736"/>
      <c r="P102" s="736"/>
      <c r="Q102" s="736"/>
      <c r="R102" s="736"/>
      <c r="S102" s="736"/>
      <c r="T102" s="736"/>
      <c r="U102" s="736"/>
    </row>
    <row r="103">
      <c r="A103" s="716" t="s">
        <v>750</v>
      </c>
      <c r="B103" s="713" t="s">
        <v>494</v>
      </c>
      <c r="C103" s="708">
        <v>151.175</v>
      </c>
      <c r="D103" s="734" t="s">
        <v>733</v>
      </c>
      <c r="E103" s="708">
        <v>159.45</v>
      </c>
      <c r="F103" s="717" t="s">
        <v>596</v>
      </c>
      <c r="G103" s="711" t="s">
        <v>517</v>
      </c>
      <c r="H103" s="736" t="s">
        <v>751</v>
      </c>
      <c r="I103" s="736"/>
      <c r="J103" s="736"/>
      <c r="K103" s="736"/>
      <c r="L103" s="736"/>
      <c r="M103" s="736"/>
      <c r="N103" s="736"/>
      <c r="O103" s="736"/>
      <c r="P103" s="736"/>
      <c r="Q103" s="736"/>
      <c r="R103" s="736"/>
      <c r="S103" s="736"/>
      <c r="T103" s="736"/>
      <c r="U103" s="736"/>
    </row>
    <row r="104">
      <c r="A104" s="716" t="s">
        <v>752</v>
      </c>
      <c r="B104" s="713" t="s">
        <v>612</v>
      </c>
      <c r="C104" s="708">
        <v>151.2575</v>
      </c>
      <c r="D104" s="734" t="s">
        <v>727</v>
      </c>
      <c r="E104" s="708">
        <v>151.2575</v>
      </c>
      <c r="F104" s="734" t="s">
        <v>727</v>
      </c>
      <c r="G104" s="711" t="s">
        <v>517</v>
      </c>
      <c r="H104" s="736" t="s">
        <v>753</v>
      </c>
      <c r="I104" s="736"/>
      <c r="J104" s="736"/>
      <c r="K104" s="736"/>
      <c r="L104" s="736"/>
      <c r="M104" s="736"/>
      <c r="N104" s="736"/>
      <c r="O104" s="736"/>
      <c r="P104" s="736"/>
      <c r="Q104" s="736"/>
      <c r="R104" s="736"/>
      <c r="S104" s="736"/>
      <c r="T104" s="736"/>
      <c r="U104" s="736"/>
    </row>
    <row r="105">
      <c r="A105" s="716" t="s">
        <v>754</v>
      </c>
      <c r="B105" s="713" t="s">
        <v>612</v>
      </c>
      <c r="C105" s="708">
        <v>151.4</v>
      </c>
      <c r="D105" s="734" t="s">
        <v>727</v>
      </c>
      <c r="E105" s="708">
        <v>151.4</v>
      </c>
      <c r="F105" s="734" t="s">
        <v>727</v>
      </c>
      <c r="G105" s="711" t="s">
        <v>517</v>
      </c>
      <c r="H105" s="736" t="s">
        <v>755</v>
      </c>
      <c r="I105" s="736"/>
      <c r="J105" s="736"/>
      <c r="K105" s="736"/>
      <c r="L105" s="736"/>
      <c r="M105" s="736"/>
      <c r="N105" s="736"/>
      <c r="O105" s="736"/>
      <c r="P105" s="736"/>
      <c r="Q105" s="736"/>
      <c r="R105" s="736"/>
      <c r="S105" s="736"/>
      <c r="T105" s="736"/>
      <c r="U105" s="736"/>
    </row>
    <row r="106">
      <c r="A106" s="716" t="s">
        <v>756</v>
      </c>
      <c r="B106" s="713" t="s">
        <v>612</v>
      </c>
      <c r="C106" s="708">
        <v>151.445</v>
      </c>
      <c r="D106" s="734" t="s">
        <v>727</v>
      </c>
      <c r="E106" s="708">
        <v>151.445</v>
      </c>
      <c r="F106" s="734" t="s">
        <v>727</v>
      </c>
      <c r="G106" s="711" t="s">
        <v>517</v>
      </c>
      <c r="H106" s="736" t="s">
        <v>757</v>
      </c>
      <c r="I106" s="736"/>
      <c r="J106" s="736"/>
      <c r="K106" s="736"/>
      <c r="L106" s="736"/>
      <c r="M106" s="736"/>
      <c r="N106" s="736"/>
      <c r="O106" s="736"/>
      <c r="P106" s="736"/>
      <c r="Q106" s="736"/>
      <c r="R106" s="736"/>
      <c r="S106" s="736"/>
      <c r="T106" s="736"/>
      <c r="U106" s="736"/>
    </row>
    <row r="107">
      <c r="A107" s="716" t="s">
        <v>758</v>
      </c>
      <c r="B107" s="713" t="s">
        <v>612</v>
      </c>
      <c r="C107" s="708">
        <v>151.46</v>
      </c>
      <c r="D107" s="734" t="s">
        <v>727</v>
      </c>
      <c r="E107" s="708">
        <v>151.46</v>
      </c>
      <c r="F107" s="734" t="s">
        <v>727</v>
      </c>
      <c r="G107" s="711" t="s">
        <v>517</v>
      </c>
      <c r="H107" s="736" t="s">
        <v>759</v>
      </c>
      <c r="I107" s="736"/>
      <c r="J107" s="736"/>
      <c r="K107" s="736"/>
      <c r="L107" s="736"/>
      <c r="M107" s="736"/>
      <c r="N107" s="736"/>
      <c r="O107" s="736"/>
      <c r="P107" s="736"/>
      <c r="Q107" s="736"/>
      <c r="R107" s="736"/>
      <c r="S107" s="736"/>
      <c r="T107" s="736"/>
      <c r="U107" s="736"/>
    </row>
    <row r="108">
      <c r="A108" s="716" t="s">
        <v>760</v>
      </c>
      <c r="B108" s="713" t="s">
        <v>612</v>
      </c>
      <c r="C108" s="708">
        <v>151.3775</v>
      </c>
      <c r="D108" s="734" t="s">
        <v>727</v>
      </c>
      <c r="E108" s="708">
        <v>151.3775</v>
      </c>
      <c r="F108" s="734" t="s">
        <v>727</v>
      </c>
      <c r="G108" s="711" t="s">
        <v>517</v>
      </c>
      <c r="H108" s="736" t="s">
        <v>761</v>
      </c>
      <c r="I108" s="736"/>
      <c r="J108" s="736"/>
      <c r="K108" s="736"/>
      <c r="L108" s="736"/>
      <c r="M108" s="736"/>
      <c r="N108" s="736"/>
      <c r="O108" s="736"/>
      <c r="P108" s="736"/>
      <c r="Q108" s="736"/>
      <c r="R108" s="736"/>
      <c r="S108" s="736"/>
      <c r="T108" s="736"/>
      <c r="U108" s="736"/>
    </row>
    <row r="109">
      <c r="A109" s="716" t="s">
        <v>762</v>
      </c>
      <c r="B109" s="713" t="s">
        <v>612</v>
      </c>
      <c r="C109" s="708">
        <v>159.225</v>
      </c>
      <c r="D109" s="734" t="s">
        <v>727</v>
      </c>
      <c r="E109" s="708">
        <v>159.225</v>
      </c>
      <c r="F109" s="734" t="s">
        <v>727</v>
      </c>
      <c r="G109" s="711" t="s">
        <v>517</v>
      </c>
      <c r="H109" s="736" t="s">
        <v>763</v>
      </c>
      <c r="I109" s="736"/>
      <c r="J109" s="736"/>
      <c r="K109" s="736"/>
      <c r="L109" s="736"/>
      <c r="M109" s="736"/>
      <c r="N109" s="736"/>
      <c r="O109" s="736"/>
      <c r="P109" s="736"/>
      <c r="Q109" s="736"/>
      <c r="R109" s="736"/>
      <c r="S109" s="736"/>
      <c r="T109" s="736"/>
      <c r="U109" s="736"/>
    </row>
    <row r="110">
      <c r="A110" s="716" t="s">
        <v>764</v>
      </c>
      <c r="B110" s="713" t="s">
        <v>612</v>
      </c>
      <c r="C110" s="708">
        <v>159.27</v>
      </c>
      <c r="D110" s="734" t="s">
        <v>727</v>
      </c>
      <c r="E110" s="708">
        <v>159.27</v>
      </c>
      <c r="F110" s="734" t="s">
        <v>727</v>
      </c>
      <c r="G110" s="711" t="s">
        <v>517</v>
      </c>
      <c r="H110" s="736" t="s">
        <v>765</v>
      </c>
      <c r="I110" s="736"/>
      <c r="J110" s="736"/>
      <c r="K110" s="736"/>
      <c r="L110" s="736"/>
      <c r="M110" s="736"/>
      <c r="N110" s="736"/>
      <c r="O110" s="736"/>
      <c r="P110" s="736"/>
      <c r="Q110" s="736"/>
      <c r="R110" s="736"/>
      <c r="S110" s="736"/>
      <c r="T110" s="736"/>
      <c r="U110" s="736"/>
    </row>
    <row r="111">
      <c r="A111" s="716" t="s">
        <v>766</v>
      </c>
      <c r="B111" s="713" t="s">
        <v>612</v>
      </c>
      <c r="C111" s="708">
        <v>159.285</v>
      </c>
      <c r="D111" s="734" t="s">
        <v>727</v>
      </c>
      <c r="E111" s="708">
        <v>159.285</v>
      </c>
      <c r="F111" s="734" t="s">
        <v>727</v>
      </c>
      <c r="G111" s="711" t="s">
        <v>517</v>
      </c>
      <c r="H111" s="736" t="s">
        <v>767</v>
      </c>
      <c r="I111" s="736"/>
      <c r="J111" s="736"/>
      <c r="K111" s="736"/>
      <c r="L111" s="736"/>
      <c r="M111" s="736"/>
      <c r="N111" s="736"/>
      <c r="O111" s="736"/>
      <c r="P111" s="736"/>
      <c r="Q111" s="736"/>
      <c r="R111" s="736"/>
      <c r="S111" s="736"/>
      <c r="T111" s="736"/>
      <c r="U111" s="736"/>
    </row>
    <row r="112">
      <c r="A112" s="716" t="s">
        <v>768</v>
      </c>
      <c r="B112" s="713" t="s">
        <v>612</v>
      </c>
      <c r="C112" s="708">
        <v>159.315</v>
      </c>
      <c r="D112" s="734" t="s">
        <v>727</v>
      </c>
      <c r="E112" s="708">
        <v>159.315</v>
      </c>
      <c r="F112" s="734" t="s">
        <v>727</v>
      </c>
      <c r="G112" s="711" t="s">
        <v>517</v>
      </c>
      <c r="H112" s="736" t="s">
        <v>769</v>
      </c>
      <c r="I112" s="736"/>
      <c r="J112" s="736"/>
      <c r="K112" s="736"/>
      <c r="L112" s="736"/>
      <c r="M112" s="736"/>
      <c r="N112" s="736"/>
      <c r="O112" s="736"/>
      <c r="P112" s="736"/>
      <c r="Q112" s="736"/>
      <c r="R112" s="736"/>
      <c r="S112" s="736"/>
      <c r="T112" s="736"/>
      <c r="U112" s="736"/>
    </row>
    <row r="113">
      <c r="A113" s="716" t="s">
        <v>770</v>
      </c>
      <c r="B113" s="713" t="s">
        <v>612</v>
      </c>
      <c r="C113" s="708">
        <v>159.345</v>
      </c>
      <c r="D113" s="734" t="s">
        <v>727</v>
      </c>
      <c r="E113" s="708">
        <v>159.345</v>
      </c>
      <c r="F113" s="734" t="s">
        <v>727</v>
      </c>
      <c r="G113" s="711" t="s">
        <v>517</v>
      </c>
      <c r="H113" s="736" t="s">
        <v>771</v>
      </c>
      <c r="I113" s="736"/>
      <c r="J113" s="736"/>
      <c r="K113" s="736"/>
      <c r="L113" s="736"/>
      <c r="M113" s="736"/>
      <c r="N113" s="736"/>
      <c r="O113" s="736"/>
      <c r="P113" s="736"/>
      <c r="Q113" s="736"/>
      <c r="R113" s="736"/>
      <c r="S113" s="736"/>
      <c r="T113" s="736"/>
      <c r="U113" s="736"/>
    </row>
    <row r="114">
      <c r="A114" s="716" t="s">
        <v>772</v>
      </c>
      <c r="B114" s="713" t="s">
        <v>612</v>
      </c>
      <c r="C114" s="708">
        <v>159.36</v>
      </c>
      <c r="D114" s="734" t="s">
        <v>727</v>
      </c>
      <c r="E114" s="708">
        <v>159.36</v>
      </c>
      <c r="F114" s="734" t="s">
        <v>727</v>
      </c>
      <c r="G114" s="711" t="s">
        <v>517</v>
      </c>
      <c r="H114" s="736" t="s">
        <v>773</v>
      </c>
      <c r="I114" s="736"/>
      <c r="J114" s="736"/>
      <c r="K114" s="736"/>
      <c r="L114" s="736"/>
      <c r="M114" s="736"/>
      <c r="N114" s="736"/>
      <c r="O114" s="736"/>
      <c r="P114" s="736"/>
      <c r="Q114" s="736"/>
      <c r="R114" s="736"/>
      <c r="S114" s="736"/>
      <c r="T114" s="736"/>
      <c r="U114" s="736"/>
    </row>
    <row r="115">
      <c r="A115" s="716" t="s">
        <v>774</v>
      </c>
      <c r="B115" s="713" t="s">
        <v>612</v>
      </c>
      <c r="C115" s="708">
        <v>151.16</v>
      </c>
      <c r="D115" s="734" t="s">
        <v>727</v>
      </c>
      <c r="E115" s="708">
        <v>151.16</v>
      </c>
      <c r="F115" s="734" t="s">
        <v>727</v>
      </c>
      <c r="G115" s="711" t="s">
        <v>517</v>
      </c>
      <c r="H115" s="736" t="s">
        <v>775</v>
      </c>
      <c r="I115" s="736"/>
      <c r="J115" s="736"/>
      <c r="K115" s="736"/>
      <c r="L115" s="736"/>
      <c r="M115" s="736"/>
      <c r="N115" s="736"/>
      <c r="O115" s="736"/>
      <c r="P115" s="736"/>
      <c r="Q115" s="736"/>
      <c r="R115" s="736"/>
      <c r="S115" s="736"/>
      <c r="T115" s="736"/>
      <c r="U115" s="736"/>
    </row>
    <row r="116">
      <c r="A116" s="716" t="s">
        <v>776</v>
      </c>
      <c r="B116" s="713" t="s">
        <v>612</v>
      </c>
      <c r="C116" s="708">
        <v>159.375</v>
      </c>
      <c r="D116" s="734" t="s">
        <v>727</v>
      </c>
      <c r="E116" s="708">
        <v>159.375</v>
      </c>
      <c r="F116" s="734" t="s">
        <v>727</v>
      </c>
      <c r="G116" s="711" t="s">
        <v>517</v>
      </c>
      <c r="H116" s="736" t="s">
        <v>777</v>
      </c>
      <c r="I116" s="736"/>
      <c r="J116" s="736"/>
      <c r="K116" s="736"/>
      <c r="L116" s="736"/>
      <c r="M116" s="736"/>
      <c r="N116" s="736"/>
      <c r="O116" s="736"/>
      <c r="P116" s="736"/>
      <c r="Q116" s="736"/>
      <c r="R116" s="736"/>
      <c r="S116" s="736"/>
      <c r="T116" s="736"/>
      <c r="U116" s="736"/>
    </row>
    <row r="117">
      <c r="A117" s="716" t="s">
        <v>778</v>
      </c>
      <c r="B117" s="713" t="s">
        <v>612</v>
      </c>
      <c r="C117" s="708">
        <v>159.39</v>
      </c>
      <c r="D117" s="734" t="s">
        <v>727</v>
      </c>
      <c r="E117" s="708">
        <v>159.39</v>
      </c>
      <c r="F117" s="734" t="s">
        <v>727</v>
      </c>
      <c r="G117" s="711" t="s">
        <v>517</v>
      </c>
      <c r="H117" s="736" t="s">
        <v>779</v>
      </c>
      <c r="I117" s="736"/>
      <c r="J117" s="736"/>
      <c r="K117" s="736"/>
      <c r="L117" s="736"/>
      <c r="M117" s="736"/>
      <c r="N117" s="736"/>
      <c r="O117" s="736"/>
      <c r="P117" s="736"/>
      <c r="Q117" s="736"/>
      <c r="R117" s="736"/>
      <c r="S117" s="736"/>
      <c r="T117" s="736"/>
      <c r="U117" s="736"/>
    </row>
    <row r="118">
      <c r="A118" s="716" t="s">
        <v>780</v>
      </c>
      <c r="B118" s="713" t="s">
        <v>612</v>
      </c>
      <c r="C118" s="708">
        <v>159.405</v>
      </c>
      <c r="D118" s="734" t="s">
        <v>727</v>
      </c>
      <c r="E118" s="708">
        <v>159.405</v>
      </c>
      <c r="F118" s="734" t="s">
        <v>727</v>
      </c>
      <c r="G118" s="711" t="s">
        <v>517</v>
      </c>
      <c r="H118" s="736" t="s">
        <v>781</v>
      </c>
      <c r="I118" s="736"/>
      <c r="J118" s="736"/>
      <c r="K118" s="736"/>
      <c r="L118" s="736"/>
      <c r="M118" s="736"/>
      <c r="N118" s="736"/>
      <c r="O118" s="736"/>
      <c r="P118" s="736"/>
      <c r="Q118" s="736"/>
      <c r="R118" s="736"/>
      <c r="S118" s="736"/>
      <c r="T118" s="736"/>
      <c r="U118" s="736"/>
    </row>
    <row r="119">
      <c r="A119" s="716" t="s">
        <v>782</v>
      </c>
      <c r="B119" s="713" t="s">
        <v>612</v>
      </c>
      <c r="C119" s="708">
        <v>159.45</v>
      </c>
      <c r="D119" s="734" t="s">
        <v>727</v>
      </c>
      <c r="E119" s="708">
        <v>159.45</v>
      </c>
      <c r="F119" s="734" t="s">
        <v>727</v>
      </c>
      <c r="G119" s="711" t="s">
        <v>517</v>
      </c>
      <c r="H119" s="736" t="s">
        <v>783</v>
      </c>
      <c r="I119" s="736"/>
      <c r="J119" s="736"/>
      <c r="K119" s="736"/>
      <c r="L119" s="736"/>
      <c r="M119" s="736"/>
      <c r="N119" s="736"/>
      <c r="O119" s="736"/>
      <c r="P119" s="736"/>
      <c r="Q119" s="736"/>
      <c r="R119" s="736"/>
      <c r="S119" s="736"/>
      <c r="T119" s="736"/>
      <c r="U119" s="736"/>
    </row>
    <row r="120">
      <c r="A120" s="716" t="s">
        <v>784</v>
      </c>
      <c r="B120" s="713" t="s">
        <v>612</v>
      </c>
      <c r="C120" s="708">
        <v>151.3325</v>
      </c>
      <c r="D120" s="734" t="s">
        <v>727</v>
      </c>
      <c r="E120" s="708">
        <v>151.3325</v>
      </c>
      <c r="F120" s="734" t="s">
        <v>727</v>
      </c>
      <c r="G120" s="711" t="s">
        <v>517</v>
      </c>
      <c r="H120" s="736" t="s">
        <v>785</v>
      </c>
      <c r="I120" s="736"/>
      <c r="J120" s="736"/>
      <c r="K120" s="736"/>
      <c r="L120" s="736"/>
      <c r="M120" s="736"/>
      <c r="N120" s="736"/>
      <c r="O120" s="736"/>
      <c r="P120" s="736"/>
      <c r="Q120" s="736"/>
      <c r="R120" s="736"/>
      <c r="S120" s="736"/>
      <c r="T120" s="736"/>
      <c r="U120" s="736"/>
    </row>
    <row r="121">
      <c r="A121" s="716" t="s">
        <v>786</v>
      </c>
      <c r="B121" s="713" t="s">
        <v>612</v>
      </c>
      <c r="C121" s="708">
        <v>159.2775</v>
      </c>
      <c r="D121" s="734" t="s">
        <v>727</v>
      </c>
      <c r="E121" s="708">
        <v>159.2775</v>
      </c>
      <c r="F121" s="734" t="s">
        <v>727</v>
      </c>
      <c r="G121" s="711" t="s">
        <v>517</v>
      </c>
      <c r="H121" s="736" t="s">
        <v>787</v>
      </c>
      <c r="I121" s="736"/>
      <c r="J121" s="736"/>
      <c r="K121" s="736"/>
      <c r="L121" s="736"/>
      <c r="M121" s="736"/>
      <c r="N121" s="736"/>
      <c r="O121" s="736"/>
      <c r="P121" s="736"/>
      <c r="Q121" s="736"/>
      <c r="R121" s="736"/>
      <c r="S121" s="736"/>
      <c r="T121" s="736"/>
      <c r="U121" s="736"/>
    </row>
    <row r="122">
      <c r="A122" s="716" t="s">
        <v>788</v>
      </c>
      <c r="B122" s="713" t="s">
        <v>612</v>
      </c>
      <c r="C122" s="708">
        <v>159.2925</v>
      </c>
      <c r="D122" s="734" t="s">
        <v>727</v>
      </c>
      <c r="E122" s="708">
        <v>159.2925</v>
      </c>
      <c r="F122" s="734" t="s">
        <v>727</v>
      </c>
      <c r="G122" s="711" t="s">
        <v>517</v>
      </c>
      <c r="H122" s="736" t="s">
        <v>789</v>
      </c>
      <c r="I122" s="736"/>
      <c r="J122" s="736"/>
      <c r="K122" s="736"/>
      <c r="L122" s="736"/>
      <c r="M122" s="736"/>
      <c r="N122" s="736"/>
      <c r="O122" s="736"/>
      <c r="P122" s="736"/>
      <c r="Q122" s="736"/>
      <c r="R122" s="736"/>
      <c r="S122" s="736"/>
      <c r="T122" s="736"/>
      <c r="U122" s="736"/>
    </row>
    <row r="123">
      <c r="A123" s="716" t="s">
        <v>790</v>
      </c>
      <c r="B123" s="713" t="s">
        <v>612</v>
      </c>
      <c r="C123" s="708">
        <v>159.3075</v>
      </c>
      <c r="D123" s="734" t="s">
        <v>727</v>
      </c>
      <c r="E123" s="708">
        <v>159.3075</v>
      </c>
      <c r="F123" s="734" t="s">
        <v>727</v>
      </c>
      <c r="G123" s="711" t="s">
        <v>517</v>
      </c>
      <c r="H123" s="736" t="s">
        <v>791</v>
      </c>
      <c r="I123" s="736"/>
      <c r="J123" s="736"/>
      <c r="K123" s="736"/>
      <c r="L123" s="736"/>
      <c r="M123" s="736"/>
      <c r="N123" s="736"/>
      <c r="O123" s="736"/>
      <c r="P123" s="736"/>
      <c r="Q123" s="736"/>
      <c r="R123" s="736"/>
      <c r="S123" s="736"/>
      <c r="T123" s="736"/>
      <c r="U123" s="736"/>
    </row>
    <row r="124">
      <c r="A124" s="716" t="s">
        <v>792</v>
      </c>
      <c r="B124" s="713" t="s">
        <v>612</v>
      </c>
      <c r="C124" s="708">
        <v>151.1825</v>
      </c>
      <c r="D124" s="734" t="s">
        <v>727</v>
      </c>
      <c r="E124" s="708">
        <v>151.1825</v>
      </c>
      <c r="F124" s="734" t="s">
        <v>727</v>
      </c>
      <c r="G124" s="711" t="s">
        <v>517</v>
      </c>
      <c r="H124" s="736" t="s">
        <v>793</v>
      </c>
      <c r="I124" s="736"/>
      <c r="J124" s="736"/>
      <c r="K124" s="736"/>
      <c r="L124" s="736"/>
      <c r="M124" s="736"/>
      <c r="N124" s="736"/>
      <c r="O124" s="736"/>
      <c r="P124" s="736"/>
      <c r="Q124" s="736"/>
      <c r="R124" s="736"/>
      <c r="S124" s="736"/>
      <c r="T124" s="736"/>
      <c r="U124" s="736"/>
    </row>
    <row r="125">
      <c r="A125" s="716" t="s">
        <v>794</v>
      </c>
      <c r="B125" s="713" t="s">
        <v>612</v>
      </c>
      <c r="C125" s="708">
        <v>151.3475</v>
      </c>
      <c r="D125" s="734" t="s">
        <v>727</v>
      </c>
      <c r="E125" s="708">
        <v>151.3475</v>
      </c>
      <c r="F125" s="734" t="s">
        <v>727</v>
      </c>
      <c r="G125" s="711" t="s">
        <v>517</v>
      </c>
      <c r="H125" s="736" t="s">
        <v>795</v>
      </c>
      <c r="I125" s="736"/>
      <c r="J125" s="736"/>
      <c r="K125" s="736"/>
      <c r="L125" s="736"/>
      <c r="M125" s="736"/>
      <c r="N125" s="736"/>
      <c r="O125" s="736"/>
      <c r="P125" s="736"/>
      <c r="Q125" s="736"/>
      <c r="R125" s="736"/>
      <c r="S125" s="736"/>
      <c r="T125" s="736"/>
      <c r="U125" s="736"/>
    </row>
    <row r="126">
      <c r="A126" s="716" t="s">
        <v>503</v>
      </c>
      <c r="B126" s="713" t="s">
        <v>612</v>
      </c>
      <c r="C126" s="708">
        <v>151.175</v>
      </c>
      <c r="D126" s="734" t="s">
        <v>727</v>
      </c>
      <c r="E126" s="708">
        <v>151.175</v>
      </c>
      <c r="F126" s="734" t="s">
        <v>727</v>
      </c>
      <c r="G126" s="711" t="s">
        <v>517</v>
      </c>
      <c r="H126" s="736" t="s">
        <v>796</v>
      </c>
      <c r="I126" s="736"/>
      <c r="J126" s="736"/>
      <c r="K126" s="736"/>
      <c r="L126" s="736"/>
      <c r="M126" s="736"/>
      <c r="N126" s="736"/>
      <c r="O126" s="736"/>
      <c r="P126" s="736"/>
      <c r="Q126" s="736"/>
      <c r="R126" s="736"/>
      <c r="S126" s="736"/>
      <c r="T126" s="736"/>
      <c r="U126" s="736"/>
    </row>
    <row r="127">
      <c r="A127" s="716" t="s">
        <v>797</v>
      </c>
      <c r="B127" s="713" t="s">
        <v>612</v>
      </c>
      <c r="C127" s="708">
        <v>151.3925</v>
      </c>
      <c r="D127" s="734" t="s">
        <v>727</v>
      </c>
      <c r="E127" s="708">
        <v>151.3925</v>
      </c>
      <c r="F127" s="734" t="s">
        <v>727</v>
      </c>
      <c r="G127" s="711" t="s">
        <v>517</v>
      </c>
      <c r="H127" s="736" t="s">
        <v>798</v>
      </c>
      <c r="I127" s="736"/>
      <c r="J127" s="736"/>
      <c r="K127" s="736"/>
      <c r="L127" s="736"/>
      <c r="M127" s="736"/>
      <c r="N127" s="736"/>
      <c r="O127" s="736"/>
      <c r="P127" s="736"/>
      <c r="Q127" s="736"/>
      <c r="R127" s="736"/>
      <c r="S127" s="736"/>
      <c r="T127" s="736"/>
      <c r="U127" s="736"/>
    </row>
    <row r="128">
      <c r="A128" s="716" t="s">
        <v>799</v>
      </c>
      <c r="B128" s="713" t="s">
        <v>612</v>
      </c>
      <c r="C128" s="708">
        <v>159.3825</v>
      </c>
      <c r="D128" s="734" t="s">
        <v>727</v>
      </c>
      <c r="E128" s="708">
        <v>159.3825</v>
      </c>
      <c r="F128" s="734" t="s">
        <v>727</v>
      </c>
      <c r="G128" s="711" t="s">
        <v>517</v>
      </c>
      <c r="H128" s="736" t="s">
        <v>800</v>
      </c>
      <c r="I128" s="736"/>
      <c r="J128" s="736"/>
      <c r="K128" s="736"/>
      <c r="L128" s="736"/>
      <c r="M128" s="736"/>
      <c r="N128" s="736"/>
      <c r="O128" s="736"/>
      <c r="P128" s="736"/>
      <c r="Q128" s="736"/>
      <c r="R128" s="736"/>
      <c r="S128" s="736"/>
      <c r="T128" s="736"/>
      <c r="U128" s="736"/>
    </row>
    <row r="129">
      <c r="A129" s="716" t="s">
        <v>801</v>
      </c>
      <c r="B129" s="713" t="s">
        <v>612</v>
      </c>
      <c r="C129" s="708">
        <v>151.2425</v>
      </c>
      <c r="D129" s="734" t="s">
        <v>727</v>
      </c>
      <c r="E129" s="708">
        <v>151.2425</v>
      </c>
      <c r="F129" s="734" t="s">
        <v>727</v>
      </c>
      <c r="G129" s="711" t="s">
        <v>517</v>
      </c>
      <c r="H129" s="736" t="s">
        <v>802</v>
      </c>
      <c r="I129" s="736"/>
      <c r="J129" s="736"/>
      <c r="K129" s="736"/>
      <c r="L129" s="736"/>
      <c r="M129" s="736"/>
      <c r="N129" s="736"/>
      <c r="O129" s="736"/>
      <c r="P129" s="736"/>
      <c r="Q129" s="736"/>
      <c r="R129" s="736"/>
      <c r="S129" s="736"/>
      <c r="T129" s="736"/>
      <c r="U129" s="736"/>
    </row>
    <row r="130">
      <c r="A130" s="716" t="s">
        <v>803</v>
      </c>
      <c r="B130" s="713" t="s">
        <v>612</v>
      </c>
      <c r="C130" s="708">
        <v>159.2475</v>
      </c>
      <c r="D130" s="734" t="s">
        <v>727</v>
      </c>
      <c r="E130" s="708">
        <v>159.2475</v>
      </c>
      <c r="F130" s="734" t="s">
        <v>727</v>
      </c>
      <c r="G130" s="711" t="s">
        <v>517</v>
      </c>
      <c r="H130" s="736" t="s">
        <v>804</v>
      </c>
      <c r="I130" s="736"/>
      <c r="J130" s="736"/>
      <c r="K130" s="736"/>
      <c r="L130" s="736"/>
      <c r="M130" s="736"/>
      <c r="N130" s="736"/>
      <c r="O130" s="736"/>
      <c r="P130" s="736"/>
      <c r="Q130" s="736"/>
      <c r="R130" s="736"/>
      <c r="S130" s="736"/>
      <c r="T130" s="736"/>
      <c r="U130" s="736"/>
    </row>
    <row r="131">
      <c r="A131" s="716" t="s">
        <v>805</v>
      </c>
      <c r="B131" s="713" t="s">
        <v>612</v>
      </c>
      <c r="C131" s="708">
        <v>151.4675</v>
      </c>
      <c r="D131" s="734" t="s">
        <v>727</v>
      </c>
      <c r="E131" s="708">
        <v>151.4675</v>
      </c>
      <c r="F131" s="734" t="s">
        <v>727</v>
      </c>
      <c r="G131" s="711" t="s">
        <v>517</v>
      </c>
      <c r="H131" s="736" t="s">
        <v>806</v>
      </c>
      <c r="I131" s="736"/>
      <c r="J131" s="736"/>
      <c r="K131" s="736"/>
      <c r="L131" s="736"/>
      <c r="M131" s="736"/>
      <c r="N131" s="736"/>
      <c r="O131" s="736"/>
      <c r="P131" s="736"/>
      <c r="Q131" s="736"/>
      <c r="R131" s="736"/>
      <c r="S131" s="736"/>
      <c r="T131" s="736"/>
      <c r="U131" s="736"/>
    </row>
    <row r="132">
      <c r="A132" s="716" t="s">
        <v>507</v>
      </c>
      <c r="B132" s="713" t="s">
        <v>612</v>
      </c>
      <c r="C132" s="708">
        <v>159.3225</v>
      </c>
      <c r="D132" s="734" t="s">
        <v>727</v>
      </c>
      <c r="E132" s="708">
        <v>159.3225</v>
      </c>
      <c r="F132" s="734" t="s">
        <v>727</v>
      </c>
      <c r="G132" s="711" t="s">
        <v>517</v>
      </c>
      <c r="H132" s="736" t="s">
        <v>807</v>
      </c>
      <c r="I132" s="736"/>
      <c r="J132" s="736"/>
      <c r="K132" s="736"/>
      <c r="L132" s="736"/>
      <c r="M132" s="736"/>
      <c r="N132" s="736"/>
      <c r="O132" s="736"/>
      <c r="P132" s="736"/>
      <c r="Q132" s="736"/>
      <c r="R132" s="736"/>
      <c r="S132" s="736"/>
      <c r="T132" s="736"/>
      <c r="U132" s="736"/>
    </row>
    <row r="133">
      <c r="A133" s="716" t="s">
        <v>808</v>
      </c>
      <c r="B133" s="713" t="s">
        <v>612</v>
      </c>
      <c r="C133" s="708">
        <v>151.1525</v>
      </c>
      <c r="D133" s="734" t="s">
        <v>727</v>
      </c>
      <c r="E133" s="708">
        <v>151.1525</v>
      </c>
      <c r="F133" s="734" t="s">
        <v>727</v>
      </c>
      <c r="G133" s="711" t="s">
        <v>517</v>
      </c>
      <c r="H133" s="736" t="s">
        <v>809</v>
      </c>
      <c r="I133" s="736"/>
      <c r="J133" s="736"/>
      <c r="K133" s="736"/>
      <c r="L133" s="736"/>
      <c r="M133" s="736"/>
      <c r="N133" s="736"/>
      <c r="O133" s="736"/>
      <c r="P133" s="736"/>
      <c r="Q133" s="736"/>
      <c r="R133" s="736"/>
      <c r="S133" s="736"/>
      <c r="T133" s="736"/>
      <c r="U133" s="736"/>
    </row>
    <row r="134">
      <c r="A134" s="716" t="s">
        <v>810</v>
      </c>
      <c r="B134" s="713" t="s">
        <v>612</v>
      </c>
      <c r="C134" s="708">
        <v>159.3375</v>
      </c>
      <c r="D134" s="734" t="s">
        <v>727</v>
      </c>
      <c r="E134" s="708">
        <v>159.3375</v>
      </c>
      <c r="F134" s="734" t="s">
        <v>727</v>
      </c>
      <c r="G134" s="711" t="s">
        <v>517</v>
      </c>
      <c r="H134" s="736" t="s">
        <v>811</v>
      </c>
      <c r="I134" s="736"/>
      <c r="J134" s="736"/>
      <c r="K134" s="736"/>
      <c r="L134" s="736"/>
      <c r="M134" s="736"/>
      <c r="N134" s="736"/>
      <c r="O134" s="736"/>
      <c r="P134" s="736"/>
      <c r="Q134" s="736"/>
      <c r="R134" s="736"/>
      <c r="S134" s="736"/>
      <c r="T134" s="736"/>
      <c r="U134" s="736"/>
    </row>
    <row r="135">
      <c r="A135" s="716" t="s">
        <v>505</v>
      </c>
      <c r="B135" s="713" t="s">
        <v>612</v>
      </c>
      <c r="C135" s="708">
        <v>151.19</v>
      </c>
      <c r="D135" s="734" t="s">
        <v>727</v>
      </c>
      <c r="E135" s="708">
        <v>151.19</v>
      </c>
      <c r="F135" s="734" t="s">
        <v>727</v>
      </c>
      <c r="G135" s="711" t="s">
        <v>517</v>
      </c>
      <c r="H135" s="736" t="s">
        <v>812</v>
      </c>
      <c r="I135" s="736"/>
      <c r="J135" s="736"/>
      <c r="K135" s="736"/>
      <c r="L135" s="736"/>
      <c r="M135" s="736"/>
      <c r="N135" s="736"/>
      <c r="O135" s="736"/>
      <c r="P135" s="736"/>
      <c r="Q135" s="736"/>
      <c r="R135" s="736"/>
      <c r="S135" s="736"/>
      <c r="T135" s="736"/>
      <c r="U135" s="736"/>
    </row>
    <row r="136">
      <c r="A136" s="716" t="s">
        <v>813</v>
      </c>
      <c r="B136" s="713" t="s">
        <v>612</v>
      </c>
      <c r="C136" s="708">
        <v>151.25</v>
      </c>
      <c r="D136" s="734" t="s">
        <v>727</v>
      </c>
      <c r="E136" s="708">
        <v>151.25</v>
      </c>
      <c r="F136" s="734" t="s">
        <v>727</v>
      </c>
      <c r="G136" s="711" t="s">
        <v>517</v>
      </c>
      <c r="H136" s="736" t="s">
        <v>814</v>
      </c>
      <c r="I136" s="736"/>
      <c r="J136" s="736"/>
      <c r="K136" s="736"/>
      <c r="L136" s="736"/>
      <c r="M136" s="736"/>
      <c r="N136" s="736"/>
      <c r="O136" s="736"/>
      <c r="P136" s="736"/>
      <c r="Q136" s="736"/>
      <c r="R136" s="736"/>
      <c r="S136" s="736"/>
      <c r="T136" s="736"/>
      <c r="U136" s="736"/>
    </row>
    <row r="137">
      <c r="A137" s="716" t="s">
        <v>815</v>
      </c>
      <c r="B137" s="713" t="s">
        <v>612</v>
      </c>
      <c r="C137" s="708">
        <v>151.325</v>
      </c>
      <c r="D137" s="734" t="s">
        <v>727</v>
      </c>
      <c r="E137" s="708">
        <v>151.325</v>
      </c>
      <c r="F137" s="734" t="s">
        <v>727</v>
      </c>
      <c r="G137" s="711" t="s">
        <v>517</v>
      </c>
      <c r="H137" s="736" t="s">
        <v>816</v>
      </c>
      <c r="I137" s="736"/>
      <c r="J137" s="736"/>
      <c r="K137" s="736"/>
      <c r="L137" s="736"/>
      <c r="M137" s="736"/>
      <c r="N137" s="736"/>
      <c r="O137" s="736"/>
      <c r="P137" s="736"/>
      <c r="Q137" s="736"/>
      <c r="R137" s="736"/>
      <c r="S137" s="736"/>
      <c r="T137" s="736"/>
      <c r="U137" s="736"/>
    </row>
    <row r="138">
      <c r="A138" s="716" t="s">
        <v>817</v>
      </c>
      <c r="B138" s="713" t="s">
        <v>612</v>
      </c>
      <c r="C138" s="708">
        <v>151.34</v>
      </c>
      <c r="D138" s="734" t="s">
        <v>727</v>
      </c>
      <c r="E138" s="708">
        <v>151.34</v>
      </c>
      <c r="F138" s="734" t="s">
        <v>727</v>
      </c>
      <c r="G138" s="711" t="s">
        <v>517</v>
      </c>
      <c r="H138" s="736" t="s">
        <v>818</v>
      </c>
      <c r="I138" s="736"/>
      <c r="J138" s="736"/>
      <c r="K138" s="736"/>
      <c r="L138" s="736"/>
      <c r="M138" s="736"/>
      <c r="N138" s="736"/>
      <c r="O138" s="736"/>
      <c r="P138" s="736"/>
      <c r="Q138" s="736"/>
      <c r="R138" s="736"/>
      <c r="S138" s="736"/>
      <c r="T138" s="736"/>
      <c r="U138" s="736"/>
    </row>
    <row r="139">
      <c r="A139" s="716" t="s">
        <v>819</v>
      </c>
      <c r="B139" s="713" t="s">
        <v>612</v>
      </c>
      <c r="C139" s="708">
        <v>151.37</v>
      </c>
      <c r="D139" s="734" t="s">
        <v>727</v>
      </c>
      <c r="E139" s="708">
        <v>151.37</v>
      </c>
      <c r="F139" s="734" t="s">
        <v>727</v>
      </c>
      <c r="G139" s="711" t="s">
        <v>517</v>
      </c>
      <c r="H139" s="736" t="s">
        <v>820</v>
      </c>
      <c r="I139" s="736"/>
      <c r="J139" s="736"/>
      <c r="K139" s="736"/>
      <c r="L139" s="736"/>
      <c r="M139" s="736"/>
      <c r="N139" s="736"/>
      <c r="O139" s="736"/>
      <c r="P139" s="736"/>
      <c r="Q139" s="736"/>
      <c r="R139" s="736"/>
      <c r="S139" s="736"/>
      <c r="T139" s="736"/>
      <c r="U139" s="736"/>
    </row>
    <row r="140">
      <c r="A140" s="716" t="s">
        <v>821</v>
      </c>
      <c r="B140" s="713" t="s">
        <v>612</v>
      </c>
      <c r="C140" s="708">
        <v>151.385</v>
      </c>
      <c r="D140" s="734" t="s">
        <v>727</v>
      </c>
      <c r="E140" s="708">
        <v>151.385</v>
      </c>
      <c r="F140" s="734" t="s">
        <v>727</v>
      </c>
      <c r="G140" s="711" t="s">
        <v>517</v>
      </c>
      <c r="H140" s="736" t="s">
        <v>822</v>
      </c>
      <c r="I140" s="736"/>
      <c r="J140" s="736"/>
      <c r="K140" s="736"/>
      <c r="L140" s="736"/>
      <c r="M140" s="736"/>
      <c r="N140" s="736"/>
      <c r="O140" s="736"/>
      <c r="P140" s="736"/>
      <c r="Q140" s="736"/>
      <c r="R140" s="736"/>
      <c r="S140" s="736"/>
      <c r="T140" s="736"/>
      <c r="U140" s="736"/>
    </row>
    <row r="141">
      <c r="A141" s="716" t="s">
        <v>823</v>
      </c>
      <c r="B141" s="713" t="s">
        <v>612</v>
      </c>
      <c r="C141" s="708">
        <v>153.755</v>
      </c>
      <c r="D141" s="714">
        <v>0.0</v>
      </c>
      <c r="E141" s="708">
        <v>154.98</v>
      </c>
      <c r="F141" s="717" t="s">
        <v>596</v>
      </c>
      <c r="G141" s="711" t="s">
        <v>517</v>
      </c>
      <c r="H141" s="736" t="s">
        <v>824</v>
      </c>
      <c r="I141" s="736"/>
      <c r="J141" s="736"/>
      <c r="K141" s="736"/>
      <c r="L141" s="736"/>
      <c r="M141" s="736"/>
      <c r="N141" s="736"/>
      <c r="O141" s="736"/>
      <c r="P141" s="736"/>
      <c r="Q141" s="736"/>
      <c r="R141" s="736"/>
      <c r="S141" s="736"/>
      <c r="T141" s="736"/>
      <c r="U141" s="736"/>
    </row>
    <row r="142">
      <c r="A142" s="716" t="s">
        <v>825</v>
      </c>
      <c r="B142" s="713" t="s">
        <v>612</v>
      </c>
      <c r="C142" s="708">
        <v>153.755</v>
      </c>
      <c r="D142" s="714">
        <v>0.0</v>
      </c>
      <c r="E142" s="708">
        <v>153.755</v>
      </c>
      <c r="F142" s="717" t="s">
        <v>596</v>
      </c>
      <c r="G142" s="711" t="s">
        <v>517</v>
      </c>
      <c r="H142" s="736" t="s">
        <v>826</v>
      </c>
      <c r="I142" s="736"/>
      <c r="J142" s="736"/>
      <c r="K142" s="736"/>
      <c r="L142" s="736"/>
      <c r="M142" s="736"/>
      <c r="N142" s="736"/>
      <c r="O142" s="736"/>
      <c r="P142" s="736"/>
      <c r="Q142" s="736"/>
      <c r="R142" s="736"/>
      <c r="S142" s="736"/>
      <c r="T142" s="736"/>
      <c r="U142" s="736"/>
    </row>
    <row r="143">
      <c r="A143" s="716" t="s">
        <v>827</v>
      </c>
      <c r="B143" s="713" t="s">
        <v>599</v>
      </c>
      <c r="C143" s="708">
        <v>172.4</v>
      </c>
      <c r="D143" s="714">
        <v>0.0</v>
      </c>
      <c r="E143" s="708">
        <v>164.125</v>
      </c>
      <c r="F143" s="717">
        <v>0.0</v>
      </c>
      <c r="G143" s="711" t="s">
        <v>517</v>
      </c>
      <c r="H143" s="736" t="s">
        <v>828</v>
      </c>
      <c r="I143" s="736"/>
      <c r="J143" s="736"/>
      <c r="K143" s="736"/>
      <c r="L143" s="736"/>
      <c r="M143" s="736"/>
      <c r="N143" s="736"/>
      <c r="O143" s="736"/>
      <c r="P143" s="736"/>
      <c r="Q143" s="736"/>
      <c r="R143" s="736"/>
      <c r="S143" s="736"/>
      <c r="T143" s="736"/>
      <c r="U143" s="736"/>
    </row>
    <row r="144">
      <c r="A144" s="716" t="s">
        <v>829</v>
      </c>
      <c r="B144" s="713" t="s">
        <v>599</v>
      </c>
      <c r="C144" s="708">
        <v>155.985</v>
      </c>
      <c r="D144" s="734" t="s">
        <v>830</v>
      </c>
      <c r="E144" s="708">
        <v>158.955</v>
      </c>
      <c r="F144" s="717" t="s">
        <v>688</v>
      </c>
      <c r="G144" s="711" t="s">
        <v>517</v>
      </c>
      <c r="H144" s="736" t="s">
        <v>831</v>
      </c>
      <c r="I144" s="736"/>
      <c r="J144" s="736"/>
      <c r="K144" s="736"/>
      <c r="L144" s="736"/>
      <c r="M144" s="736"/>
      <c r="N144" s="736"/>
      <c r="O144" s="736"/>
      <c r="P144" s="736"/>
      <c r="Q144" s="736"/>
      <c r="R144" s="736"/>
      <c r="S144" s="736"/>
      <c r="T144" s="736"/>
      <c r="U144" s="736"/>
    </row>
    <row r="145">
      <c r="A145" s="716" t="s">
        <v>832</v>
      </c>
      <c r="B145" s="713" t="s">
        <v>599</v>
      </c>
      <c r="C145" s="708">
        <v>151.37</v>
      </c>
      <c r="D145" s="734" t="s">
        <v>688</v>
      </c>
      <c r="E145" s="708">
        <v>159.285</v>
      </c>
      <c r="F145" s="717" t="s">
        <v>596</v>
      </c>
      <c r="G145" s="711" t="s">
        <v>517</v>
      </c>
      <c r="H145" s="736" t="s">
        <v>833</v>
      </c>
      <c r="I145" s="736"/>
      <c r="J145" s="736"/>
      <c r="K145" s="736"/>
      <c r="L145" s="736"/>
      <c r="M145" s="736"/>
      <c r="N145" s="736"/>
      <c r="O145" s="736"/>
      <c r="P145" s="736"/>
      <c r="Q145" s="736"/>
      <c r="R145" s="736"/>
      <c r="S145" s="736"/>
      <c r="T145" s="736"/>
      <c r="U145" s="736"/>
    </row>
    <row r="146">
      <c r="A146" s="716" t="s">
        <v>834</v>
      </c>
      <c r="B146" s="713" t="s">
        <v>599</v>
      </c>
      <c r="C146" s="708">
        <v>173.7625</v>
      </c>
      <c r="D146" s="714">
        <v>0.0</v>
      </c>
      <c r="E146" s="708">
        <v>164.825</v>
      </c>
      <c r="F146" s="717">
        <v>0.0</v>
      </c>
      <c r="G146" s="711" t="s">
        <v>517</v>
      </c>
      <c r="H146" s="736" t="s">
        <v>835</v>
      </c>
      <c r="I146" s="736"/>
      <c r="J146" s="736"/>
      <c r="K146" s="736"/>
      <c r="L146" s="736"/>
      <c r="M146" s="736"/>
      <c r="N146" s="736"/>
      <c r="O146" s="736"/>
      <c r="P146" s="736"/>
      <c r="Q146" s="736"/>
      <c r="R146" s="736"/>
      <c r="S146" s="736"/>
      <c r="T146" s="736"/>
      <c r="U146" s="736"/>
    </row>
    <row r="147">
      <c r="A147" s="716" t="s">
        <v>836</v>
      </c>
      <c r="B147" s="713" t="s">
        <v>599</v>
      </c>
      <c r="C147" s="708">
        <v>154.445</v>
      </c>
      <c r="D147" s="734" t="s">
        <v>837</v>
      </c>
      <c r="E147" s="708">
        <v>159.195</v>
      </c>
      <c r="F147" s="717" t="s">
        <v>596</v>
      </c>
      <c r="G147" s="711" t="s">
        <v>517</v>
      </c>
      <c r="H147" s="736" t="s">
        <v>838</v>
      </c>
      <c r="I147" s="736"/>
      <c r="J147" s="736"/>
      <c r="K147" s="736"/>
      <c r="L147" s="736"/>
      <c r="M147" s="736"/>
      <c r="N147" s="736"/>
      <c r="O147" s="736"/>
      <c r="P147" s="736"/>
      <c r="Q147" s="736"/>
      <c r="R147" s="736"/>
      <c r="S147" s="736"/>
      <c r="T147" s="736"/>
      <c r="U147" s="736"/>
    </row>
    <row r="148">
      <c r="A148" s="716" t="s">
        <v>839</v>
      </c>
      <c r="B148" s="713" t="s">
        <v>599</v>
      </c>
      <c r="C148" s="708">
        <v>151.01</v>
      </c>
      <c r="D148" s="734" t="s">
        <v>721</v>
      </c>
      <c r="E148" s="708">
        <v>154.965</v>
      </c>
      <c r="F148" s="717" t="s">
        <v>721</v>
      </c>
      <c r="G148" s="711" t="s">
        <v>517</v>
      </c>
      <c r="H148" s="736" t="s">
        <v>840</v>
      </c>
      <c r="I148" s="736"/>
      <c r="J148" s="736"/>
      <c r="K148" s="736"/>
      <c r="L148" s="736"/>
      <c r="M148" s="736"/>
      <c r="N148" s="736"/>
      <c r="O148" s="736"/>
      <c r="P148" s="736"/>
      <c r="Q148" s="736"/>
      <c r="R148" s="736"/>
      <c r="S148" s="736"/>
      <c r="T148" s="736"/>
      <c r="U148" s="736"/>
    </row>
    <row r="149">
      <c r="A149" s="716" t="s">
        <v>841</v>
      </c>
      <c r="B149" s="713" t="s">
        <v>599</v>
      </c>
      <c r="C149" s="708">
        <v>151.385</v>
      </c>
      <c r="D149" s="734" t="s">
        <v>837</v>
      </c>
      <c r="E149" s="708">
        <v>159.27</v>
      </c>
      <c r="F149" s="717" t="s">
        <v>596</v>
      </c>
      <c r="G149" s="711" t="s">
        <v>517</v>
      </c>
      <c r="H149" s="736" t="s">
        <v>842</v>
      </c>
      <c r="I149" s="736"/>
      <c r="J149" s="736"/>
      <c r="K149" s="736"/>
      <c r="L149" s="736"/>
      <c r="M149" s="736"/>
      <c r="N149" s="736"/>
      <c r="O149" s="736"/>
      <c r="P149" s="736"/>
      <c r="Q149" s="736"/>
      <c r="R149" s="736"/>
      <c r="S149" s="736"/>
      <c r="T149" s="736"/>
      <c r="U149" s="736"/>
    </row>
    <row r="150">
      <c r="A150" s="716" t="s">
        <v>843</v>
      </c>
      <c r="B150" s="713" t="s">
        <v>599</v>
      </c>
      <c r="C150" s="708">
        <v>151.16</v>
      </c>
      <c r="D150" s="734" t="s">
        <v>837</v>
      </c>
      <c r="E150" s="708">
        <v>159.36</v>
      </c>
      <c r="F150" s="717" t="s">
        <v>596</v>
      </c>
      <c r="G150" s="711" t="s">
        <v>517</v>
      </c>
      <c r="H150" s="736" t="s">
        <v>844</v>
      </c>
      <c r="I150" s="736"/>
      <c r="J150" s="736"/>
      <c r="K150" s="736"/>
      <c r="L150" s="736"/>
      <c r="M150" s="736"/>
      <c r="N150" s="736"/>
      <c r="O150" s="736"/>
      <c r="P150" s="736"/>
      <c r="Q150" s="736"/>
      <c r="R150" s="736"/>
      <c r="S150" s="736"/>
      <c r="T150" s="736"/>
      <c r="U150" s="736"/>
    </row>
    <row r="151">
      <c r="A151" s="716" t="s">
        <v>845</v>
      </c>
      <c r="B151" s="713" t="s">
        <v>599</v>
      </c>
      <c r="C151" s="708">
        <v>155.985</v>
      </c>
      <c r="D151" s="734" t="s">
        <v>846</v>
      </c>
      <c r="E151" s="708">
        <v>154.01</v>
      </c>
      <c r="F151" s="717" t="s">
        <v>596</v>
      </c>
      <c r="G151" s="711" t="s">
        <v>517</v>
      </c>
      <c r="H151" s="736" t="s">
        <v>847</v>
      </c>
      <c r="I151" s="736"/>
      <c r="J151" s="736"/>
      <c r="K151" s="736"/>
      <c r="L151" s="736"/>
      <c r="M151" s="736"/>
      <c r="N151" s="736"/>
      <c r="O151" s="736"/>
      <c r="P151" s="736"/>
      <c r="Q151" s="736"/>
      <c r="R151" s="736"/>
      <c r="S151" s="736"/>
      <c r="T151" s="736"/>
      <c r="U151" s="736"/>
    </row>
    <row r="152">
      <c r="A152" s="716" t="s">
        <v>848</v>
      </c>
      <c r="B152" s="707" t="s">
        <v>593</v>
      </c>
      <c r="C152" s="708">
        <v>172.375</v>
      </c>
      <c r="D152" s="714">
        <v>0.0</v>
      </c>
      <c r="E152" s="708">
        <v>164.9375</v>
      </c>
      <c r="F152" s="717" t="s">
        <v>596</v>
      </c>
      <c r="G152" s="711" t="s">
        <v>517</v>
      </c>
      <c r="H152" s="736" t="s">
        <v>849</v>
      </c>
      <c r="I152" s="736"/>
      <c r="J152" s="736"/>
      <c r="K152" s="736"/>
      <c r="L152" s="736"/>
      <c r="M152" s="736"/>
      <c r="N152" s="736"/>
      <c r="O152" s="736"/>
      <c r="P152" s="736"/>
      <c r="Q152" s="736"/>
      <c r="R152" s="736"/>
      <c r="S152" s="736"/>
      <c r="T152" s="736"/>
      <c r="U152" s="736"/>
    </row>
    <row r="153">
      <c r="A153" s="716" t="s">
        <v>850</v>
      </c>
      <c r="B153" s="707" t="s">
        <v>593</v>
      </c>
      <c r="C153" s="708">
        <v>171.475</v>
      </c>
      <c r="D153" s="714">
        <v>0.0</v>
      </c>
      <c r="E153" s="708">
        <v>168.15</v>
      </c>
      <c r="F153" s="717" t="s">
        <v>596</v>
      </c>
      <c r="G153" s="711" t="s">
        <v>517</v>
      </c>
      <c r="H153" s="736" t="s">
        <v>851</v>
      </c>
      <c r="I153" s="736"/>
      <c r="J153" s="736"/>
      <c r="K153" s="736"/>
      <c r="L153" s="736"/>
      <c r="M153" s="736"/>
      <c r="N153" s="736"/>
      <c r="O153" s="736"/>
      <c r="P153" s="736"/>
      <c r="Q153" s="736"/>
      <c r="R153" s="736"/>
      <c r="S153" s="736"/>
      <c r="T153" s="736"/>
      <c r="U153" s="736"/>
    </row>
    <row r="154">
      <c r="A154" s="716" t="s">
        <v>852</v>
      </c>
      <c r="B154" s="707" t="s">
        <v>593</v>
      </c>
      <c r="C154" s="708">
        <v>171.425</v>
      </c>
      <c r="D154" s="734" t="s">
        <v>733</v>
      </c>
      <c r="E154" s="708">
        <v>164.8</v>
      </c>
      <c r="F154" s="717" t="s">
        <v>596</v>
      </c>
      <c r="G154" s="711" t="s">
        <v>517</v>
      </c>
      <c r="H154" s="736" t="s">
        <v>853</v>
      </c>
      <c r="I154" s="736"/>
      <c r="J154" s="736"/>
      <c r="K154" s="736"/>
      <c r="L154" s="736"/>
      <c r="M154" s="736"/>
      <c r="N154" s="736"/>
      <c r="O154" s="736"/>
      <c r="P154" s="736"/>
      <c r="Q154" s="736"/>
      <c r="R154" s="736"/>
      <c r="S154" s="736"/>
      <c r="T154" s="736"/>
      <c r="U154" s="736"/>
    </row>
    <row r="155">
      <c r="A155" s="737" t="s">
        <v>854</v>
      </c>
      <c r="B155" s="707" t="s">
        <v>593</v>
      </c>
      <c r="C155" s="708">
        <v>171.525</v>
      </c>
      <c r="D155" s="734" t="s">
        <v>703</v>
      </c>
      <c r="E155" s="708">
        <v>162.75</v>
      </c>
      <c r="F155" s="717" t="s">
        <v>596</v>
      </c>
      <c r="G155" s="711" t="s">
        <v>517</v>
      </c>
      <c r="H155" s="736" t="s">
        <v>855</v>
      </c>
      <c r="I155" s="736"/>
      <c r="J155" s="736"/>
      <c r="K155" s="736"/>
      <c r="L155" s="736"/>
      <c r="M155" s="736"/>
      <c r="N155" s="736"/>
      <c r="O155" s="736"/>
      <c r="P155" s="736"/>
      <c r="Q155" s="736"/>
      <c r="R155" s="736"/>
      <c r="S155" s="736"/>
      <c r="T155" s="736"/>
      <c r="U155" s="736"/>
    </row>
    <row r="156">
      <c r="A156" s="737" t="s">
        <v>856</v>
      </c>
      <c r="B156" s="707" t="s">
        <v>593</v>
      </c>
      <c r="C156" s="708">
        <v>170.525</v>
      </c>
      <c r="D156" s="714">
        <v>0.0</v>
      </c>
      <c r="E156" s="708">
        <v>164.1875</v>
      </c>
      <c r="F156" s="717" t="s">
        <v>596</v>
      </c>
      <c r="G156" s="711" t="s">
        <v>517</v>
      </c>
      <c r="H156" s="736" t="s">
        <v>857</v>
      </c>
      <c r="I156" s="736"/>
      <c r="J156" s="736"/>
      <c r="K156" s="736"/>
      <c r="L156" s="736"/>
      <c r="M156" s="736"/>
      <c r="N156" s="736"/>
      <c r="O156" s="736"/>
      <c r="P156" s="736"/>
      <c r="Q156" s="736"/>
      <c r="R156" s="736"/>
      <c r="S156" s="736"/>
      <c r="T156" s="736"/>
      <c r="U156" s="736"/>
    </row>
    <row r="157">
      <c r="A157" s="737" t="s">
        <v>858</v>
      </c>
      <c r="B157" s="707" t="s">
        <v>593</v>
      </c>
      <c r="C157" s="708">
        <v>173.8</v>
      </c>
      <c r="D157" s="714">
        <v>0.0</v>
      </c>
      <c r="E157" s="708">
        <v>165.0125</v>
      </c>
      <c r="F157" s="717" t="s">
        <v>596</v>
      </c>
      <c r="G157" s="711" t="s">
        <v>517</v>
      </c>
      <c r="H157" s="736" t="s">
        <v>859</v>
      </c>
      <c r="I157" s="736"/>
      <c r="J157" s="736"/>
      <c r="K157" s="736"/>
      <c r="L157" s="736"/>
      <c r="M157" s="736"/>
      <c r="N157" s="736"/>
      <c r="O157" s="736"/>
      <c r="P157" s="736"/>
      <c r="Q157" s="736"/>
      <c r="R157" s="736"/>
      <c r="S157" s="736"/>
      <c r="T157" s="736"/>
      <c r="U157" s="736"/>
    </row>
    <row r="158">
      <c r="A158" s="737" t="s">
        <v>860</v>
      </c>
      <c r="B158" s="707" t="s">
        <v>593</v>
      </c>
      <c r="C158" s="708">
        <v>173.8375</v>
      </c>
      <c r="D158" s="714">
        <v>0.0</v>
      </c>
      <c r="E158" s="708">
        <v>166.2625</v>
      </c>
      <c r="F158" s="717" t="s">
        <v>596</v>
      </c>
      <c r="G158" s="711" t="s">
        <v>517</v>
      </c>
      <c r="H158" s="736" t="s">
        <v>861</v>
      </c>
      <c r="I158" s="736"/>
      <c r="J158" s="736"/>
      <c r="K158" s="736"/>
      <c r="L158" s="736"/>
      <c r="M158" s="736"/>
      <c r="N158" s="736"/>
      <c r="O158" s="736"/>
      <c r="P158" s="736"/>
      <c r="Q158" s="736"/>
      <c r="R158" s="736"/>
      <c r="S158" s="736"/>
      <c r="T158" s="736"/>
      <c r="U158" s="736"/>
    </row>
    <row r="159">
      <c r="A159" s="737" t="s">
        <v>862</v>
      </c>
      <c r="B159" s="707" t="s">
        <v>593</v>
      </c>
      <c r="C159" s="708">
        <v>171.525</v>
      </c>
      <c r="D159" s="714">
        <v>0.0</v>
      </c>
      <c r="E159" s="708">
        <v>165.4125</v>
      </c>
      <c r="F159" s="717" t="s">
        <v>596</v>
      </c>
      <c r="G159" s="711" t="s">
        <v>517</v>
      </c>
      <c r="H159" s="736" t="s">
        <v>863</v>
      </c>
      <c r="I159" s="736"/>
      <c r="J159" s="736"/>
      <c r="K159" s="736"/>
      <c r="L159" s="736"/>
      <c r="M159" s="736"/>
      <c r="N159" s="736"/>
      <c r="O159" s="736"/>
      <c r="P159" s="736"/>
      <c r="Q159" s="736"/>
      <c r="R159" s="736"/>
      <c r="S159" s="736"/>
      <c r="T159" s="736"/>
      <c r="U159" s="736"/>
    </row>
    <row r="160">
      <c r="A160" s="737" t="s">
        <v>864</v>
      </c>
      <c r="B160" s="707" t="s">
        <v>593</v>
      </c>
      <c r="C160" s="708">
        <v>173.1875</v>
      </c>
      <c r="D160" s="714">
        <v>0.0</v>
      </c>
      <c r="E160" s="708">
        <v>164.8</v>
      </c>
      <c r="F160" s="717" t="s">
        <v>596</v>
      </c>
      <c r="G160" s="711" t="s">
        <v>517</v>
      </c>
      <c r="H160" s="736" t="s">
        <v>865</v>
      </c>
      <c r="I160" s="736"/>
      <c r="J160" s="736"/>
      <c r="K160" s="736"/>
      <c r="L160" s="736"/>
      <c r="M160" s="736"/>
      <c r="N160" s="736"/>
      <c r="O160" s="736"/>
      <c r="P160" s="736"/>
      <c r="Q160" s="736"/>
      <c r="R160" s="736"/>
      <c r="S160" s="736"/>
      <c r="T160" s="736"/>
      <c r="U160" s="736"/>
    </row>
    <row r="161">
      <c r="A161" s="737" t="s">
        <v>866</v>
      </c>
      <c r="B161" s="707" t="s">
        <v>593</v>
      </c>
      <c r="C161" s="708">
        <v>170.4625</v>
      </c>
      <c r="D161" s="714">
        <v>0.0</v>
      </c>
      <c r="E161" s="708">
        <v>164.9125</v>
      </c>
      <c r="F161" s="717" t="s">
        <v>596</v>
      </c>
      <c r="G161" s="711" t="s">
        <v>517</v>
      </c>
      <c r="H161" s="736" t="s">
        <v>867</v>
      </c>
      <c r="I161" s="736"/>
      <c r="J161" s="736"/>
      <c r="K161" s="736"/>
      <c r="L161" s="736"/>
      <c r="M161" s="736"/>
      <c r="N161" s="736"/>
      <c r="O161" s="736"/>
      <c r="P161" s="736"/>
      <c r="Q161" s="736"/>
      <c r="R161" s="736"/>
      <c r="S161" s="736"/>
      <c r="T161" s="736"/>
      <c r="U161" s="736"/>
    </row>
    <row r="162">
      <c r="A162" s="737" t="s">
        <v>868</v>
      </c>
      <c r="B162" s="707" t="s">
        <v>593</v>
      </c>
      <c r="C162" s="708">
        <v>170.7375</v>
      </c>
      <c r="D162" s="714">
        <v>0.0</v>
      </c>
      <c r="E162" s="708">
        <v>164.9875</v>
      </c>
      <c r="F162" s="717" t="s">
        <v>596</v>
      </c>
      <c r="G162" s="711" t="s">
        <v>517</v>
      </c>
      <c r="H162" s="736" t="s">
        <v>869</v>
      </c>
      <c r="I162" s="736"/>
      <c r="J162" s="736"/>
      <c r="K162" s="736"/>
      <c r="L162" s="736"/>
      <c r="M162" s="736"/>
      <c r="N162" s="736"/>
      <c r="O162" s="736"/>
      <c r="P162" s="736"/>
      <c r="Q162" s="736"/>
      <c r="R162" s="736"/>
      <c r="S162" s="736"/>
      <c r="T162" s="736"/>
      <c r="U162" s="736"/>
    </row>
    <row r="163">
      <c r="A163" s="737" t="s">
        <v>870</v>
      </c>
      <c r="B163" s="707" t="s">
        <v>593</v>
      </c>
      <c r="C163" s="708">
        <v>171.55</v>
      </c>
      <c r="D163" s="714">
        <v>0.0</v>
      </c>
      <c r="E163" s="708">
        <v>164.5</v>
      </c>
      <c r="F163" s="717" t="s">
        <v>596</v>
      </c>
      <c r="G163" s="711" t="s">
        <v>517</v>
      </c>
      <c r="H163" s="736" t="s">
        <v>871</v>
      </c>
      <c r="I163" s="736"/>
      <c r="J163" s="736"/>
      <c r="K163" s="736"/>
      <c r="L163" s="736"/>
      <c r="M163" s="736"/>
      <c r="N163" s="736"/>
      <c r="O163" s="736"/>
      <c r="P163" s="736"/>
      <c r="Q163" s="736"/>
      <c r="R163" s="736"/>
      <c r="S163" s="736"/>
      <c r="T163" s="736"/>
      <c r="U163" s="736"/>
    </row>
    <row r="164">
      <c r="A164" s="737" t="s">
        <v>872</v>
      </c>
      <c r="B164" s="707" t="s">
        <v>593</v>
      </c>
      <c r="C164" s="708">
        <v>170.55</v>
      </c>
      <c r="D164" s="714">
        <v>0.0</v>
      </c>
      <c r="E164" s="708">
        <v>164.875</v>
      </c>
      <c r="F164" s="717" t="s">
        <v>596</v>
      </c>
      <c r="G164" s="711" t="s">
        <v>517</v>
      </c>
      <c r="H164" s="736" t="s">
        <v>873</v>
      </c>
      <c r="I164" s="736"/>
      <c r="J164" s="736"/>
      <c r="K164" s="736"/>
      <c r="L164" s="736"/>
      <c r="M164" s="736"/>
      <c r="N164" s="736"/>
      <c r="O164" s="736"/>
      <c r="P164" s="736"/>
      <c r="Q164" s="736"/>
      <c r="R164" s="736"/>
      <c r="S164" s="736"/>
      <c r="T164" s="736"/>
      <c r="U164" s="736"/>
    </row>
    <row r="165">
      <c r="A165" s="737" t="s">
        <v>874</v>
      </c>
      <c r="B165" s="707" t="s">
        <v>593</v>
      </c>
      <c r="C165" s="708">
        <v>171.575</v>
      </c>
      <c r="D165" s="714">
        <v>0.0</v>
      </c>
      <c r="E165" s="708">
        <v>165.0125</v>
      </c>
      <c r="F165" s="717" t="s">
        <v>596</v>
      </c>
      <c r="G165" s="711" t="s">
        <v>517</v>
      </c>
      <c r="H165" s="736" t="s">
        <v>875</v>
      </c>
      <c r="I165" s="736"/>
      <c r="J165" s="736"/>
      <c r="K165" s="736"/>
      <c r="L165" s="736"/>
      <c r="M165" s="736"/>
      <c r="N165" s="736"/>
      <c r="O165" s="736"/>
      <c r="P165" s="736"/>
      <c r="Q165" s="736"/>
      <c r="R165" s="736"/>
      <c r="S165" s="736"/>
      <c r="T165" s="736"/>
      <c r="U165" s="736"/>
    </row>
    <row r="166">
      <c r="A166" s="737" t="s">
        <v>876</v>
      </c>
      <c r="B166" s="707" t="s">
        <v>593</v>
      </c>
      <c r="C166" s="708">
        <v>172.225</v>
      </c>
      <c r="D166" s="714">
        <v>0.0</v>
      </c>
      <c r="E166" s="708">
        <v>164.7875</v>
      </c>
      <c r="F166" s="717" t="s">
        <v>596</v>
      </c>
      <c r="G166" s="711" t="s">
        <v>517</v>
      </c>
      <c r="H166" s="736" t="s">
        <v>877</v>
      </c>
      <c r="I166" s="736"/>
      <c r="J166" s="736"/>
      <c r="K166" s="736"/>
      <c r="L166" s="736"/>
      <c r="M166" s="736"/>
      <c r="N166" s="736"/>
      <c r="O166" s="736"/>
      <c r="P166" s="736"/>
      <c r="Q166" s="736"/>
      <c r="R166" s="736"/>
      <c r="S166" s="736"/>
      <c r="T166" s="736"/>
      <c r="U166" s="736"/>
    </row>
    <row r="167">
      <c r="A167" s="737" t="s">
        <v>878</v>
      </c>
      <c r="B167" s="707" t="s">
        <v>593</v>
      </c>
      <c r="C167" s="708">
        <v>169.9</v>
      </c>
      <c r="D167" s="714">
        <v>0.0</v>
      </c>
      <c r="E167" s="708">
        <v>165.7</v>
      </c>
      <c r="F167" s="717" t="s">
        <v>596</v>
      </c>
      <c r="G167" s="711" t="s">
        <v>517</v>
      </c>
      <c r="H167" s="736" t="s">
        <v>879</v>
      </c>
      <c r="I167" s="736"/>
      <c r="J167" s="736"/>
      <c r="K167" s="736"/>
      <c r="L167" s="736"/>
      <c r="M167" s="736"/>
      <c r="N167" s="736"/>
      <c r="O167" s="736"/>
      <c r="P167" s="736"/>
      <c r="Q167" s="736"/>
      <c r="R167" s="736"/>
      <c r="S167" s="736"/>
      <c r="T167" s="736"/>
      <c r="U167" s="736"/>
    </row>
    <row r="168">
      <c r="A168" s="737" t="s">
        <v>880</v>
      </c>
      <c r="B168" s="707" t="s">
        <v>593</v>
      </c>
      <c r="C168" s="708">
        <v>172.375</v>
      </c>
      <c r="D168" s="714">
        <v>0.0</v>
      </c>
      <c r="E168" s="708">
        <v>164.175</v>
      </c>
      <c r="F168" s="717" t="s">
        <v>596</v>
      </c>
      <c r="G168" s="711" t="s">
        <v>517</v>
      </c>
      <c r="H168" s="736" t="s">
        <v>881</v>
      </c>
      <c r="I168" s="736"/>
      <c r="J168" s="736"/>
      <c r="K168" s="736"/>
      <c r="L168" s="736"/>
      <c r="M168" s="736"/>
      <c r="N168" s="736"/>
      <c r="O168" s="736"/>
      <c r="P168" s="736"/>
      <c r="Q168" s="736"/>
      <c r="R168" s="736"/>
      <c r="S168" s="736"/>
      <c r="T168" s="736"/>
      <c r="U168" s="736"/>
    </row>
    <row r="169">
      <c r="A169" s="737" t="s">
        <v>882</v>
      </c>
      <c r="B169" s="707" t="s">
        <v>593</v>
      </c>
      <c r="C169" s="708">
        <v>170.5</v>
      </c>
      <c r="D169" s="714">
        <v>0.0</v>
      </c>
      <c r="E169" s="708">
        <v>168.75</v>
      </c>
      <c r="F169" s="717" t="s">
        <v>596</v>
      </c>
      <c r="G169" s="711" t="s">
        <v>517</v>
      </c>
      <c r="H169" s="736" t="s">
        <v>883</v>
      </c>
      <c r="I169" s="736"/>
      <c r="J169" s="736"/>
      <c r="K169" s="736"/>
      <c r="L169" s="736"/>
      <c r="M169" s="736"/>
      <c r="N169" s="736"/>
      <c r="O169" s="736"/>
      <c r="P169" s="736"/>
      <c r="Q169" s="736"/>
      <c r="R169" s="736"/>
      <c r="S169" s="736"/>
      <c r="T169" s="736"/>
      <c r="U169" s="736"/>
    </row>
    <row r="170">
      <c r="A170" s="737" t="s">
        <v>884</v>
      </c>
      <c r="B170" s="707" t="s">
        <v>593</v>
      </c>
      <c r="C170" s="708">
        <v>172.375</v>
      </c>
      <c r="D170" s="734" t="s">
        <v>703</v>
      </c>
      <c r="E170" s="708">
        <v>164.9625</v>
      </c>
      <c r="F170" s="717" t="s">
        <v>596</v>
      </c>
      <c r="G170" s="711" t="s">
        <v>517</v>
      </c>
      <c r="H170" s="736" t="s">
        <v>885</v>
      </c>
      <c r="I170" s="736"/>
      <c r="J170" s="736"/>
      <c r="K170" s="736"/>
      <c r="L170" s="736"/>
      <c r="M170" s="736"/>
      <c r="N170" s="736"/>
      <c r="O170" s="736"/>
      <c r="P170" s="736"/>
      <c r="Q170" s="736"/>
      <c r="R170" s="736"/>
      <c r="S170" s="736"/>
      <c r="T170" s="736"/>
      <c r="U170" s="736"/>
    </row>
    <row r="171">
      <c r="A171" s="737" t="s">
        <v>886</v>
      </c>
      <c r="B171" s="707" t="s">
        <v>593</v>
      </c>
      <c r="C171" s="708">
        <v>170.6</v>
      </c>
      <c r="D171" s="714">
        <v>0.0</v>
      </c>
      <c r="E171" s="708">
        <v>164.9375</v>
      </c>
      <c r="F171" s="717" t="s">
        <v>596</v>
      </c>
      <c r="G171" s="711" t="s">
        <v>517</v>
      </c>
      <c r="H171" s="736" t="s">
        <v>887</v>
      </c>
      <c r="I171" s="736"/>
      <c r="J171" s="736"/>
      <c r="K171" s="736"/>
      <c r="L171" s="736"/>
      <c r="M171" s="736"/>
      <c r="N171" s="736"/>
      <c r="O171" s="736"/>
      <c r="P171" s="736"/>
      <c r="Q171" s="736"/>
      <c r="R171" s="736"/>
      <c r="S171" s="736"/>
      <c r="T171" s="736"/>
      <c r="U171" s="736"/>
    </row>
    <row r="172">
      <c r="A172" s="737" t="s">
        <v>516</v>
      </c>
      <c r="B172" s="707" t="s">
        <v>888</v>
      </c>
      <c r="C172" s="708">
        <v>168.625</v>
      </c>
      <c r="D172" s="714">
        <v>0.0</v>
      </c>
      <c r="E172" s="708">
        <v>168.625</v>
      </c>
      <c r="F172" s="717" t="s">
        <v>718</v>
      </c>
      <c r="G172" s="711" t="s">
        <v>517</v>
      </c>
      <c r="H172" s="736" t="s">
        <v>889</v>
      </c>
      <c r="I172" s="736"/>
      <c r="J172" s="736"/>
      <c r="K172" s="736"/>
      <c r="L172" s="736"/>
      <c r="M172" s="736"/>
      <c r="N172" s="736"/>
      <c r="O172" s="736"/>
      <c r="P172" s="736"/>
      <c r="Q172" s="736"/>
      <c r="R172" s="736"/>
      <c r="S172" s="736"/>
      <c r="T172" s="736"/>
      <c r="U172" s="736"/>
    </row>
    <row r="173">
      <c r="A173" s="737" t="s">
        <v>890</v>
      </c>
      <c r="B173" s="735" t="s">
        <v>599</v>
      </c>
      <c r="C173" s="708">
        <v>151.25</v>
      </c>
      <c r="D173" s="734" t="s">
        <v>718</v>
      </c>
      <c r="E173" s="708">
        <v>159.405</v>
      </c>
      <c r="F173" s="717" t="s">
        <v>596</v>
      </c>
      <c r="G173" s="711" t="s">
        <v>517</v>
      </c>
      <c r="H173" s="736" t="s">
        <v>891</v>
      </c>
      <c r="I173" s="736"/>
      <c r="J173" s="736"/>
      <c r="K173" s="736"/>
      <c r="L173" s="736"/>
      <c r="M173" s="736"/>
      <c r="N173" s="736"/>
      <c r="O173" s="736"/>
      <c r="P173" s="736"/>
      <c r="Q173" s="736"/>
      <c r="R173" s="736"/>
      <c r="S173" s="736"/>
      <c r="T173" s="736"/>
      <c r="U173" s="736"/>
    </row>
    <row r="174">
      <c r="A174" s="737" t="s">
        <v>892</v>
      </c>
      <c r="B174" s="735" t="s">
        <v>599</v>
      </c>
      <c r="C174" s="708">
        <v>172.4</v>
      </c>
      <c r="D174" s="714">
        <v>0.0</v>
      </c>
      <c r="E174" s="708">
        <v>164.125</v>
      </c>
      <c r="F174" s="717">
        <v>0.0</v>
      </c>
      <c r="G174" s="711" t="s">
        <v>517</v>
      </c>
      <c r="H174" s="736" t="s">
        <v>893</v>
      </c>
      <c r="I174" s="736"/>
      <c r="J174" s="736"/>
      <c r="K174" s="736"/>
      <c r="L174" s="736"/>
      <c r="M174" s="736"/>
      <c r="N174" s="736"/>
      <c r="O174" s="736"/>
      <c r="P174" s="736"/>
      <c r="Q174" s="736"/>
      <c r="R174" s="736"/>
      <c r="S174" s="736"/>
      <c r="T174" s="736"/>
      <c r="U174" s="736"/>
    </row>
    <row r="175">
      <c r="A175" s="737" t="s">
        <v>894</v>
      </c>
      <c r="B175" s="735" t="s">
        <v>599</v>
      </c>
      <c r="C175" s="708">
        <v>153.785</v>
      </c>
      <c r="D175" s="734" t="s">
        <v>688</v>
      </c>
      <c r="E175" s="708">
        <v>158.895</v>
      </c>
      <c r="F175" s="717" t="s">
        <v>688</v>
      </c>
      <c r="G175" s="711" t="s">
        <v>517</v>
      </c>
      <c r="H175" s="736" t="s">
        <v>895</v>
      </c>
      <c r="I175" s="736"/>
      <c r="J175" s="736"/>
      <c r="K175" s="736"/>
      <c r="L175" s="736"/>
      <c r="M175" s="736"/>
      <c r="N175" s="736"/>
      <c r="O175" s="736"/>
      <c r="P175" s="736"/>
      <c r="Q175" s="736"/>
      <c r="R175" s="736"/>
      <c r="S175" s="736"/>
      <c r="T175" s="736"/>
      <c r="U175" s="736"/>
    </row>
    <row r="176">
      <c r="A176" s="737" t="s">
        <v>896</v>
      </c>
      <c r="B176" s="735" t="s">
        <v>599</v>
      </c>
      <c r="C176" s="708">
        <v>155.625</v>
      </c>
      <c r="D176" s="734" t="s">
        <v>688</v>
      </c>
      <c r="E176" s="708">
        <v>158.85</v>
      </c>
      <c r="F176" s="717" t="s">
        <v>688</v>
      </c>
      <c r="G176" s="711" t="s">
        <v>517</v>
      </c>
      <c r="H176" s="736" t="s">
        <v>895</v>
      </c>
      <c r="I176" s="736"/>
      <c r="J176" s="736"/>
      <c r="K176" s="736"/>
      <c r="L176" s="736"/>
      <c r="M176" s="736"/>
      <c r="N176" s="736"/>
      <c r="O176" s="736"/>
      <c r="P176" s="736"/>
      <c r="Q176" s="736"/>
      <c r="R176" s="736"/>
      <c r="S176" s="736"/>
      <c r="T176" s="736"/>
      <c r="U176" s="736"/>
    </row>
    <row r="177">
      <c r="A177" s="737" t="s">
        <v>897</v>
      </c>
      <c r="B177" s="707" t="s">
        <v>542</v>
      </c>
      <c r="C177" s="708">
        <v>154.89</v>
      </c>
      <c r="D177" s="734" t="s">
        <v>688</v>
      </c>
      <c r="E177" s="708">
        <v>154.89</v>
      </c>
      <c r="F177" s="717" t="s">
        <v>688</v>
      </c>
      <c r="G177" s="711" t="s">
        <v>517</v>
      </c>
      <c r="H177" s="736" t="s">
        <v>898</v>
      </c>
      <c r="I177" s="736"/>
      <c r="J177" s="736"/>
      <c r="K177" s="736"/>
      <c r="L177" s="736"/>
      <c r="M177" s="736"/>
      <c r="N177" s="736"/>
      <c r="O177" s="736"/>
      <c r="P177" s="736"/>
      <c r="Q177" s="736"/>
      <c r="R177" s="736"/>
      <c r="S177" s="736"/>
      <c r="T177" s="736"/>
      <c r="U177" s="736"/>
    </row>
    <row r="178">
      <c r="A178" s="737" t="s">
        <v>899</v>
      </c>
      <c r="B178" s="707" t="s">
        <v>542</v>
      </c>
      <c r="C178" s="708">
        <v>154.4</v>
      </c>
      <c r="D178" s="734" t="s">
        <v>900</v>
      </c>
      <c r="E178" s="708">
        <v>154.4</v>
      </c>
      <c r="F178" s="734" t="s">
        <v>900</v>
      </c>
      <c r="G178" s="711" t="s">
        <v>517</v>
      </c>
      <c r="H178" s="736" t="s">
        <v>901</v>
      </c>
      <c r="I178" s="736"/>
      <c r="J178" s="736"/>
      <c r="K178" s="736"/>
      <c r="L178" s="736"/>
      <c r="M178" s="736"/>
      <c r="N178" s="736"/>
      <c r="O178" s="736"/>
      <c r="P178" s="736"/>
      <c r="Q178" s="736"/>
      <c r="R178" s="736"/>
      <c r="S178" s="736"/>
      <c r="T178" s="736"/>
      <c r="U178" s="736"/>
    </row>
    <row r="179">
      <c r="A179" s="737" t="s">
        <v>902</v>
      </c>
      <c r="B179" s="735" t="s">
        <v>612</v>
      </c>
      <c r="C179" s="708">
        <v>152.15</v>
      </c>
      <c r="D179" s="734" t="s">
        <v>900</v>
      </c>
      <c r="E179" s="708">
        <v>158.61</v>
      </c>
      <c r="F179" s="734" t="s">
        <v>900</v>
      </c>
      <c r="G179" s="711" t="s">
        <v>517</v>
      </c>
      <c r="H179" s="736" t="s">
        <v>903</v>
      </c>
      <c r="I179" s="736"/>
      <c r="J179" s="736"/>
      <c r="K179" s="736"/>
      <c r="L179" s="736"/>
      <c r="M179" s="736"/>
      <c r="N179" s="736"/>
      <c r="O179" s="736"/>
      <c r="P179" s="736"/>
      <c r="Q179" s="736"/>
      <c r="R179" s="736"/>
      <c r="S179" s="736"/>
      <c r="T179" s="736"/>
      <c r="U179" s="736"/>
    </row>
    <row r="180">
      <c r="A180" s="737" t="s">
        <v>904</v>
      </c>
      <c r="B180" s="735" t="s">
        <v>612</v>
      </c>
      <c r="C180" s="708">
        <v>154.415</v>
      </c>
      <c r="D180" s="734" t="s">
        <v>900</v>
      </c>
      <c r="E180" s="708">
        <v>154.415</v>
      </c>
      <c r="F180" s="734" t="s">
        <v>900</v>
      </c>
      <c r="G180" s="711" t="s">
        <v>517</v>
      </c>
      <c r="H180" s="736"/>
      <c r="I180" s="736"/>
      <c r="J180" s="736"/>
      <c r="K180" s="736"/>
      <c r="L180" s="736"/>
      <c r="M180" s="736"/>
      <c r="N180" s="736"/>
      <c r="O180" s="736"/>
      <c r="P180" s="736"/>
      <c r="Q180" s="736"/>
      <c r="R180" s="736"/>
      <c r="S180" s="736"/>
      <c r="T180" s="736"/>
      <c r="U180" s="736"/>
    </row>
    <row r="181">
      <c r="A181" s="737" t="s">
        <v>905</v>
      </c>
      <c r="B181" s="735" t="s">
        <v>612</v>
      </c>
      <c r="C181" s="708">
        <v>154.43</v>
      </c>
      <c r="D181" s="734" t="s">
        <v>900</v>
      </c>
      <c r="E181" s="708">
        <v>154.43</v>
      </c>
      <c r="F181" s="734" t="s">
        <v>900</v>
      </c>
      <c r="G181" s="711" t="s">
        <v>517</v>
      </c>
      <c r="H181" s="736"/>
      <c r="I181" s="736"/>
      <c r="J181" s="736"/>
      <c r="K181" s="736"/>
      <c r="L181" s="736"/>
      <c r="M181" s="736"/>
      <c r="N181" s="736"/>
      <c r="O181" s="736"/>
      <c r="P181" s="736"/>
      <c r="Q181" s="736"/>
      <c r="R181" s="736"/>
      <c r="S181" s="736"/>
      <c r="T181" s="736"/>
      <c r="U181" s="736"/>
    </row>
    <row r="182">
      <c r="A182" s="737" t="s">
        <v>906</v>
      </c>
      <c r="B182" s="735" t="s">
        <v>612</v>
      </c>
      <c r="C182" s="708">
        <v>158.97</v>
      </c>
      <c r="D182" s="734" t="s">
        <v>900</v>
      </c>
      <c r="E182" s="708">
        <v>158.97</v>
      </c>
      <c r="F182" s="734" t="s">
        <v>900</v>
      </c>
      <c r="G182" s="711" t="s">
        <v>517</v>
      </c>
      <c r="H182" s="736"/>
      <c r="I182" s="736"/>
      <c r="J182" s="736"/>
      <c r="K182" s="736"/>
      <c r="L182" s="736"/>
      <c r="M182" s="736"/>
      <c r="N182" s="736"/>
      <c r="O182" s="736"/>
      <c r="P182" s="736"/>
      <c r="Q182" s="736"/>
      <c r="R182" s="736"/>
      <c r="S182" s="736"/>
      <c r="T182" s="736"/>
      <c r="U182" s="736"/>
    </row>
    <row r="183">
      <c r="A183" s="737" t="s">
        <v>907</v>
      </c>
      <c r="B183" s="735" t="s">
        <v>612</v>
      </c>
      <c r="C183" s="708">
        <v>159.09</v>
      </c>
      <c r="D183" s="734" t="s">
        <v>900</v>
      </c>
      <c r="E183" s="708">
        <v>159.09</v>
      </c>
      <c r="F183" s="734" t="s">
        <v>900</v>
      </c>
      <c r="G183" s="711" t="s">
        <v>517</v>
      </c>
      <c r="H183" s="736"/>
      <c r="I183" s="736"/>
      <c r="J183" s="736"/>
      <c r="K183" s="736"/>
      <c r="L183" s="736"/>
      <c r="M183" s="736"/>
      <c r="N183" s="736"/>
      <c r="O183" s="736"/>
      <c r="P183" s="736"/>
      <c r="Q183" s="736"/>
      <c r="R183" s="736"/>
      <c r="S183" s="736"/>
      <c r="T183" s="736"/>
      <c r="U183" s="736"/>
    </row>
    <row r="184">
      <c r="A184" s="737" t="s">
        <v>908</v>
      </c>
      <c r="B184" s="735" t="s">
        <v>612</v>
      </c>
      <c r="C184" s="708">
        <v>152.24</v>
      </c>
      <c r="D184" s="734" t="s">
        <v>900</v>
      </c>
      <c r="E184" s="708">
        <v>158.7</v>
      </c>
      <c r="F184" s="734" t="s">
        <v>900</v>
      </c>
      <c r="G184" s="711" t="s">
        <v>517</v>
      </c>
      <c r="H184" s="736" t="s">
        <v>909</v>
      </c>
      <c r="I184" s="736"/>
      <c r="J184" s="736"/>
      <c r="K184" s="736"/>
      <c r="L184" s="736"/>
      <c r="M184" s="736"/>
      <c r="N184" s="736"/>
      <c r="O184" s="736"/>
      <c r="P184" s="736"/>
      <c r="Q184" s="736"/>
      <c r="R184" s="736"/>
      <c r="S184" s="736"/>
      <c r="T184" s="736"/>
      <c r="U184" s="736"/>
    </row>
    <row r="185">
      <c r="A185" s="737" t="s">
        <v>910</v>
      </c>
      <c r="B185" s="735" t="s">
        <v>612</v>
      </c>
      <c r="C185" s="708">
        <v>152.54</v>
      </c>
      <c r="D185" s="734" t="s">
        <v>900</v>
      </c>
      <c r="E185" s="708">
        <v>157.8</v>
      </c>
      <c r="F185" s="734" t="s">
        <v>900</v>
      </c>
      <c r="G185" s="711" t="s">
        <v>517</v>
      </c>
      <c r="H185" s="736" t="s">
        <v>911</v>
      </c>
      <c r="I185" s="736"/>
      <c r="J185" s="736"/>
      <c r="K185" s="736"/>
      <c r="L185" s="736"/>
      <c r="M185" s="736"/>
      <c r="N185" s="736"/>
      <c r="O185" s="736"/>
      <c r="P185" s="736"/>
      <c r="Q185" s="736"/>
      <c r="R185" s="736"/>
      <c r="S185" s="736"/>
      <c r="T185" s="736"/>
      <c r="U185" s="736"/>
    </row>
    <row r="186">
      <c r="A186" s="737" t="s">
        <v>912</v>
      </c>
      <c r="B186" s="735" t="s">
        <v>612</v>
      </c>
      <c r="C186" s="708">
        <v>152.57</v>
      </c>
      <c r="D186" s="734" t="s">
        <v>900</v>
      </c>
      <c r="E186" s="708">
        <v>157.83</v>
      </c>
      <c r="F186" s="734" t="s">
        <v>900</v>
      </c>
      <c r="G186" s="711" t="s">
        <v>517</v>
      </c>
      <c r="H186" s="736" t="s">
        <v>913</v>
      </c>
      <c r="I186" s="736"/>
      <c r="J186" s="736"/>
      <c r="K186" s="736"/>
      <c r="L186" s="736"/>
      <c r="M186" s="736"/>
      <c r="N186" s="736"/>
      <c r="O186" s="736"/>
      <c r="P186" s="736"/>
      <c r="Q186" s="736"/>
      <c r="R186" s="736"/>
      <c r="S186" s="736"/>
      <c r="T186" s="736"/>
      <c r="U186" s="736"/>
    </row>
    <row r="187">
      <c r="A187" s="737" t="s">
        <v>914</v>
      </c>
      <c r="B187" s="735" t="s">
        <v>612</v>
      </c>
      <c r="C187" s="708">
        <v>152.78</v>
      </c>
      <c r="D187" s="734" t="s">
        <v>900</v>
      </c>
      <c r="E187" s="708">
        <v>158.04</v>
      </c>
      <c r="F187" s="734" t="s">
        <v>900</v>
      </c>
      <c r="G187" s="711" t="s">
        <v>517</v>
      </c>
      <c r="H187" s="736" t="s">
        <v>915</v>
      </c>
      <c r="I187" s="736"/>
      <c r="J187" s="736"/>
      <c r="K187" s="736"/>
      <c r="L187" s="736"/>
      <c r="M187" s="736"/>
      <c r="N187" s="736"/>
      <c r="O187" s="736"/>
      <c r="P187" s="736"/>
      <c r="Q187" s="736"/>
      <c r="R187" s="736"/>
      <c r="S187" s="736"/>
      <c r="T187" s="736"/>
      <c r="U187" s="736"/>
    </row>
    <row r="188">
      <c r="A188" s="737" t="s">
        <v>916</v>
      </c>
      <c r="B188" s="735" t="s">
        <v>612</v>
      </c>
      <c r="C188" s="708">
        <v>153.89</v>
      </c>
      <c r="D188" s="734" t="s">
        <v>900</v>
      </c>
      <c r="E188" s="708">
        <v>153.89</v>
      </c>
      <c r="F188" s="734" t="s">
        <v>900</v>
      </c>
      <c r="G188" s="711" t="s">
        <v>517</v>
      </c>
      <c r="H188" s="736"/>
      <c r="I188" s="736"/>
      <c r="J188" s="736"/>
      <c r="K188" s="736"/>
      <c r="L188" s="736"/>
      <c r="M188" s="736"/>
      <c r="N188" s="736"/>
      <c r="O188" s="736"/>
      <c r="P188" s="736"/>
      <c r="Q188" s="736"/>
      <c r="R188" s="736"/>
      <c r="S188" s="736"/>
      <c r="T188" s="736"/>
      <c r="U188" s="736"/>
    </row>
    <row r="189">
      <c r="A189" s="737" t="s">
        <v>917</v>
      </c>
      <c r="B189" s="735" t="s">
        <v>612</v>
      </c>
      <c r="C189" s="708">
        <v>154.07</v>
      </c>
      <c r="D189" s="734" t="s">
        <v>900</v>
      </c>
      <c r="E189" s="708">
        <v>154.07</v>
      </c>
      <c r="F189" s="734" t="s">
        <v>900</v>
      </c>
      <c r="G189" s="711" t="s">
        <v>517</v>
      </c>
      <c r="H189" s="736"/>
      <c r="I189" s="736"/>
      <c r="J189" s="736"/>
      <c r="K189" s="736"/>
      <c r="L189" s="736"/>
      <c r="M189" s="736"/>
      <c r="N189" s="736"/>
      <c r="O189" s="736"/>
      <c r="P189" s="736"/>
      <c r="Q189" s="736"/>
      <c r="R189" s="736"/>
      <c r="S189" s="736"/>
      <c r="T189" s="736"/>
      <c r="U189" s="736"/>
    </row>
    <row r="190">
      <c r="A190" s="737" t="s">
        <v>918</v>
      </c>
      <c r="B190" s="735" t="s">
        <v>612</v>
      </c>
      <c r="C190" s="708">
        <v>154.34</v>
      </c>
      <c r="D190" s="714">
        <v>0.0</v>
      </c>
      <c r="E190" s="708">
        <v>154.34</v>
      </c>
      <c r="F190" s="734" t="s">
        <v>900</v>
      </c>
      <c r="G190" s="711" t="s">
        <v>517</v>
      </c>
      <c r="H190" s="736"/>
      <c r="I190" s="736"/>
      <c r="J190" s="736"/>
      <c r="K190" s="736"/>
      <c r="L190" s="736"/>
      <c r="M190" s="736"/>
      <c r="N190" s="736"/>
      <c r="O190" s="736"/>
      <c r="P190" s="736"/>
      <c r="Q190" s="736"/>
      <c r="R190" s="736"/>
      <c r="S190" s="736"/>
      <c r="T190" s="736"/>
      <c r="U190" s="736"/>
    </row>
    <row r="191">
      <c r="A191" s="737" t="s">
        <v>919</v>
      </c>
      <c r="B191" s="707" t="s">
        <v>542</v>
      </c>
      <c r="C191" s="708">
        <v>154.83</v>
      </c>
      <c r="D191" s="734" t="s">
        <v>920</v>
      </c>
      <c r="E191" s="708">
        <v>154.83</v>
      </c>
      <c r="F191" s="734" t="s">
        <v>920</v>
      </c>
      <c r="G191" s="711" t="s">
        <v>517</v>
      </c>
      <c r="H191" s="736" t="s">
        <v>921</v>
      </c>
      <c r="I191" s="736"/>
      <c r="J191" s="736"/>
      <c r="K191" s="736"/>
      <c r="L191" s="736"/>
      <c r="M191" s="736"/>
      <c r="N191" s="736"/>
      <c r="O191" s="736"/>
      <c r="P191" s="736"/>
      <c r="Q191" s="736"/>
      <c r="R191" s="736"/>
      <c r="S191" s="736"/>
      <c r="T191" s="736"/>
      <c r="U191" s="736"/>
    </row>
    <row r="192">
      <c r="A192" s="737" t="s">
        <v>922</v>
      </c>
      <c r="B192" s="735" t="s">
        <v>599</v>
      </c>
      <c r="C192" s="708">
        <v>151.25</v>
      </c>
      <c r="D192" s="734" t="s">
        <v>721</v>
      </c>
      <c r="E192" s="708">
        <v>159.405</v>
      </c>
      <c r="F192" s="717" t="s">
        <v>596</v>
      </c>
      <c r="G192" s="711" t="s">
        <v>517</v>
      </c>
      <c r="H192" s="736" t="s">
        <v>923</v>
      </c>
      <c r="I192" s="736"/>
      <c r="J192" s="736"/>
      <c r="K192" s="736"/>
      <c r="L192" s="736"/>
      <c r="M192" s="736"/>
      <c r="N192" s="736"/>
      <c r="O192" s="736"/>
      <c r="P192" s="736"/>
      <c r="Q192" s="736"/>
      <c r="R192" s="736"/>
      <c r="S192" s="736"/>
      <c r="T192" s="736"/>
      <c r="U192" s="736"/>
    </row>
    <row r="193">
      <c r="A193" s="737" t="s">
        <v>924</v>
      </c>
      <c r="B193" s="735" t="s">
        <v>599</v>
      </c>
      <c r="C193" s="708">
        <v>169.95</v>
      </c>
      <c r="D193" s="714">
        <v>0.0</v>
      </c>
      <c r="E193" s="708">
        <v>164.1</v>
      </c>
      <c r="F193" s="717">
        <v>0.0</v>
      </c>
      <c r="G193" s="711" t="s">
        <v>517</v>
      </c>
      <c r="H193" s="736" t="s">
        <v>925</v>
      </c>
      <c r="I193" s="736"/>
      <c r="J193" s="736"/>
      <c r="K193" s="736"/>
      <c r="L193" s="736"/>
      <c r="M193" s="736"/>
      <c r="N193" s="736"/>
      <c r="O193" s="736"/>
      <c r="P193" s="736"/>
      <c r="Q193" s="736"/>
      <c r="R193" s="736"/>
      <c r="S193" s="736"/>
      <c r="T193" s="736"/>
      <c r="U193" s="736"/>
    </row>
    <row r="194">
      <c r="A194" s="737" t="s">
        <v>926</v>
      </c>
      <c r="B194" s="735" t="s">
        <v>599</v>
      </c>
      <c r="C194" s="708">
        <v>151.34</v>
      </c>
      <c r="D194" s="734" t="s">
        <v>724</v>
      </c>
      <c r="E194" s="708">
        <v>159.315</v>
      </c>
      <c r="F194" s="717" t="s">
        <v>596</v>
      </c>
      <c r="G194" s="711" t="s">
        <v>517</v>
      </c>
      <c r="H194" s="736" t="s">
        <v>927</v>
      </c>
      <c r="I194" s="736"/>
      <c r="J194" s="736"/>
      <c r="K194" s="736"/>
      <c r="L194" s="736"/>
      <c r="M194" s="736"/>
      <c r="N194" s="736"/>
      <c r="O194" s="736"/>
      <c r="P194" s="736"/>
      <c r="Q194" s="736"/>
      <c r="R194" s="736"/>
      <c r="S194" s="736"/>
      <c r="T194" s="736"/>
      <c r="U194" s="736"/>
    </row>
    <row r="195">
      <c r="A195" s="737" t="s">
        <v>928</v>
      </c>
      <c r="B195" s="735" t="s">
        <v>599</v>
      </c>
      <c r="C195" s="708">
        <v>151.46</v>
      </c>
      <c r="D195" s="734" t="s">
        <v>724</v>
      </c>
      <c r="E195" s="708">
        <v>159.39</v>
      </c>
      <c r="F195" s="717" t="s">
        <v>596</v>
      </c>
      <c r="G195" s="711" t="s">
        <v>517</v>
      </c>
      <c r="H195" s="736" t="s">
        <v>929</v>
      </c>
      <c r="I195" s="736"/>
      <c r="J195" s="736"/>
      <c r="K195" s="736"/>
      <c r="L195" s="736"/>
      <c r="M195" s="736"/>
      <c r="N195" s="736"/>
      <c r="O195" s="736"/>
      <c r="P195" s="736"/>
      <c r="Q195" s="736"/>
      <c r="R195" s="736"/>
      <c r="S195" s="736"/>
      <c r="T195" s="736"/>
      <c r="U195" s="736"/>
    </row>
    <row r="196">
      <c r="A196" s="737" t="s">
        <v>930</v>
      </c>
      <c r="B196" s="735" t="s">
        <v>599</v>
      </c>
      <c r="C196" s="708">
        <v>171.5</v>
      </c>
      <c r="D196" s="714">
        <v>0.0</v>
      </c>
      <c r="E196" s="708">
        <v>164.825</v>
      </c>
      <c r="F196" s="717">
        <v>0.0</v>
      </c>
      <c r="G196" s="711" t="s">
        <v>517</v>
      </c>
      <c r="H196" s="736" t="s">
        <v>931</v>
      </c>
      <c r="I196" s="736"/>
      <c r="J196" s="736"/>
      <c r="K196" s="736"/>
      <c r="L196" s="736"/>
      <c r="M196" s="736"/>
      <c r="N196" s="736"/>
      <c r="O196" s="736"/>
      <c r="P196" s="736"/>
      <c r="Q196" s="736"/>
      <c r="R196" s="736"/>
      <c r="S196" s="736"/>
      <c r="T196" s="736"/>
      <c r="U196" s="736"/>
    </row>
    <row r="197">
      <c r="A197" s="737" t="s">
        <v>932</v>
      </c>
      <c r="B197" s="735" t="s">
        <v>599</v>
      </c>
      <c r="C197" s="708">
        <v>169.95</v>
      </c>
      <c r="D197" s="714">
        <v>0.0</v>
      </c>
      <c r="E197" s="708">
        <v>164.1</v>
      </c>
      <c r="F197" s="717">
        <v>0.0</v>
      </c>
      <c r="G197" s="711" t="s">
        <v>517</v>
      </c>
      <c r="H197" s="736" t="s">
        <v>933</v>
      </c>
      <c r="I197" s="736"/>
      <c r="J197" s="736"/>
      <c r="K197" s="736"/>
      <c r="L197" s="736"/>
      <c r="M197" s="736"/>
      <c r="N197" s="736"/>
      <c r="O197" s="736"/>
      <c r="P197" s="736"/>
      <c r="Q197" s="736"/>
      <c r="R197" s="736"/>
      <c r="S197" s="736"/>
      <c r="T197" s="736"/>
      <c r="U197" s="736"/>
    </row>
    <row r="198">
      <c r="A198" s="737" t="s">
        <v>934</v>
      </c>
      <c r="B198" s="735" t="s">
        <v>599</v>
      </c>
      <c r="C198" s="708">
        <v>151.385</v>
      </c>
      <c r="D198" s="734" t="s">
        <v>718</v>
      </c>
      <c r="E198" s="708">
        <v>159.27</v>
      </c>
      <c r="F198" s="717" t="s">
        <v>596</v>
      </c>
      <c r="G198" s="711" t="s">
        <v>517</v>
      </c>
      <c r="H198" s="736" t="s">
        <v>935</v>
      </c>
      <c r="I198" s="736"/>
      <c r="J198" s="736"/>
      <c r="K198" s="736"/>
      <c r="L198" s="736"/>
      <c r="M198" s="736"/>
      <c r="N198" s="736"/>
      <c r="O198" s="736"/>
      <c r="P198" s="736"/>
      <c r="Q198" s="736"/>
      <c r="R198" s="736"/>
      <c r="S198" s="736"/>
      <c r="T198" s="736"/>
      <c r="U198" s="736"/>
    </row>
    <row r="199">
      <c r="A199" s="737" t="s">
        <v>936</v>
      </c>
      <c r="B199" s="735" t="s">
        <v>599</v>
      </c>
      <c r="C199" s="708">
        <v>151.46</v>
      </c>
      <c r="D199" s="734" t="s">
        <v>721</v>
      </c>
      <c r="E199" s="708">
        <v>159.39</v>
      </c>
      <c r="F199" s="717" t="s">
        <v>596</v>
      </c>
      <c r="G199" s="711" t="s">
        <v>517</v>
      </c>
      <c r="H199" s="736" t="s">
        <v>937</v>
      </c>
      <c r="I199" s="736"/>
      <c r="J199" s="736"/>
      <c r="K199" s="736"/>
      <c r="L199" s="736"/>
      <c r="M199" s="736"/>
      <c r="N199" s="736"/>
      <c r="O199" s="736"/>
      <c r="P199" s="736"/>
      <c r="Q199" s="736"/>
      <c r="R199" s="736"/>
      <c r="S199" s="736"/>
      <c r="T199" s="736"/>
      <c r="U199" s="736"/>
    </row>
    <row r="200">
      <c r="A200" s="737" t="s">
        <v>938</v>
      </c>
      <c r="B200" s="735" t="s">
        <v>599</v>
      </c>
      <c r="C200" s="708">
        <v>151.1525</v>
      </c>
      <c r="D200" s="734" t="s">
        <v>721</v>
      </c>
      <c r="E200" s="708">
        <v>159.3375</v>
      </c>
      <c r="F200" s="717" t="s">
        <v>596</v>
      </c>
      <c r="G200" s="711" t="s">
        <v>517</v>
      </c>
      <c r="H200" s="736" t="s">
        <v>939</v>
      </c>
      <c r="I200" s="736"/>
      <c r="J200" s="736"/>
      <c r="K200" s="736"/>
      <c r="L200" s="736"/>
      <c r="M200" s="736"/>
      <c r="N200" s="736"/>
      <c r="O200" s="736"/>
      <c r="P200" s="736"/>
      <c r="Q200" s="736"/>
      <c r="R200" s="736"/>
      <c r="S200" s="736"/>
      <c r="T200" s="736"/>
      <c r="U200" s="736"/>
    </row>
    <row r="201">
      <c r="A201" s="737" t="s">
        <v>940</v>
      </c>
      <c r="B201" s="735" t="s">
        <v>599</v>
      </c>
      <c r="C201" s="708">
        <v>172.4</v>
      </c>
      <c r="D201" s="714">
        <v>0.0</v>
      </c>
      <c r="E201" s="708">
        <v>164.125</v>
      </c>
      <c r="F201" s="717">
        <v>0.0</v>
      </c>
      <c r="G201" s="711" t="s">
        <v>517</v>
      </c>
      <c r="H201" s="736" t="s">
        <v>941</v>
      </c>
      <c r="I201" s="736"/>
      <c r="J201" s="736"/>
      <c r="K201" s="736"/>
      <c r="L201" s="736"/>
      <c r="M201" s="736"/>
      <c r="N201" s="736"/>
      <c r="O201" s="736"/>
      <c r="P201" s="736"/>
      <c r="Q201" s="736"/>
      <c r="R201" s="736"/>
      <c r="S201" s="736"/>
      <c r="T201" s="736"/>
      <c r="U201" s="736"/>
    </row>
    <row r="202">
      <c r="A202" s="737" t="s">
        <v>942</v>
      </c>
      <c r="B202" s="735" t="s">
        <v>599</v>
      </c>
      <c r="C202" s="708">
        <v>151.04</v>
      </c>
      <c r="D202" s="734" t="s">
        <v>669</v>
      </c>
      <c r="E202" s="708">
        <v>159.18</v>
      </c>
      <c r="F202" s="717" t="s">
        <v>596</v>
      </c>
      <c r="G202" s="711" t="s">
        <v>517</v>
      </c>
      <c r="H202" s="736" t="s">
        <v>943</v>
      </c>
      <c r="I202" s="736"/>
      <c r="J202" s="736"/>
      <c r="K202" s="736"/>
      <c r="L202" s="736"/>
      <c r="M202" s="736"/>
      <c r="N202" s="736"/>
      <c r="O202" s="736"/>
      <c r="P202" s="736"/>
      <c r="Q202" s="736"/>
      <c r="R202" s="736"/>
      <c r="S202" s="736"/>
      <c r="T202" s="736"/>
      <c r="U202" s="736"/>
    </row>
    <row r="203">
      <c r="A203" s="737" t="s">
        <v>944</v>
      </c>
      <c r="B203" s="735" t="s">
        <v>599</v>
      </c>
      <c r="C203" s="708">
        <v>151.19</v>
      </c>
      <c r="D203" s="734" t="s">
        <v>837</v>
      </c>
      <c r="E203" s="708">
        <v>159.225</v>
      </c>
      <c r="F203" s="717" t="s">
        <v>596</v>
      </c>
      <c r="G203" s="711" t="s">
        <v>517</v>
      </c>
      <c r="H203" s="736" t="s">
        <v>945</v>
      </c>
      <c r="I203" s="736"/>
      <c r="J203" s="736"/>
      <c r="K203" s="736"/>
      <c r="L203" s="736"/>
      <c r="M203" s="736"/>
      <c r="N203" s="736"/>
      <c r="O203" s="736"/>
      <c r="P203" s="736"/>
      <c r="Q203" s="736"/>
      <c r="R203" s="736"/>
      <c r="S203" s="736"/>
      <c r="T203" s="736"/>
      <c r="U203" s="736"/>
    </row>
    <row r="204">
      <c r="A204" s="737" t="s">
        <v>946</v>
      </c>
      <c r="B204" s="735" t="s">
        <v>599</v>
      </c>
      <c r="C204" s="708">
        <v>151.3325</v>
      </c>
      <c r="D204" s="734" t="s">
        <v>837</v>
      </c>
      <c r="E204" s="708">
        <v>159.2775</v>
      </c>
      <c r="F204" s="717" t="s">
        <v>596</v>
      </c>
      <c r="G204" s="711" t="s">
        <v>517</v>
      </c>
      <c r="H204" s="736" t="s">
        <v>947</v>
      </c>
      <c r="I204" s="736"/>
      <c r="J204" s="736"/>
      <c r="K204" s="736"/>
      <c r="L204" s="736"/>
      <c r="M204" s="736"/>
      <c r="N204" s="736"/>
      <c r="O204" s="736"/>
      <c r="P204" s="736"/>
      <c r="Q204" s="736"/>
      <c r="R204" s="736"/>
      <c r="S204" s="736"/>
      <c r="T204" s="736"/>
      <c r="U204" s="736"/>
    </row>
    <row r="205">
      <c r="A205" s="737" t="s">
        <v>948</v>
      </c>
      <c r="B205" s="735" t="s">
        <v>599</v>
      </c>
      <c r="C205" s="708">
        <v>154.13</v>
      </c>
      <c r="D205" s="734" t="s">
        <v>837</v>
      </c>
      <c r="E205" s="708">
        <v>159.495</v>
      </c>
      <c r="F205" s="717" t="s">
        <v>596</v>
      </c>
      <c r="G205" s="711" t="s">
        <v>517</v>
      </c>
      <c r="H205" s="736" t="s">
        <v>949</v>
      </c>
      <c r="I205" s="736"/>
      <c r="J205" s="736"/>
      <c r="K205" s="736"/>
      <c r="L205" s="736"/>
      <c r="M205" s="736"/>
      <c r="N205" s="736"/>
      <c r="O205" s="736"/>
      <c r="P205" s="736"/>
      <c r="Q205" s="736"/>
      <c r="R205" s="736"/>
      <c r="S205" s="736"/>
      <c r="T205" s="736"/>
      <c r="U205" s="736"/>
    </row>
    <row r="206">
      <c r="A206" s="737" t="s">
        <v>950</v>
      </c>
      <c r="B206" s="735" t="s">
        <v>599</v>
      </c>
      <c r="C206" s="708">
        <v>151.325</v>
      </c>
      <c r="D206" s="734" t="s">
        <v>837</v>
      </c>
      <c r="E206" s="708">
        <v>159.36</v>
      </c>
      <c r="F206" s="717" t="s">
        <v>596</v>
      </c>
      <c r="G206" s="711" t="s">
        <v>517</v>
      </c>
      <c r="H206" s="736" t="s">
        <v>951</v>
      </c>
      <c r="I206" s="736"/>
      <c r="J206" s="736"/>
      <c r="K206" s="736"/>
      <c r="L206" s="736"/>
      <c r="M206" s="736"/>
      <c r="N206" s="736"/>
      <c r="O206" s="736"/>
      <c r="P206" s="736"/>
      <c r="Q206" s="736"/>
      <c r="R206" s="736"/>
      <c r="S206" s="736"/>
      <c r="T206" s="736"/>
      <c r="U206" s="736"/>
    </row>
    <row r="207">
      <c r="A207" s="737" t="s">
        <v>952</v>
      </c>
      <c r="B207" s="735" t="s">
        <v>599</v>
      </c>
      <c r="C207" s="708">
        <v>153.965</v>
      </c>
      <c r="D207" s="734" t="s">
        <v>920</v>
      </c>
      <c r="E207" s="708">
        <v>156.33</v>
      </c>
      <c r="F207" s="717" t="s">
        <v>596</v>
      </c>
      <c r="G207" s="711" t="s">
        <v>517</v>
      </c>
      <c r="H207" s="736" t="s">
        <v>953</v>
      </c>
      <c r="I207" s="736"/>
      <c r="J207" s="736"/>
      <c r="K207" s="736"/>
      <c r="L207" s="736"/>
      <c r="M207" s="736"/>
      <c r="N207" s="736"/>
      <c r="O207" s="736"/>
      <c r="P207" s="736"/>
      <c r="Q207" s="736"/>
      <c r="R207" s="736"/>
      <c r="S207" s="736"/>
      <c r="T207" s="736"/>
      <c r="U207" s="736"/>
    </row>
    <row r="208">
      <c r="A208" s="737" t="s">
        <v>954</v>
      </c>
      <c r="B208" s="735" t="s">
        <v>494</v>
      </c>
      <c r="C208" s="708">
        <v>170.975</v>
      </c>
      <c r="D208" s="714">
        <v>0.0</v>
      </c>
      <c r="E208" s="708">
        <v>168.7</v>
      </c>
      <c r="F208" s="717" t="s">
        <v>596</v>
      </c>
      <c r="G208" s="711" t="s">
        <v>517</v>
      </c>
      <c r="H208" s="738"/>
      <c r="I208" s="739" t="s">
        <v>955</v>
      </c>
      <c r="J208" s="736"/>
      <c r="K208" s="736"/>
      <c r="L208" s="736"/>
      <c r="M208" s="736"/>
      <c r="N208" s="736"/>
      <c r="O208" s="736"/>
      <c r="P208" s="736"/>
      <c r="Q208" s="736"/>
      <c r="R208" s="736"/>
      <c r="S208" s="736"/>
      <c r="T208" s="736"/>
      <c r="U208" s="736"/>
    </row>
    <row r="209">
      <c r="A209" s="737" t="s">
        <v>956</v>
      </c>
      <c r="B209" s="735" t="s">
        <v>494</v>
      </c>
      <c r="C209" s="708">
        <v>170.4125</v>
      </c>
      <c r="D209" s="714">
        <v>0.0</v>
      </c>
      <c r="E209" s="708">
        <v>165.9625</v>
      </c>
      <c r="F209" s="717" t="s">
        <v>596</v>
      </c>
      <c r="G209" s="711" t="s">
        <v>517</v>
      </c>
      <c r="H209" s="740"/>
      <c r="I209" s="739" t="s">
        <v>957</v>
      </c>
      <c r="J209" s="736"/>
      <c r="K209" s="736"/>
      <c r="L209" s="736"/>
      <c r="M209" s="736"/>
      <c r="N209" s="736"/>
      <c r="O209" s="736"/>
      <c r="P209" s="736"/>
      <c r="Q209" s="736"/>
      <c r="R209" s="736"/>
      <c r="S209" s="736"/>
      <c r="T209" s="736"/>
      <c r="U209" s="736"/>
    </row>
    <row r="210">
      <c r="A210" s="737" t="s">
        <v>958</v>
      </c>
      <c r="B210" s="735" t="s">
        <v>494</v>
      </c>
      <c r="C210" s="708">
        <v>170.6875</v>
      </c>
      <c r="D210" s="714">
        <v>0.0</v>
      </c>
      <c r="E210" s="708">
        <v>166.575</v>
      </c>
      <c r="F210" s="717" t="s">
        <v>596</v>
      </c>
      <c r="G210" s="711" t="s">
        <v>517</v>
      </c>
      <c r="H210" s="741"/>
      <c r="I210" s="739" t="s">
        <v>959</v>
      </c>
      <c r="J210" s="736"/>
      <c r="K210" s="736"/>
      <c r="L210" s="736"/>
      <c r="M210" s="736"/>
      <c r="N210" s="736"/>
      <c r="O210" s="736"/>
      <c r="P210" s="736"/>
      <c r="Q210" s="736"/>
      <c r="R210" s="736"/>
      <c r="S210" s="736"/>
      <c r="T210" s="736"/>
      <c r="U210" s="736"/>
    </row>
    <row r="211">
      <c r="A211" s="737" t="s">
        <v>960</v>
      </c>
      <c r="B211" s="735" t="s">
        <v>494</v>
      </c>
      <c r="C211" s="708">
        <v>173.0375</v>
      </c>
      <c r="D211" s="714">
        <v>0.0</v>
      </c>
      <c r="E211" s="708">
        <v>167.325</v>
      </c>
      <c r="F211" s="717" t="s">
        <v>596</v>
      </c>
      <c r="G211" s="711" t="s">
        <v>517</v>
      </c>
      <c r="H211" s="742"/>
      <c r="I211" s="736"/>
      <c r="J211" s="736"/>
      <c r="K211" s="736"/>
      <c r="L211" s="736"/>
      <c r="M211" s="736"/>
      <c r="N211" s="736"/>
      <c r="O211" s="736"/>
      <c r="P211" s="736"/>
      <c r="Q211" s="736"/>
      <c r="R211" s="736"/>
      <c r="S211" s="736"/>
      <c r="T211" s="736"/>
      <c r="U211" s="736"/>
    </row>
    <row r="212">
      <c r="A212" s="737" t="s">
        <v>961</v>
      </c>
      <c r="B212" s="735" t="s">
        <v>494</v>
      </c>
      <c r="C212" s="708">
        <v>170.45</v>
      </c>
      <c r="D212" s="714">
        <v>0.0</v>
      </c>
      <c r="E212" s="708">
        <v>168.1</v>
      </c>
      <c r="F212" s="717" t="s">
        <v>596</v>
      </c>
      <c r="G212" s="711" t="s">
        <v>517</v>
      </c>
      <c r="H212" s="743"/>
      <c r="I212" s="736"/>
      <c r="J212" s="736"/>
      <c r="K212" s="736"/>
      <c r="L212" s="736"/>
      <c r="M212" s="736"/>
      <c r="N212" s="736"/>
      <c r="O212" s="736"/>
      <c r="P212" s="736"/>
      <c r="Q212" s="736"/>
      <c r="R212" s="736"/>
      <c r="S212" s="736"/>
      <c r="T212" s="736"/>
      <c r="U212" s="736"/>
    </row>
    <row r="213">
      <c r="A213" s="737" t="s">
        <v>962</v>
      </c>
      <c r="B213" s="735" t="s">
        <v>494</v>
      </c>
      <c r="C213" s="708">
        <v>170.425</v>
      </c>
      <c r="D213" s="714">
        <v>0.0</v>
      </c>
      <c r="E213" s="708">
        <v>168.075</v>
      </c>
      <c r="F213" s="717" t="s">
        <v>596</v>
      </c>
      <c r="G213" s="711" t="s">
        <v>517</v>
      </c>
      <c r="H213" s="740"/>
      <c r="I213" s="736"/>
      <c r="J213" s="736"/>
      <c r="K213" s="736"/>
      <c r="L213" s="736"/>
      <c r="M213" s="736"/>
      <c r="N213" s="736"/>
      <c r="O213" s="736"/>
      <c r="P213" s="736"/>
      <c r="Q213" s="736"/>
      <c r="R213" s="736"/>
      <c r="S213" s="736"/>
      <c r="T213" s="736"/>
      <c r="U213" s="736"/>
    </row>
    <row r="214">
      <c r="A214" s="737" t="s">
        <v>963</v>
      </c>
      <c r="B214" s="735" t="s">
        <v>494</v>
      </c>
      <c r="C214" s="708">
        <v>170.0</v>
      </c>
      <c r="D214" s="714">
        <v>0.0</v>
      </c>
      <c r="E214" s="708">
        <v>166.675</v>
      </c>
      <c r="F214" s="720">
        <v>0.0</v>
      </c>
      <c r="G214" s="711" t="s">
        <v>517</v>
      </c>
      <c r="H214" s="741"/>
      <c r="I214" s="736"/>
      <c r="J214" s="736"/>
      <c r="K214" s="736"/>
      <c r="L214" s="736"/>
      <c r="M214" s="736"/>
      <c r="N214" s="736"/>
      <c r="O214" s="736"/>
      <c r="P214" s="736"/>
      <c r="Q214" s="736"/>
      <c r="R214" s="736"/>
      <c r="S214" s="736"/>
      <c r="T214" s="736"/>
      <c r="U214" s="736"/>
    </row>
    <row r="215">
      <c r="A215" s="737" t="s">
        <v>964</v>
      </c>
      <c r="B215" s="735" t="s">
        <v>494</v>
      </c>
      <c r="C215" s="708">
        <v>169.75</v>
      </c>
      <c r="D215" s="714">
        <v>0.0</v>
      </c>
      <c r="E215" s="708">
        <v>167.1</v>
      </c>
      <c r="F215" s="717" t="s">
        <v>596</v>
      </c>
      <c r="G215" s="711" t="s">
        <v>517</v>
      </c>
      <c r="H215" s="742"/>
      <c r="I215" s="736"/>
      <c r="J215" s="736"/>
      <c r="K215" s="736"/>
      <c r="L215" s="736"/>
      <c r="M215" s="736"/>
      <c r="N215" s="736"/>
      <c r="O215" s="736"/>
      <c r="P215" s="736"/>
      <c r="Q215" s="736"/>
      <c r="R215" s="736"/>
      <c r="S215" s="736"/>
      <c r="T215" s="736"/>
      <c r="U215" s="736"/>
    </row>
    <row r="216">
      <c r="A216" s="737" t="s">
        <v>965</v>
      </c>
      <c r="B216" s="735" t="s">
        <v>494</v>
      </c>
      <c r="C216" s="708">
        <v>168.475</v>
      </c>
      <c r="D216" s="714">
        <v>0.0</v>
      </c>
      <c r="E216" s="708">
        <v>165.4</v>
      </c>
      <c r="F216" s="717" t="s">
        <v>596</v>
      </c>
      <c r="G216" s="711" t="s">
        <v>517</v>
      </c>
      <c r="H216" s="736"/>
      <c r="I216" s="736"/>
      <c r="J216" s="736"/>
      <c r="K216" s="736"/>
      <c r="L216" s="736"/>
      <c r="M216" s="736"/>
      <c r="N216" s="736"/>
      <c r="O216" s="736"/>
      <c r="P216" s="736"/>
      <c r="Q216" s="736"/>
      <c r="R216" s="736"/>
      <c r="S216" s="736"/>
      <c r="T216" s="736"/>
      <c r="U216" s="736"/>
    </row>
    <row r="217">
      <c r="A217" s="737" t="s">
        <v>966</v>
      </c>
      <c r="B217" s="735" t="s">
        <v>494</v>
      </c>
      <c r="C217" s="708">
        <v>169.5375</v>
      </c>
      <c r="D217" s="714">
        <v>0.0</v>
      </c>
      <c r="E217" s="708">
        <v>164.7125</v>
      </c>
      <c r="F217" s="717" t="s">
        <v>596</v>
      </c>
      <c r="G217" s="711" t="s">
        <v>517</v>
      </c>
      <c r="H217" s="743"/>
      <c r="I217" s="736"/>
      <c r="J217" s="736"/>
      <c r="K217" s="736"/>
      <c r="L217" s="736"/>
      <c r="M217" s="736"/>
      <c r="N217" s="736"/>
      <c r="O217" s="736"/>
      <c r="P217" s="736"/>
      <c r="Q217" s="736"/>
      <c r="R217" s="736"/>
      <c r="S217" s="736"/>
      <c r="T217" s="736"/>
      <c r="U217" s="736"/>
    </row>
    <row r="218">
      <c r="A218" s="737" t="s">
        <v>967</v>
      </c>
      <c r="B218" s="735" t="s">
        <v>494</v>
      </c>
      <c r="C218" s="708">
        <v>170.0125</v>
      </c>
      <c r="D218" s="714">
        <v>0.0</v>
      </c>
      <c r="E218" s="708">
        <v>165.25</v>
      </c>
      <c r="F218" s="717" t="s">
        <v>596</v>
      </c>
      <c r="G218" s="711" t="s">
        <v>517</v>
      </c>
      <c r="H218" s="738"/>
      <c r="I218" s="736"/>
      <c r="J218" s="736"/>
      <c r="K218" s="736"/>
      <c r="L218" s="736"/>
      <c r="M218" s="736"/>
      <c r="N218" s="736"/>
      <c r="O218" s="736"/>
      <c r="P218" s="736"/>
      <c r="Q218" s="736"/>
      <c r="R218" s="736"/>
      <c r="S218" s="736"/>
      <c r="T218" s="736"/>
      <c r="U218" s="736"/>
    </row>
    <row r="219">
      <c r="A219" s="737" t="s">
        <v>968</v>
      </c>
      <c r="B219" s="735" t="s">
        <v>612</v>
      </c>
      <c r="C219" s="708">
        <v>168.05</v>
      </c>
      <c r="D219" s="714">
        <v>0.0</v>
      </c>
      <c r="E219" s="708">
        <v>168.05</v>
      </c>
      <c r="F219" s="717">
        <v>0.0</v>
      </c>
      <c r="G219" s="711" t="s">
        <v>517</v>
      </c>
      <c r="H219" s="736" t="s">
        <v>969</v>
      </c>
      <c r="I219" s="736"/>
      <c r="J219" s="736"/>
      <c r="K219" s="736"/>
      <c r="L219" s="736"/>
      <c r="M219" s="736"/>
      <c r="N219" s="736"/>
      <c r="O219" s="736"/>
      <c r="P219" s="736"/>
      <c r="Q219" s="736"/>
      <c r="R219" s="736"/>
      <c r="S219" s="736"/>
      <c r="T219" s="736"/>
      <c r="U219" s="736"/>
    </row>
    <row r="220">
      <c r="A220" s="737" t="s">
        <v>970</v>
      </c>
      <c r="B220" s="735" t="s">
        <v>612</v>
      </c>
      <c r="C220" s="708">
        <v>168.2</v>
      </c>
      <c r="D220" s="714">
        <v>0.0</v>
      </c>
      <c r="E220" s="708">
        <v>168.2</v>
      </c>
      <c r="F220" s="717">
        <v>0.0</v>
      </c>
      <c r="G220" s="711" t="s">
        <v>517</v>
      </c>
      <c r="H220" s="736" t="s">
        <v>971</v>
      </c>
      <c r="I220" s="736"/>
      <c r="J220" s="736"/>
      <c r="K220" s="736"/>
      <c r="L220" s="736"/>
      <c r="M220" s="736"/>
      <c r="N220" s="736"/>
      <c r="O220" s="736"/>
      <c r="P220" s="736"/>
      <c r="Q220" s="736"/>
      <c r="R220" s="736"/>
      <c r="S220" s="736"/>
      <c r="T220" s="736"/>
      <c r="U220" s="736"/>
    </row>
    <row r="221">
      <c r="A221" s="737" t="s">
        <v>972</v>
      </c>
      <c r="B221" s="735" t="s">
        <v>612</v>
      </c>
      <c r="C221" s="708">
        <v>168.6</v>
      </c>
      <c r="D221" s="714">
        <v>0.0</v>
      </c>
      <c r="E221" s="708">
        <v>168.6</v>
      </c>
      <c r="F221" s="717">
        <v>0.0</v>
      </c>
      <c r="G221" s="711" t="s">
        <v>517</v>
      </c>
      <c r="H221" s="736" t="s">
        <v>973</v>
      </c>
      <c r="I221" s="736"/>
      <c r="J221" s="736"/>
      <c r="K221" s="736"/>
      <c r="L221" s="736"/>
      <c r="M221" s="736"/>
      <c r="N221" s="736"/>
      <c r="O221" s="736"/>
      <c r="P221" s="736"/>
      <c r="Q221" s="736"/>
      <c r="R221" s="736"/>
      <c r="S221" s="736"/>
      <c r="T221" s="736"/>
      <c r="U221" s="736"/>
    </row>
    <row r="222">
      <c r="A222" s="737" t="s">
        <v>974</v>
      </c>
      <c r="B222" s="735" t="s">
        <v>612</v>
      </c>
      <c r="C222" s="708">
        <v>166.725</v>
      </c>
      <c r="D222" s="714">
        <v>0.0</v>
      </c>
      <c r="E222" s="708">
        <v>166.725</v>
      </c>
      <c r="F222" s="717">
        <v>0.0</v>
      </c>
      <c r="G222" s="711" t="s">
        <v>517</v>
      </c>
      <c r="H222" s="736" t="s">
        <v>975</v>
      </c>
      <c r="I222" s="736"/>
      <c r="J222" s="736"/>
      <c r="K222" s="736"/>
      <c r="L222" s="736"/>
      <c r="M222" s="736"/>
      <c r="N222" s="736"/>
      <c r="O222" s="736"/>
      <c r="P222" s="736"/>
      <c r="Q222" s="736"/>
      <c r="R222" s="736"/>
      <c r="S222" s="736"/>
      <c r="T222" s="736"/>
      <c r="U222" s="736"/>
    </row>
    <row r="223">
      <c r="A223" s="737" t="s">
        <v>976</v>
      </c>
      <c r="B223" s="735" t="s">
        <v>612</v>
      </c>
      <c r="C223" s="708">
        <v>166.775</v>
      </c>
      <c r="D223" s="714">
        <v>0.0</v>
      </c>
      <c r="E223" s="708">
        <v>166.775</v>
      </c>
      <c r="F223" s="717">
        <v>0.0</v>
      </c>
      <c r="G223" s="711" t="s">
        <v>517</v>
      </c>
      <c r="H223" s="736" t="s">
        <v>977</v>
      </c>
      <c r="I223" s="736"/>
      <c r="J223" s="736"/>
      <c r="K223" s="736"/>
      <c r="L223" s="736"/>
      <c r="M223" s="736"/>
      <c r="N223" s="736"/>
      <c r="O223" s="736"/>
      <c r="P223" s="736"/>
      <c r="Q223" s="736"/>
      <c r="R223" s="736"/>
      <c r="S223" s="736"/>
      <c r="T223" s="736"/>
      <c r="U223" s="736"/>
    </row>
    <row r="224">
      <c r="A224" s="737" t="s">
        <v>978</v>
      </c>
      <c r="B224" s="735" t="s">
        <v>612</v>
      </c>
      <c r="C224" s="708">
        <v>168.25</v>
      </c>
      <c r="D224" s="714">
        <v>0.0</v>
      </c>
      <c r="E224" s="708">
        <v>168.25</v>
      </c>
      <c r="F224" s="717">
        <v>0.0</v>
      </c>
      <c r="G224" s="711" t="s">
        <v>517</v>
      </c>
      <c r="H224" s="736" t="s">
        <v>979</v>
      </c>
      <c r="I224" s="736"/>
      <c r="J224" s="736"/>
      <c r="K224" s="736"/>
      <c r="L224" s="736"/>
      <c r="M224" s="736"/>
      <c r="N224" s="736"/>
      <c r="O224" s="736"/>
      <c r="P224" s="736"/>
      <c r="Q224" s="736"/>
      <c r="R224" s="736"/>
      <c r="S224" s="736"/>
      <c r="T224" s="736"/>
      <c r="U224" s="736"/>
    </row>
    <row r="225">
      <c r="A225" s="737" t="s">
        <v>980</v>
      </c>
      <c r="B225" s="735" t="s">
        <v>599</v>
      </c>
      <c r="C225" s="708">
        <v>151.085</v>
      </c>
      <c r="D225" s="734" t="s">
        <v>724</v>
      </c>
      <c r="E225" s="708">
        <v>159.0</v>
      </c>
      <c r="F225" s="717" t="s">
        <v>724</v>
      </c>
      <c r="G225" s="711" t="s">
        <v>517</v>
      </c>
      <c r="H225" s="736" t="s">
        <v>981</v>
      </c>
      <c r="I225" s="736"/>
      <c r="J225" s="736"/>
      <c r="K225" s="736"/>
      <c r="L225" s="736"/>
      <c r="M225" s="736"/>
      <c r="N225" s="736"/>
      <c r="O225" s="736"/>
      <c r="P225" s="736"/>
      <c r="Q225" s="736"/>
      <c r="R225" s="736"/>
      <c r="S225" s="736"/>
      <c r="T225" s="736"/>
      <c r="U225" s="736"/>
    </row>
    <row r="226">
      <c r="A226" s="737" t="s">
        <v>982</v>
      </c>
      <c r="B226" s="735" t="s">
        <v>599</v>
      </c>
      <c r="C226" s="708">
        <v>154.16</v>
      </c>
      <c r="D226" s="714">
        <v>0.0</v>
      </c>
      <c r="E226" s="708">
        <v>159.135</v>
      </c>
      <c r="F226" s="717" t="s">
        <v>596</v>
      </c>
      <c r="G226" s="711" t="s">
        <v>517</v>
      </c>
      <c r="H226" s="736" t="s">
        <v>983</v>
      </c>
      <c r="I226" s="736"/>
      <c r="J226" s="736"/>
      <c r="K226" s="736"/>
      <c r="L226" s="736"/>
      <c r="M226" s="736"/>
      <c r="N226" s="736"/>
      <c r="O226" s="736"/>
      <c r="P226" s="736"/>
      <c r="Q226" s="736"/>
      <c r="R226" s="736"/>
      <c r="S226" s="736"/>
      <c r="T226" s="736"/>
      <c r="U226" s="736"/>
    </row>
    <row r="227">
      <c r="A227" s="737" t="s">
        <v>984</v>
      </c>
      <c r="B227" s="735" t="s">
        <v>599</v>
      </c>
      <c r="C227" s="708">
        <v>154.16</v>
      </c>
      <c r="D227" s="714">
        <v>0.0</v>
      </c>
      <c r="E227" s="708">
        <v>159.195</v>
      </c>
      <c r="F227" s="717" t="s">
        <v>596</v>
      </c>
      <c r="G227" s="711" t="s">
        <v>517</v>
      </c>
      <c r="H227" s="736" t="s">
        <v>985</v>
      </c>
      <c r="I227" s="736"/>
      <c r="J227" s="736"/>
      <c r="K227" s="736"/>
      <c r="L227" s="736"/>
      <c r="M227" s="736"/>
      <c r="N227" s="736"/>
      <c r="O227" s="736"/>
      <c r="P227" s="736"/>
      <c r="Q227" s="736"/>
      <c r="R227" s="736"/>
      <c r="S227" s="736"/>
      <c r="T227" s="736"/>
      <c r="U227" s="736"/>
    </row>
    <row r="228">
      <c r="A228" s="737" t="s">
        <v>986</v>
      </c>
      <c r="B228" s="735" t="s">
        <v>599</v>
      </c>
      <c r="C228" s="708">
        <v>154.22</v>
      </c>
      <c r="D228" s="714">
        <v>0.0</v>
      </c>
      <c r="E228" s="708">
        <v>159.135</v>
      </c>
      <c r="F228" s="717" t="s">
        <v>596</v>
      </c>
      <c r="G228" s="711" t="s">
        <v>517</v>
      </c>
      <c r="H228" s="736" t="s">
        <v>987</v>
      </c>
      <c r="I228" s="736"/>
      <c r="J228" s="736"/>
      <c r="K228" s="736"/>
      <c r="L228" s="736"/>
      <c r="M228" s="736"/>
      <c r="N228" s="736"/>
      <c r="O228" s="736"/>
      <c r="P228" s="736"/>
      <c r="Q228" s="736"/>
      <c r="R228" s="736"/>
      <c r="S228" s="736"/>
      <c r="T228" s="736"/>
      <c r="U228" s="736"/>
    </row>
    <row r="229">
      <c r="A229" s="737" t="s">
        <v>988</v>
      </c>
      <c r="B229" s="735" t="s">
        <v>599</v>
      </c>
      <c r="C229" s="708">
        <v>154.22</v>
      </c>
      <c r="D229" s="714">
        <v>0.0</v>
      </c>
      <c r="E229" s="708">
        <v>159.195</v>
      </c>
      <c r="F229" s="717" t="s">
        <v>596</v>
      </c>
      <c r="G229" s="711" t="s">
        <v>517</v>
      </c>
      <c r="H229" s="736" t="s">
        <v>989</v>
      </c>
      <c r="I229" s="736"/>
      <c r="J229" s="736"/>
      <c r="K229" s="736"/>
      <c r="L229" s="736"/>
      <c r="M229" s="736"/>
      <c r="N229" s="736"/>
      <c r="O229" s="736"/>
      <c r="P229" s="736"/>
      <c r="Q229" s="736"/>
      <c r="R229" s="736"/>
      <c r="S229" s="736"/>
      <c r="T229" s="736"/>
      <c r="U229" s="736"/>
    </row>
    <row r="230">
      <c r="A230" s="737" t="s">
        <v>990</v>
      </c>
      <c r="B230" s="735" t="s">
        <v>494</v>
      </c>
      <c r="C230" s="708">
        <v>152.81</v>
      </c>
      <c r="D230" s="734" t="s">
        <v>837</v>
      </c>
      <c r="E230" s="708">
        <v>158.07</v>
      </c>
      <c r="F230" s="717" t="s">
        <v>596</v>
      </c>
      <c r="G230" s="711" t="s">
        <v>517</v>
      </c>
      <c r="H230" s="736" t="s">
        <v>991</v>
      </c>
      <c r="I230" s="736"/>
      <c r="J230" s="736"/>
      <c r="K230" s="736"/>
      <c r="L230" s="736"/>
      <c r="M230" s="736"/>
      <c r="N230" s="736"/>
      <c r="O230" s="736"/>
      <c r="P230" s="736"/>
      <c r="Q230" s="736"/>
      <c r="R230" s="736"/>
      <c r="S230" s="736"/>
      <c r="T230" s="736"/>
      <c r="U230" s="736"/>
    </row>
    <row r="231">
      <c r="A231" s="737" t="s">
        <v>992</v>
      </c>
      <c r="B231" s="735" t="s">
        <v>599</v>
      </c>
      <c r="C231" s="708">
        <v>171.5</v>
      </c>
      <c r="D231" s="714">
        <v>0.0</v>
      </c>
      <c r="E231" s="708">
        <v>164.825</v>
      </c>
      <c r="F231" s="717">
        <v>0.0</v>
      </c>
      <c r="G231" s="711" t="s">
        <v>517</v>
      </c>
      <c r="H231" s="736" t="s">
        <v>993</v>
      </c>
      <c r="I231" s="736"/>
      <c r="J231" s="736"/>
      <c r="K231" s="736"/>
      <c r="L231" s="736"/>
      <c r="M231" s="736"/>
      <c r="N231" s="736"/>
      <c r="O231" s="736"/>
      <c r="P231" s="736"/>
      <c r="Q231" s="736"/>
      <c r="R231" s="736"/>
      <c r="S231" s="736"/>
      <c r="T231" s="736"/>
      <c r="U231" s="736"/>
    </row>
    <row r="232">
      <c r="A232" s="737" t="s">
        <v>994</v>
      </c>
      <c r="B232" s="735" t="s">
        <v>612</v>
      </c>
      <c r="C232" s="708">
        <v>166.55</v>
      </c>
      <c r="D232" s="714">
        <v>0.0</v>
      </c>
      <c r="E232" s="708">
        <v>166.55</v>
      </c>
      <c r="F232" s="717">
        <v>0.0</v>
      </c>
      <c r="G232" s="711" t="s">
        <v>517</v>
      </c>
      <c r="H232" s="736" t="s">
        <v>995</v>
      </c>
      <c r="I232" s="736"/>
      <c r="J232" s="736"/>
      <c r="K232" s="736"/>
      <c r="L232" s="736"/>
      <c r="M232" s="736"/>
      <c r="N232" s="736"/>
      <c r="O232" s="736"/>
      <c r="P232" s="736"/>
      <c r="Q232" s="736"/>
      <c r="R232" s="736"/>
      <c r="S232" s="736"/>
      <c r="T232" s="736"/>
      <c r="U232" s="736"/>
    </row>
    <row r="233">
      <c r="A233" s="737" t="s">
        <v>996</v>
      </c>
      <c r="B233" s="735" t="s">
        <v>612</v>
      </c>
      <c r="C233" s="708">
        <v>167.1125</v>
      </c>
      <c r="D233" s="714">
        <v>0.0</v>
      </c>
      <c r="E233" s="708">
        <v>167.1125</v>
      </c>
      <c r="F233" s="717">
        <v>0.0</v>
      </c>
      <c r="G233" s="711" t="s">
        <v>517</v>
      </c>
      <c r="H233" s="736" t="s">
        <v>997</v>
      </c>
      <c r="I233" s="736"/>
      <c r="J233" s="736"/>
      <c r="K233" s="736"/>
      <c r="L233" s="736"/>
      <c r="M233" s="736"/>
      <c r="N233" s="736"/>
      <c r="O233" s="736"/>
      <c r="P233" s="736"/>
      <c r="Q233" s="736"/>
      <c r="R233" s="736"/>
      <c r="S233" s="736"/>
      <c r="T233" s="736"/>
      <c r="U233" s="736"/>
    </row>
    <row r="234">
      <c r="A234" s="737" t="s">
        <v>998</v>
      </c>
      <c r="B234" s="735" t="s">
        <v>612</v>
      </c>
      <c r="C234" s="708">
        <v>168.2375</v>
      </c>
      <c r="D234" s="714">
        <v>0.0</v>
      </c>
      <c r="E234" s="708">
        <v>168.2375</v>
      </c>
      <c r="F234" s="717">
        <v>0.0</v>
      </c>
      <c r="G234" s="711" t="s">
        <v>517</v>
      </c>
      <c r="H234" s="736" t="s">
        <v>999</v>
      </c>
      <c r="I234" s="736"/>
      <c r="J234" s="736"/>
      <c r="K234" s="736"/>
      <c r="L234" s="736"/>
      <c r="M234" s="736"/>
      <c r="N234" s="736"/>
      <c r="O234" s="736"/>
      <c r="P234" s="736"/>
      <c r="Q234" s="736"/>
      <c r="R234" s="736"/>
      <c r="S234" s="736"/>
      <c r="T234" s="736"/>
      <c r="U234" s="736"/>
    </row>
    <row r="235">
      <c r="A235" s="737" t="s">
        <v>1000</v>
      </c>
      <c r="B235" s="735" t="s">
        <v>599</v>
      </c>
      <c r="C235" s="708">
        <v>151.385</v>
      </c>
      <c r="D235" s="734" t="s">
        <v>718</v>
      </c>
      <c r="E235" s="708">
        <v>159.36</v>
      </c>
      <c r="F235" s="717" t="s">
        <v>596</v>
      </c>
      <c r="G235" s="711" t="s">
        <v>517</v>
      </c>
      <c r="H235" s="736" t="s">
        <v>1001</v>
      </c>
      <c r="I235" s="736"/>
      <c r="J235" s="736"/>
      <c r="K235" s="736"/>
      <c r="L235" s="736"/>
      <c r="M235" s="736"/>
      <c r="N235" s="736"/>
      <c r="O235" s="736"/>
      <c r="P235" s="736"/>
      <c r="Q235" s="736"/>
      <c r="R235" s="736"/>
      <c r="S235" s="736"/>
      <c r="T235" s="736"/>
      <c r="U235" s="736"/>
    </row>
    <row r="236">
      <c r="A236" s="737" t="s">
        <v>1002</v>
      </c>
      <c r="B236" s="735" t="s">
        <v>599</v>
      </c>
      <c r="C236" s="708">
        <v>151.175</v>
      </c>
      <c r="D236" s="734" t="s">
        <v>718</v>
      </c>
      <c r="E236" s="708">
        <v>159.285</v>
      </c>
      <c r="F236" s="717" t="s">
        <v>596</v>
      </c>
      <c r="G236" s="711" t="s">
        <v>517</v>
      </c>
      <c r="H236" s="736" t="s">
        <v>1003</v>
      </c>
      <c r="I236" s="736"/>
      <c r="J236" s="736"/>
      <c r="K236" s="736"/>
      <c r="L236" s="736"/>
      <c r="M236" s="736"/>
      <c r="N236" s="736"/>
      <c r="O236" s="736"/>
      <c r="P236" s="736"/>
      <c r="Q236" s="736"/>
      <c r="R236" s="736"/>
      <c r="S236" s="736"/>
      <c r="T236" s="736"/>
      <c r="U236" s="736"/>
    </row>
    <row r="237">
      <c r="A237" s="737" t="s">
        <v>1004</v>
      </c>
      <c r="B237" s="735" t="s">
        <v>599</v>
      </c>
      <c r="C237" s="708">
        <v>151.13</v>
      </c>
      <c r="D237" s="714">
        <v>0.0</v>
      </c>
      <c r="E237" s="708">
        <v>158.925</v>
      </c>
      <c r="F237" s="717" t="s">
        <v>596</v>
      </c>
      <c r="G237" s="711" t="s">
        <v>517</v>
      </c>
      <c r="H237" s="736" t="s">
        <v>1005</v>
      </c>
      <c r="I237" s="736"/>
      <c r="J237" s="736"/>
      <c r="K237" s="736"/>
      <c r="L237" s="736"/>
      <c r="M237" s="736"/>
      <c r="N237" s="736"/>
      <c r="O237" s="736"/>
      <c r="P237" s="736"/>
      <c r="Q237" s="736"/>
      <c r="R237" s="736"/>
      <c r="S237" s="736"/>
      <c r="T237" s="736"/>
      <c r="U237" s="736"/>
    </row>
    <row r="238">
      <c r="A238" s="737" t="s">
        <v>1006</v>
      </c>
      <c r="B238" s="707" t="s">
        <v>542</v>
      </c>
      <c r="C238" s="708">
        <v>155.7</v>
      </c>
      <c r="D238" s="734" t="s">
        <v>727</v>
      </c>
      <c r="E238" s="708">
        <v>155.7</v>
      </c>
      <c r="F238" s="717" t="s">
        <v>727</v>
      </c>
      <c r="G238" s="711" t="s">
        <v>517</v>
      </c>
      <c r="H238" s="736" t="s">
        <v>1007</v>
      </c>
      <c r="I238" s="736"/>
      <c r="J238" s="736"/>
      <c r="K238" s="736"/>
      <c r="L238" s="736"/>
      <c r="M238" s="736"/>
      <c r="N238" s="736"/>
      <c r="O238" s="736"/>
      <c r="P238" s="736"/>
      <c r="Q238" s="736"/>
      <c r="R238" s="736"/>
      <c r="S238" s="736"/>
      <c r="T238" s="736"/>
      <c r="U238" s="736"/>
    </row>
    <row r="239">
      <c r="A239" s="737" t="s">
        <v>1008</v>
      </c>
      <c r="B239" s="735" t="s">
        <v>494</v>
      </c>
      <c r="C239" s="708">
        <v>154.1</v>
      </c>
      <c r="D239" s="714">
        <v>0.0</v>
      </c>
      <c r="E239" s="708">
        <v>156.0</v>
      </c>
      <c r="F239" s="717" t="s">
        <v>596</v>
      </c>
      <c r="G239" s="711" t="s">
        <v>517</v>
      </c>
      <c r="H239" s="736" t="s">
        <v>1009</v>
      </c>
      <c r="I239" s="736"/>
      <c r="J239" s="736"/>
      <c r="K239" s="736"/>
      <c r="L239" s="736"/>
      <c r="M239" s="736"/>
      <c r="N239" s="736"/>
      <c r="O239" s="736"/>
      <c r="P239" s="736"/>
      <c r="Q239" s="736"/>
      <c r="R239" s="736"/>
      <c r="S239" s="736"/>
      <c r="T239" s="736"/>
      <c r="U239" s="736"/>
    </row>
    <row r="240">
      <c r="A240" s="737" t="s">
        <v>1010</v>
      </c>
      <c r="B240" s="707" t="s">
        <v>542</v>
      </c>
      <c r="C240" s="708">
        <v>155.64</v>
      </c>
      <c r="D240" s="734" t="s">
        <v>920</v>
      </c>
      <c r="E240" s="708">
        <v>155.64</v>
      </c>
      <c r="F240" s="717" t="s">
        <v>920</v>
      </c>
      <c r="G240" s="711" t="s">
        <v>517</v>
      </c>
      <c r="H240" s="736" t="s">
        <v>1011</v>
      </c>
      <c r="I240" s="736"/>
      <c r="J240" s="736"/>
      <c r="K240" s="736"/>
      <c r="L240" s="736"/>
      <c r="M240" s="736"/>
      <c r="N240" s="736"/>
      <c r="O240" s="736"/>
      <c r="P240" s="736"/>
      <c r="Q240" s="736"/>
      <c r="R240" s="736"/>
      <c r="S240" s="736"/>
      <c r="T240" s="736"/>
      <c r="U240" s="736"/>
    </row>
    <row r="241">
      <c r="A241" s="737" t="s">
        <v>1012</v>
      </c>
      <c r="B241" s="735" t="s">
        <v>599</v>
      </c>
      <c r="C241" s="708">
        <v>153.77</v>
      </c>
      <c r="D241" s="734" t="s">
        <v>718</v>
      </c>
      <c r="E241" s="708">
        <v>154.25</v>
      </c>
      <c r="F241" s="717" t="s">
        <v>724</v>
      </c>
      <c r="G241" s="711" t="s">
        <v>517</v>
      </c>
      <c r="H241" s="736" t="s">
        <v>1013</v>
      </c>
      <c r="I241" s="736"/>
      <c r="J241" s="736"/>
      <c r="K241" s="736"/>
      <c r="L241" s="736"/>
      <c r="M241" s="736"/>
      <c r="N241" s="736"/>
      <c r="O241" s="736"/>
      <c r="P241" s="736"/>
      <c r="Q241" s="736"/>
      <c r="R241" s="736"/>
      <c r="S241" s="736"/>
      <c r="T241" s="736"/>
      <c r="U241" s="736"/>
    </row>
    <row r="242">
      <c r="A242" s="737" t="s">
        <v>1014</v>
      </c>
      <c r="B242" s="735" t="s">
        <v>599</v>
      </c>
      <c r="C242" s="708">
        <v>153.905</v>
      </c>
      <c r="D242" s="734" t="s">
        <v>718</v>
      </c>
      <c r="E242" s="708">
        <v>154.995</v>
      </c>
      <c r="F242" s="717" t="s">
        <v>604</v>
      </c>
      <c r="G242" s="711" t="s">
        <v>517</v>
      </c>
      <c r="H242" s="736" t="s">
        <v>1015</v>
      </c>
      <c r="I242" s="736"/>
      <c r="J242" s="736"/>
      <c r="K242" s="736"/>
      <c r="L242" s="736"/>
      <c r="M242" s="736"/>
      <c r="N242" s="736"/>
      <c r="O242" s="736"/>
      <c r="P242" s="736"/>
      <c r="Q242" s="736"/>
      <c r="R242" s="736"/>
      <c r="S242" s="736"/>
      <c r="T242" s="736"/>
      <c r="U242" s="736"/>
    </row>
    <row r="243">
      <c r="A243" s="737" t="s">
        <v>1016</v>
      </c>
      <c r="B243" s="735" t="s">
        <v>599</v>
      </c>
      <c r="C243" s="708">
        <v>153.98</v>
      </c>
      <c r="D243" s="734" t="s">
        <v>718</v>
      </c>
      <c r="E243" s="708">
        <v>155.715</v>
      </c>
      <c r="F243" s="717" t="s">
        <v>604</v>
      </c>
      <c r="G243" s="711" t="s">
        <v>517</v>
      </c>
      <c r="H243" s="736" t="s">
        <v>1017</v>
      </c>
      <c r="I243" s="736"/>
      <c r="J243" s="736"/>
      <c r="K243" s="736"/>
      <c r="L243" s="736"/>
      <c r="M243" s="736"/>
      <c r="N243" s="736"/>
      <c r="O243" s="736"/>
      <c r="P243" s="736"/>
      <c r="Q243" s="736"/>
      <c r="R243" s="736"/>
      <c r="S243" s="736"/>
      <c r="T243" s="736"/>
      <c r="U243" s="736"/>
    </row>
    <row r="244">
      <c r="A244" s="737" t="s">
        <v>1018</v>
      </c>
      <c r="B244" s="735" t="s">
        <v>612</v>
      </c>
      <c r="C244" s="708">
        <v>155.595</v>
      </c>
      <c r="D244" s="734" t="s">
        <v>920</v>
      </c>
      <c r="E244" s="708">
        <v>155.595</v>
      </c>
      <c r="F244" s="717" t="s">
        <v>920</v>
      </c>
      <c r="G244" s="711" t="s">
        <v>517</v>
      </c>
      <c r="H244" s="736"/>
      <c r="I244" s="736"/>
      <c r="J244" s="736"/>
      <c r="K244" s="736"/>
      <c r="L244" s="736"/>
      <c r="M244" s="736"/>
      <c r="N244" s="736"/>
      <c r="O244" s="736"/>
      <c r="P244" s="736"/>
      <c r="Q244" s="736"/>
      <c r="R244" s="736"/>
      <c r="S244" s="736"/>
      <c r="T244" s="736"/>
      <c r="U244" s="736"/>
    </row>
    <row r="245">
      <c r="A245" s="737" t="s">
        <v>1019</v>
      </c>
      <c r="B245" s="735" t="s">
        <v>612</v>
      </c>
      <c r="C245" s="708">
        <v>154.845</v>
      </c>
      <c r="D245" s="734" t="s">
        <v>920</v>
      </c>
      <c r="E245" s="708">
        <v>154.845</v>
      </c>
      <c r="F245" s="717" t="s">
        <v>920</v>
      </c>
      <c r="G245" s="711" t="s">
        <v>517</v>
      </c>
      <c r="H245" s="736"/>
      <c r="I245" s="736"/>
      <c r="J245" s="736"/>
      <c r="K245" s="736"/>
      <c r="L245" s="736"/>
      <c r="M245" s="736"/>
      <c r="N245" s="736"/>
      <c r="O245" s="736"/>
      <c r="P245" s="736"/>
      <c r="Q245" s="736"/>
      <c r="R245" s="736"/>
      <c r="S245" s="736"/>
      <c r="T245" s="736"/>
      <c r="U245" s="736"/>
    </row>
    <row r="246">
      <c r="A246" s="737" t="s">
        <v>1020</v>
      </c>
      <c r="B246" s="735" t="s">
        <v>612</v>
      </c>
      <c r="C246" s="708">
        <v>154.65</v>
      </c>
      <c r="D246" s="734" t="s">
        <v>920</v>
      </c>
      <c r="E246" s="708">
        <v>154.65</v>
      </c>
      <c r="F246" s="717" t="s">
        <v>920</v>
      </c>
      <c r="G246" s="711" t="s">
        <v>517</v>
      </c>
      <c r="H246" s="736"/>
      <c r="I246" s="736"/>
      <c r="J246" s="736"/>
      <c r="K246" s="736"/>
      <c r="L246" s="736"/>
      <c r="M246" s="736"/>
      <c r="N246" s="736"/>
      <c r="O246" s="736"/>
      <c r="P246" s="736"/>
      <c r="Q246" s="736"/>
      <c r="R246" s="736"/>
      <c r="S246" s="736"/>
      <c r="T246" s="736"/>
      <c r="U246" s="736"/>
    </row>
    <row r="247">
      <c r="A247" s="737" t="s">
        <v>1021</v>
      </c>
      <c r="B247" s="735" t="s">
        <v>494</v>
      </c>
      <c r="C247" s="708">
        <v>151.1225</v>
      </c>
      <c r="D247" s="734" t="s">
        <v>703</v>
      </c>
      <c r="E247" s="708">
        <v>159.165</v>
      </c>
      <c r="F247" s="717" t="s">
        <v>596</v>
      </c>
      <c r="G247" s="711" t="s">
        <v>517</v>
      </c>
      <c r="H247" s="736" t="s">
        <v>1022</v>
      </c>
      <c r="I247" s="736"/>
      <c r="J247" s="736"/>
      <c r="K247" s="736"/>
      <c r="L247" s="736"/>
      <c r="M247" s="736"/>
      <c r="N247" s="736"/>
      <c r="O247" s="736"/>
      <c r="P247" s="736"/>
      <c r="Q247" s="736"/>
      <c r="R247" s="736"/>
      <c r="S247" s="736"/>
      <c r="T247" s="736"/>
      <c r="U247" s="736"/>
    </row>
    <row r="248">
      <c r="A248" s="737" t="s">
        <v>1023</v>
      </c>
      <c r="B248" s="735" t="s">
        <v>599</v>
      </c>
      <c r="C248" s="708">
        <v>151.445</v>
      </c>
      <c r="D248" s="734" t="s">
        <v>703</v>
      </c>
      <c r="E248" s="708">
        <v>159.345</v>
      </c>
      <c r="F248" s="717" t="s">
        <v>596</v>
      </c>
      <c r="G248" s="711" t="s">
        <v>517</v>
      </c>
      <c r="H248" s="736" t="s">
        <v>1024</v>
      </c>
      <c r="I248" s="736"/>
      <c r="J248" s="736"/>
      <c r="K248" s="736"/>
      <c r="L248" s="736"/>
      <c r="M248" s="736"/>
      <c r="N248" s="736"/>
      <c r="O248" s="736"/>
      <c r="P248" s="736"/>
      <c r="Q248" s="736"/>
      <c r="R248" s="736"/>
      <c r="S248" s="736"/>
      <c r="T248" s="736"/>
      <c r="U248" s="736"/>
    </row>
    <row r="249">
      <c r="A249" s="737" t="s">
        <v>1025</v>
      </c>
      <c r="B249" s="735" t="s">
        <v>599</v>
      </c>
      <c r="C249" s="708">
        <v>171.6125</v>
      </c>
      <c r="D249" s="744" t="s">
        <v>1026</v>
      </c>
      <c r="E249" s="708">
        <v>163.775</v>
      </c>
      <c r="F249" s="745" t="s">
        <v>1026</v>
      </c>
      <c r="G249" s="711" t="s">
        <v>517</v>
      </c>
      <c r="H249" s="736" t="s">
        <v>1027</v>
      </c>
      <c r="I249" s="736"/>
      <c r="J249" s="736"/>
      <c r="K249" s="736"/>
      <c r="L249" s="736"/>
      <c r="M249" s="736"/>
      <c r="N249" s="736"/>
      <c r="O249" s="736"/>
      <c r="P249" s="736"/>
      <c r="Q249" s="736"/>
      <c r="R249" s="736"/>
      <c r="S249" s="736"/>
      <c r="T249" s="736"/>
      <c r="U249" s="736"/>
    </row>
    <row r="250">
      <c r="A250" s="737" t="s">
        <v>1028</v>
      </c>
      <c r="B250" s="735" t="s">
        <v>599</v>
      </c>
      <c r="C250" s="708">
        <v>168.7625</v>
      </c>
      <c r="D250" s="744" t="s">
        <v>1026</v>
      </c>
      <c r="E250" s="708">
        <v>162.9</v>
      </c>
      <c r="F250" s="745" t="s">
        <v>1026</v>
      </c>
      <c r="G250" s="711" t="s">
        <v>517</v>
      </c>
      <c r="H250" s="736" t="s">
        <v>1027</v>
      </c>
      <c r="I250" s="736"/>
      <c r="J250" s="736"/>
      <c r="K250" s="736"/>
      <c r="L250" s="736"/>
      <c r="M250" s="736"/>
      <c r="N250" s="736"/>
      <c r="O250" s="736"/>
      <c r="P250" s="736"/>
      <c r="Q250" s="736"/>
      <c r="R250" s="736"/>
      <c r="S250" s="736"/>
      <c r="T250" s="736"/>
      <c r="U250" s="736"/>
    </row>
    <row r="251">
      <c r="A251" s="737" t="s">
        <v>1029</v>
      </c>
      <c r="B251" s="735" t="s">
        <v>494</v>
      </c>
      <c r="C251" s="708">
        <v>154.43</v>
      </c>
      <c r="D251" s="734" t="s">
        <v>724</v>
      </c>
      <c r="E251" s="708">
        <v>159.015</v>
      </c>
      <c r="F251" s="717" t="s">
        <v>596</v>
      </c>
      <c r="G251" s="711" t="s">
        <v>517</v>
      </c>
      <c r="H251" s="736" t="s">
        <v>1030</v>
      </c>
      <c r="I251" s="736"/>
      <c r="J251" s="736"/>
      <c r="K251" s="736"/>
      <c r="L251" s="736"/>
      <c r="M251" s="736"/>
      <c r="N251" s="736"/>
      <c r="O251" s="736"/>
      <c r="P251" s="736"/>
      <c r="Q251" s="736"/>
      <c r="R251" s="736"/>
      <c r="S251" s="736"/>
      <c r="T251" s="736"/>
      <c r="U251" s="736"/>
    </row>
    <row r="252">
      <c r="A252" s="737" t="s">
        <v>1031</v>
      </c>
      <c r="B252" s="735" t="s">
        <v>599</v>
      </c>
      <c r="C252" s="708">
        <v>171.5</v>
      </c>
      <c r="D252" s="714">
        <v>0.0</v>
      </c>
      <c r="E252" s="708">
        <v>164.825</v>
      </c>
      <c r="F252" s="717">
        <v>0.0</v>
      </c>
      <c r="G252" s="711" t="s">
        <v>517</v>
      </c>
      <c r="H252" s="736" t="s">
        <v>1032</v>
      </c>
      <c r="I252" s="736"/>
      <c r="J252" s="736"/>
      <c r="K252" s="736"/>
      <c r="L252" s="736"/>
      <c r="M252" s="736"/>
      <c r="N252" s="736"/>
      <c r="O252" s="736"/>
      <c r="P252" s="736"/>
      <c r="Q252" s="736"/>
      <c r="R252" s="736"/>
      <c r="S252" s="736"/>
      <c r="T252" s="736"/>
      <c r="U252" s="736"/>
    </row>
    <row r="253">
      <c r="A253" s="737" t="s">
        <v>1033</v>
      </c>
      <c r="B253" s="735" t="s">
        <v>599</v>
      </c>
      <c r="C253" s="708">
        <v>151.16</v>
      </c>
      <c r="D253" s="734" t="s">
        <v>724</v>
      </c>
      <c r="E253" s="708">
        <v>159.27</v>
      </c>
      <c r="F253" s="717" t="s">
        <v>596</v>
      </c>
      <c r="G253" s="711" t="s">
        <v>517</v>
      </c>
      <c r="H253" s="736" t="s">
        <v>1034</v>
      </c>
      <c r="I253" s="736"/>
      <c r="J253" s="736"/>
      <c r="K253" s="736"/>
      <c r="L253" s="736"/>
      <c r="M253" s="736"/>
      <c r="N253" s="736"/>
      <c r="O253" s="736"/>
      <c r="P253" s="736"/>
      <c r="Q253" s="736"/>
      <c r="R253" s="736"/>
      <c r="S253" s="736"/>
      <c r="T253" s="736"/>
      <c r="U253" s="736"/>
    </row>
    <row r="254">
      <c r="A254" s="737" t="s">
        <v>1035</v>
      </c>
      <c r="B254" s="735" t="s">
        <v>599</v>
      </c>
      <c r="C254" s="708">
        <v>151.325</v>
      </c>
      <c r="D254" s="734" t="s">
        <v>703</v>
      </c>
      <c r="E254" s="708">
        <v>159.36</v>
      </c>
      <c r="F254" s="717" t="s">
        <v>596</v>
      </c>
      <c r="G254" s="711" t="s">
        <v>517</v>
      </c>
      <c r="H254" s="736" t="s">
        <v>1036</v>
      </c>
      <c r="I254" s="736"/>
      <c r="J254" s="736"/>
      <c r="K254" s="736"/>
      <c r="L254" s="736"/>
      <c r="M254" s="736"/>
      <c r="N254" s="736"/>
      <c r="O254" s="736"/>
      <c r="P254" s="736"/>
      <c r="Q254" s="736"/>
      <c r="R254" s="736"/>
      <c r="S254" s="736"/>
      <c r="T254" s="736"/>
      <c r="U254" s="736"/>
    </row>
    <row r="255">
      <c r="A255" s="737" t="s">
        <v>1037</v>
      </c>
      <c r="B255" s="735" t="s">
        <v>599</v>
      </c>
      <c r="C255" s="708">
        <v>154.385</v>
      </c>
      <c r="D255" s="734" t="s">
        <v>1038</v>
      </c>
      <c r="E255" s="708">
        <v>156.03</v>
      </c>
      <c r="F255" s="717" t="s">
        <v>1038</v>
      </c>
      <c r="G255" s="711" t="s">
        <v>517</v>
      </c>
      <c r="H255" s="736" t="s">
        <v>1039</v>
      </c>
      <c r="I255" s="736"/>
      <c r="J255" s="736"/>
      <c r="K255" s="736"/>
      <c r="L255" s="736"/>
      <c r="M255" s="736"/>
      <c r="N255" s="736"/>
      <c r="O255" s="736"/>
      <c r="P255" s="736"/>
      <c r="Q255" s="736"/>
      <c r="R255" s="736"/>
      <c r="S255" s="736"/>
      <c r="T255" s="736"/>
      <c r="U255" s="736"/>
    </row>
    <row r="256">
      <c r="A256" s="737" t="s">
        <v>1040</v>
      </c>
      <c r="B256" s="735" t="s">
        <v>599</v>
      </c>
      <c r="C256" s="708">
        <v>151.325</v>
      </c>
      <c r="D256" s="734" t="s">
        <v>724</v>
      </c>
      <c r="E256" s="708">
        <v>159.315</v>
      </c>
      <c r="F256" s="717" t="s">
        <v>596</v>
      </c>
      <c r="G256" s="711" t="s">
        <v>517</v>
      </c>
      <c r="H256" s="736" t="s">
        <v>1041</v>
      </c>
      <c r="I256" s="736"/>
      <c r="J256" s="736"/>
      <c r="K256" s="736"/>
      <c r="L256" s="736"/>
      <c r="M256" s="736"/>
      <c r="N256" s="736"/>
      <c r="O256" s="736"/>
      <c r="P256" s="736"/>
      <c r="Q256" s="736"/>
      <c r="R256" s="736"/>
      <c r="S256" s="736"/>
      <c r="T256" s="736"/>
      <c r="U256" s="736"/>
    </row>
    <row r="257">
      <c r="A257" s="737" t="s">
        <v>1042</v>
      </c>
      <c r="B257" s="735" t="s">
        <v>599</v>
      </c>
      <c r="C257" s="708">
        <v>172.4</v>
      </c>
      <c r="D257" s="714">
        <v>0.0</v>
      </c>
      <c r="E257" s="708">
        <v>164.125</v>
      </c>
      <c r="F257" s="717">
        <v>0.0</v>
      </c>
      <c r="G257" s="711" t="s">
        <v>517</v>
      </c>
      <c r="H257" s="736" t="s">
        <v>1043</v>
      </c>
      <c r="I257" s="736"/>
      <c r="J257" s="736"/>
      <c r="K257" s="736"/>
      <c r="L257" s="736"/>
      <c r="M257" s="736"/>
      <c r="N257" s="736"/>
      <c r="O257" s="736"/>
      <c r="P257" s="736"/>
      <c r="Q257" s="736"/>
      <c r="R257" s="736"/>
      <c r="S257" s="736"/>
      <c r="T257" s="736"/>
      <c r="U257" s="736"/>
    </row>
    <row r="258">
      <c r="A258" s="737" t="s">
        <v>1044</v>
      </c>
      <c r="B258" s="735" t="s">
        <v>599</v>
      </c>
      <c r="C258" s="708">
        <v>169.95</v>
      </c>
      <c r="D258" s="714">
        <v>0.0</v>
      </c>
      <c r="E258" s="708">
        <v>164.7875</v>
      </c>
      <c r="F258" s="717">
        <v>0.0</v>
      </c>
      <c r="G258" s="711" t="s">
        <v>517</v>
      </c>
      <c r="H258" s="736" t="s">
        <v>1045</v>
      </c>
      <c r="I258" s="736"/>
      <c r="J258" s="736"/>
      <c r="K258" s="736"/>
      <c r="L258" s="736"/>
      <c r="M258" s="736"/>
      <c r="N258" s="736"/>
      <c r="O258" s="736"/>
      <c r="P258" s="736"/>
      <c r="Q258" s="736"/>
      <c r="R258" s="736"/>
      <c r="S258" s="736"/>
      <c r="T258" s="736"/>
      <c r="U258" s="736"/>
    </row>
    <row r="259">
      <c r="A259" s="737" t="s">
        <v>1046</v>
      </c>
      <c r="B259" s="735" t="s">
        <v>599</v>
      </c>
      <c r="C259" s="708">
        <v>151.175</v>
      </c>
      <c r="D259" s="734" t="s">
        <v>724</v>
      </c>
      <c r="E259" s="708">
        <v>159.45</v>
      </c>
      <c r="F259" s="717" t="s">
        <v>596</v>
      </c>
      <c r="G259" s="711" t="s">
        <v>517</v>
      </c>
      <c r="H259" s="736" t="s">
        <v>1047</v>
      </c>
      <c r="I259" s="736"/>
      <c r="J259" s="736"/>
      <c r="K259" s="736"/>
      <c r="L259" s="736"/>
      <c r="M259" s="736"/>
      <c r="N259" s="736"/>
      <c r="O259" s="736"/>
      <c r="P259" s="736"/>
      <c r="Q259" s="736"/>
      <c r="R259" s="736"/>
      <c r="S259" s="736"/>
      <c r="T259" s="736"/>
      <c r="U259" s="736"/>
    </row>
    <row r="260">
      <c r="A260" s="737" t="s">
        <v>1048</v>
      </c>
      <c r="B260" s="735" t="s">
        <v>599</v>
      </c>
      <c r="C260" s="708">
        <v>151.37</v>
      </c>
      <c r="D260" s="734" t="s">
        <v>669</v>
      </c>
      <c r="E260" s="708">
        <v>159.285</v>
      </c>
      <c r="F260" s="717" t="s">
        <v>596</v>
      </c>
      <c r="G260" s="711" t="s">
        <v>517</v>
      </c>
      <c r="H260" s="736" t="s">
        <v>1049</v>
      </c>
      <c r="I260" s="736"/>
      <c r="J260" s="736"/>
      <c r="K260" s="736"/>
      <c r="L260" s="736"/>
      <c r="M260" s="736"/>
      <c r="N260" s="736"/>
      <c r="O260" s="736"/>
      <c r="P260" s="736"/>
      <c r="Q260" s="736"/>
      <c r="R260" s="736"/>
      <c r="S260" s="736"/>
      <c r="T260" s="736"/>
      <c r="U260" s="736"/>
    </row>
    <row r="261">
      <c r="A261" s="737" t="s">
        <v>1050</v>
      </c>
      <c r="B261" s="735" t="s">
        <v>599</v>
      </c>
      <c r="C261" s="708">
        <v>154.01</v>
      </c>
      <c r="D261" s="734" t="s">
        <v>837</v>
      </c>
      <c r="E261" s="708">
        <v>155.895</v>
      </c>
      <c r="F261" s="717" t="s">
        <v>596</v>
      </c>
      <c r="G261" s="711" t="s">
        <v>517</v>
      </c>
      <c r="H261" s="736" t="s">
        <v>1051</v>
      </c>
      <c r="I261" s="736"/>
      <c r="J261" s="736"/>
      <c r="K261" s="736"/>
      <c r="L261" s="736"/>
      <c r="M261" s="736"/>
      <c r="N261" s="736"/>
      <c r="O261" s="736"/>
      <c r="P261" s="736"/>
      <c r="Q261" s="736"/>
      <c r="R261" s="736"/>
      <c r="S261" s="736"/>
      <c r="T261" s="736"/>
      <c r="U261" s="736"/>
    </row>
    <row r="262">
      <c r="A262" s="737" t="s">
        <v>1052</v>
      </c>
      <c r="B262" s="735" t="s">
        <v>599</v>
      </c>
      <c r="C262" s="708">
        <v>153.905</v>
      </c>
      <c r="D262" s="734" t="s">
        <v>837</v>
      </c>
      <c r="E262" s="708">
        <v>158.925</v>
      </c>
      <c r="F262" s="717" t="s">
        <v>837</v>
      </c>
      <c r="G262" s="711" t="s">
        <v>517</v>
      </c>
      <c r="H262" s="736" t="s">
        <v>1053</v>
      </c>
      <c r="I262" s="736"/>
      <c r="J262" s="736"/>
      <c r="K262" s="736"/>
      <c r="L262" s="736"/>
      <c r="M262" s="736"/>
      <c r="N262" s="736"/>
      <c r="O262" s="736"/>
      <c r="P262" s="736"/>
      <c r="Q262" s="736"/>
      <c r="R262" s="736"/>
      <c r="S262" s="736"/>
      <c r="T262" s="736"/>
      <c r="U262" s="736"/>
    </row>
    <row r="263">
      <c r="A263" s="737" t="s">
        <v>1054</v>
      </c>
      <c r="B263" s="735" t="s">
        <v>494</v>
      </c>
      <c r="C263" s="708">
        <v>151.13</v>
      </c>
      <c r="D263" s="734" t="s">
        <v>724</v>
      </c>
      <c r="E263" s="708">
        <v>158.6925</v>
      </c>
      <c r="F263" s="717" t="s">
        <v>596</v>
      </c>
      <c r="G263" s="711" t="s">
        <v>517</v>
      </c>
      <c r="H263" s="736" t="s">
        <v>1055</v>
      </c>
      <c r="I263" s="736"/>
      <c r="J263" s="736"/>
      <c r="K263" s="736"/>
      <c r="L263" s="736"/>
      <c r="M263" s="736"/>
      <c r="N263" s="736"/>
      <c r="O263" s="736"/>
      <c r="P263" s="736"/>
      <c r="Q263" s="736"/>
      <c r="R263" s="736"/>
      <c r="S263" s="736"/>
      <c r="T263" s="736"/>
      <c r="U263" s="736"/>
    </row>
    <row r="264">
      <c r="A264" s="737" t="s">
        <v>1056</v>
      </c>
      <c r="B264" s="735" t="s">
        <v>599</v>
      </c>
      <c r="C264" s="708">
        <v>172.4</v>
      </c>
      <c r="D264" s="714">
        <v>0.0</v>
      </c>
      <c r="E264" s="708">
        <v>164.125</v>
      </c>
      <c r="F264" s="717">
        <v>0.0</v>
      </c>
      <c r="G264" s="711" t="s">
        <v>517</v>
      </c>
      <c r="H264" s="736" t="s">
        <v>1057</v>
      </c>
      <c r="I264" s="736"/>
      <c r="J264" s="736"/>
      <c r="K264" s="736"/>
      <c r="L264" s="736"/>
      <c r="M264" s="736"/>
      <c r="N264" s="736"/>
      <c r="O264" s="736"/>
      <c r="P264" s="736"/>
      <c r="Q264" s="736"/>
      <c r="R264" s="736"/>
      <c r="S264" s="736"/>
      <c r="T264" s="736"/>
      <c r="U264" s="736"/>
    </row>
    <row r="265">
      <c r="A265" s="737" t="s">
        <v>1058</v>
      </c>
      <c r="B265" s="735" t="s">
        <v>599</v>
      </c>
      <c r="C265" s="708">
        <v>151.19</v>
      </c>
      <c r="D265" s="734" t="s">
        <v>718</v>
      </c>
      <c r="E265" s="708">
        <v>159.225</v>
      </c>
      <c r="F265" s="717" t="s">
        <v>596</v>
      </c>
      <c r="G265" s="711" t="s">
        <v>517</v>
      </c>
      <c r="H265" s="736" t="s">
        <v>1059</v>
      </c>
      <c r="I265" s="736"/>
      <c r="J265" s="736"/>
      <c r="K265" s="736"/>
      <c r="L265" s="736"/>
      <c r="M265" s="736"/>
      <c r="N265" s="736"/>
      <c r="O265" s="736"/>
      <c r="P265" s="736"/>
      <c r="Q265" s="736"/>
      <c r="R265" s="736"/>
      <c r="S265" s="736"/>
      <c r="T265" s="736"/>
      <c r="U265" s="736"/>
    </row>
    <row r="266">
      <c r="A266" s="737" t="s">
        <v>1060</v>
      </c>
      <c r="B266" s="735" t="s">
        <v>1061</v>
      </c>
      <c r="C266" s="708">
        <v>156.8</v>
      </c>
      <c r="D266" s="734">
        <v>0.0</v>
      </c>
      <c r="E266" s="708">
        <v>156.8</v>
      </c>
      <c r="F266" s="717">
        <v>0.0</v>
      </c>
      <c r="G266" s="711" t="s">
        <v>517</v>
      </c>
      <c r="H266" s="736" t="s">
        <v>1062</v>
      </c>
      <c r="I266" s="736"/>
      <c r="J266" s="736"/>
      <c r="K266" s="736"/>
      <c r="L266" s="736"/>
      <c r="M266" s="736"/>
      <c r="N266" s="736"/>
      <c r="O266" s="736"/>
      <c r="P266" s="736"/>
      <c r="Q266" s="736"/>
      <c r="R266" s="736"/>
      <c r="S266" s="736"/>
      <c r="T266" s="736"/>
      <c r="U266" s="736"/>
    </row>
    <row r="267">
      <c r="A267" s="737" t="s">
        <v>1063</v>
      </c>
      <c r="B267" s="735" t="s">
        <v>1061</v>
      </c>
      <c r="C267" s="708">
        <v>157.1</v>
      </c>
      <c r="D267" s="734">
        <v>0.0</v>
      </c>
      <c r="E267" s="708">
        <v>157.1</v>
      </c>
      <c r="F267" s="717">
        <v>0.0</v>
      </c>
      <c r="G267" s="711" t="s">
        <v>517</v>
      </c>
      <c r="H267" s="736" t="s">
        <v>1064</v>
      </c>
      <c r="I267" s="736"/>
      <c r="J267" s="736"/>
      <c r="K267" s="736"/>
      <c r="L267" s="736"/>
      <c r="M267" s="736"/>
      <c r="N267" s="736"/>
      <c r="O267" s="736"/>
      <c r="P267" s="736"/>
      <c r="Q267" s="736"/>
      <c r="R267" s="736"/>
      <c r="S267" s="736"/>
      <c r="T267" s="736"/>
      <c r="U267" s="736"/>
    </row>
    <row r="268">
      <c r="A268" s="737" t="s">
        <v>1065</v>
      </c>
      <c r="B268" s="735" t="s">
        <v>612</v>
      </c>
      <c r="C268" s="708">
        <v>159.4725</v>
      </c>
      <c r="D268" s="734" t="s">
        <v>703</v>
      </c>
      <c r="E268" s="708">
        <v>151.1375</v>
      </c>
      <c r="F268" s="717" t="s">
        <v>724</v>
      </c>
      <c r="G268" s="711" t="s">
        <v>517</v>
      </c>
      <c r="H268" s="736" t="s">
        <v>1066</v>
      </c>
      <c r="I268" s="736"/>
      <c r="J268" s="736"/>
      <c r="K268" s="736"/>
      <c r="L268" s="736"/>
      <c r="M268" s="736"/>
      <c r="N268" s="736"/>
      <c r="O268" s="736"/>
      <c r="P268" s="736"/>
      <c r="Q268" s="736"/>
      <c r="R268" s="736"/>
      <c r="S268" s="736"/>
      <c r="T268" s="736"/>
      <c r="U268" s="736"/>
    </row>
    <row r="269">
      <c r="A269" s="737" t="s">
        <v>1067</v>
      </c>
      <c r="B269" s="735" t="s">
        <v>612</v>
      </c>
      <c r="C269" s="708">
        <v>158.7375</v>
      </c>
      <c r="D269" s="734" t="s">
        <v>703</v>
      </c>
      <c r="E269" s="708">
        <v>154.4525</v>
      </c>
      <c r="F269" s="717" t="s">
        <v>724</v>
      </c>
      <c r="G269" s="711" t="s">
        <v>517</v>
      </c>
      <c r="H269" s="736" t="s">
        <v>1066</v>
      </c>
      <c r="I269" s="736"/>
      <c r="J269" s="736"/>
      <c r="K269" s="736"/>
      <c r="L269" s="736"/>
      <c r="M269" s="736"/>
      <c r="N269" s="736"/>
      <c r="O269" s="736"/>
      <c r="P269" s="736"/>
      <c r="Q269" s="736"/>
      <c r="R269" s="736"/>
      <c r="S269" s="736"/>
      <c r="T269" s="736"/>
      <c r="U269" s="736"/>
    </row>
    <row r="270">
      <c r="A270" s="737" t="s">
        <v>1068</v>
      </c>
      <c r="B270" s="735" t="s">
        <v>612</v>
      </c>
      <c r="C270" s="708">
        <v>159.4725</v>
      </c>
      <c r="D270" s="734" t="s">
        <v>703</v>
      </c>
      <c r="E270" s="708">
        <v>158.7375</v>
      </c>
      <c r="F270" s="717" t="s">
        <v>724</v>
      </c>
      <c r="G270" s="711" t="s">
        <v>517</v>
      </c>
      <c r="H270" s="736" t="s">
        <v>1066</v>
      </c>
      <c r="I270" s="736"/>
      <c r="J270" s="736"/>
      <c r="K270" s="736"/>
      <c r="L270" s="736"/>
      <c r="M270" s="736"/>
      <c r="N270" s="736"/>
      <c r="O270" s="736"/>
      <c r="P270" s="736"/>
      <c r="Q270" s="736"/>
      <c r="R270" s="736"/>
      <c r="S270" s="736"/>
      <c r="T270" s="736"/>
      <c r="U270" s="736"/>
    </row>
    <row r="271">
      <c r="A271" s="737" t="s">
        <v>1069</v>
      </c>
      <c r="B271" s="735" t="s">
        <v>612</v>
      </c>
      <c r="C271" s="708">
        <v>151.1375</v>
      </c>
      <c r="D271" s="734" t="s">
        <v>703</v>
      </c>
      <c r="E271" s="708">
        <v>159.4725</v>
      </c>
      <c r="F271" s="717" t="s">
        <v>724</v>
      </c>
      <c r="G271" s="711" t="s">
        <v>517</v>
      </c>
      <c r="H271" s="736" t="s">
        <v>1066</v>
      </c>
      <c r="I271" s="736"/>
      <c r="J271" s="736"/>
      <c r="K271" s="736"/>
      <c r="L271" s="736"/>
      <c r="M271" s="736"/>
      <c r="N271" s="736"/>
      <c r="O271" s="736"/>
      <c r="P271" s="736"/>
      <c r="Q271" s="736"/>
      <c r="R271" s="736"/>
      <c r="S271" s="736"/>
      <c r="T271" s="736"/>
      <c r="U271" s="736"/>
    </row>
    <row r="272">
      <c r="A272" s="737" t="s">
        <v>1070</v>
      </c>
      <c r="B272" s="735" t="s">
        <v>612</v>
      </c>
      <c r="C272" s="708">
        <v>154.4525</v>
      </c>
      <c r="D272" s="734" t="s">
        <v>703</v>
      </c>
      <c r="E272" s="708">
        <v>158.7375</v>
      </c>
      <c r="F272" s="717" t="s">
        <v>724</v>
      </c>
      <c r="G272" s="711" t="s">
        <v>517</v>
      </c>
      <c r="H272" s="736" t="s">
        <v>1066</v>
      </c>
      <c r="I272" s="736"/>
      <c r="J272" s="736"/>
      <c r="K272" s="736"/>
      <c r="L272" s="736"/>
      <c r="M272" s="736"/>
      <c r="N272" s="736"/>
      <c r="O272" s="736"/>
      <c r="P272" s="736"/>
      <c r="Q272" s="736"/>
      <c r="R272" s="736"/>
      <c r="S272" s="736"/>
      <c r="T272" s="736"/>
      <c r="U272" s="736"/>
    </row>
    <row r="273">
      <c r="A273" s="737" t="s">
        <v>1071</v>
      </c>
      <c r="B273" s="735" t="s">
        <v>612</v>
      </c>
      <c r="C273" s="708">
        <v>158.7375</v>
      </c>
      <c r="D273" s="734" t="s">
        <v>703</v>
      </c>
      <c r="E273" s="708">
        <v>159.4725</v>
      </c>
      <c r="F273" s="717" t="s">
        <v>724</v>
      </c>
      <c r="G273" s="711" t="s">
        <v>517</v>
      </c>
      <c r="H273" s="736" t="s">
        <v>1066</v>
      </c>
      <c r="I273" s="736"/>
      <c r="J273" s="736"/>
      <c r="K273" s="736"/>
      <c r="L273" s="736"/>
      <c r="M273" s="736"/>
      <c r="N273" s="736"/>
      <c r="O273" s="736"/>
      <c r="P273" s="736"/>
      <c r="Q273" s="736"/>
      <c r="R273" s="736"/>
      <c r="S273" s="736"/>
      <c r="T273" s="736"/>
      <c r="U273" s="736"/>
    </row>
    <row r="274">
      <c r="A274" s="737" t="s">
        <v>1072</v>
      </c>
      <c r="B274" s="735" t="s">
        <v>612</v>
      </c>
      <c r="C274" s="708">
        <v>155.7525</v>
      </c>
      <c r="D274" s="714">
        <v>0.0</v>
      </c>
      <c r="E274" s="708">
        <v>155.7525</v>
      </c>
      <c r="F274" s="734" t="s">
        <v>703</v>
      </c>
      <c r="G274" s="711" t="s">
        <v>517</v>
      </c>
      <c r="H274" s="736"/>
      <c r="I274" s="736"/>
      <c r="J274" s="736"/>
      <c r="K274" s="736"/>
      <c r="L274" s="736"/>
      <c r="M274" s="736"/>
      <c r="N274" s="736"/>
      <c r="O274" s="736"/>
      <c r="P274" s="736"/>
      <c r="Q274" s="736"/>
      <c r="R274" s="736"/>
      <c r="S274" s="736"/>
      <c r="T274" s="736"/>
      <c r="U274" s="736"/>
    </row>
    <row r="275">
      <c r="A275" s="737" t="s">
        <v>1073</v>
      </c>
      <c r="B275" s="735" t="s">
        <v>612</v>
      </c>
      <c r="C275" s="708">
        <v>154.28</v>
      </c>
      <c r="D275" s="734" t="s">
        <v>703</v>
      </c>
      <c r="E275" s="708">
        <v>154.28</v>
      </c>
      <c r="F275" s="734" t="s">
        <v>703</v>
      </c>
      <c r="G275" s="711" t="s">
        <v>517</v>
      </c>
      <c r="H275" s="736" t="s">
        <v>1074</v>
      </c>
      <c r="I275" s="736"/>
      <c r="J275" s="736"/>
      <c r="K275" s="736"/>
      <c r="L275" s="736"/>
      <c r="M275" s="736"/>
      <c r="N275" s="736"/>
      <c r="O275" s="736"/>
      <c r="P275" s="736"/>
      <c r="Q275" s="736"/>
      <c r="R275" s="736"/>
      <c r="S275" s="736"/>
      <c r="T275" s="736"/>
      <c r="U275" s="736"/>
    </row>
    <row r="276">
      <c r="A276" s="737" t="s">
        <v>1075</v>
      </c>
      <c r="B276" s="735" t="s">
        <v>612</v>
      </c>
      <c r="C276" s="708">
        <v>154.265</v>
      </c>
      <c r="D276" s="734" t="s">
        <v>703</v>
      </c>
      <c r="E276" s="708">
        <v>154.265</v>
      </c>
      <c r="F276" s="734" t="s">
        <v>703</v>
      </c>
      <c r="G276" s="711" t="s">
        <v>517</v>
      </c>
      <c r="H276" s="736" t="s">
        <v>1074</v>
      </c>
      <c r="I276" s="736"/>
      <c r="J276" s="736"/>
      <c r="K276" s="736"/>
      <c r="L276" s="736"/>
      <c r="M276" s="736"/>
      <c r="N276" s="736"/>
      <c r="O276" s="736"/>
      <c r="P276" s="736"/>
      <c r="Q276" s="736"/>
      <c r="R276" s="736"/>
      <c r="S276" s="736"/>
      <c r="T276" s="736"/>
      <c r="U276" s="736"/>
    </row>
    <row r="277">
      <c r="A277" s="737" t="s">
        <v>1076</v>
      </c>
      <c r="B277" s="735" t="s">
        <v>612</v>
      </c>
      <c r="C277" s="708">
        <v>154.295</v>
      </c>
      <c r="D277" s="734" t="s">
        <v>703</v>
      </c>
      <c r="E277" s="708">
        <v>154.295</v>
      </c>
      <c r="F277" s="734" t="s">
        <v>703</v>
      </c>
      <c r="G277" s="711" t="s">
        <v>517</v>
      </c>
      <c r="H277" s="736" t="s">
        <v>1074</v>
      </c>
      <c r="I277" s="736"/>
      <c r="J277" s="736"/>
      <c r="K277" s="736"/>
      <c r="L277" s="736"/>
      <c r="M277" s="736"/>
      <c r="N277" s="736"/>
      <c r="O277" s="736"/>
      <c r="P277" s="736"/>
      <c r="Q277" s="736"/>
      <c r="R277" s="736"/>
      <c r="S277" s="736"/>
      <c r="T277" s="736"/>
      <c r="U277" s="736"/>
    </row>
    <row r="278">
      <c r="A278" s="737" t="s">
        <v>1077</v>
      </c>
      <c r="B278" s="735" t="s">
        <v>612</v>
      </c>
      <c r="C278" s="708">
        <v>154.2725</v>
      </c>
      <c r="D278" s="734" t="s">
        <v>703</v>
      </c>
      <c r="E278" s="708">
        <v>154.2725</v>
      </c>
      <c r="F278" s="734" t="s">
        <v>703</v>
      </c>
      <c r="G278" s="711" t="s">
        <v>517</v>
      </c>
      <c r="H278" s="736" t="s">
        <v>1074</v>
      </c>
      <c r="I278" s="736"/>
      <c r="J278" s="736"/>
      <c r="K278" s="736"/>
      <c r="L278" s="736"/>
      <c r="M278" s="736"/>
      <c r="N278" s="736"/>
      <c r="O278" s="736"/>
      <c r="P278" s="736"/>
      <c r="Q278" s="736"/>
      <c r="R278" s="736"/>
      <c r="S278" s="736"/>
      <c r="T278" s="736"/>
      <c r="U278" s="736"/>
    </row>
    <row r="279">
      <c r="A279" s="737" t="s">
        <v>1078</v>
      </c>
      <c r="B279" s="735" t="s">
        <v>612</v>
      </c>
      <c r="C279" s="708">
        <v>154.2875</v>
      </c>
      <c r="D279" s="734" t="s">
        <v>703</v>
      </c>
      <c r="E279" s="708">
        <v>154.2875</v>
      </c>
      <c r="F279" s="734" t="s">
        <v>703</v>
      </c>
      <c r="G279" s="711" t="s">
        <v>517</v>
      </c>
      <c r="H279" s="736" t="s">
        <v>1074</v>
      </c>
      <c r="I279" s="736"/>
      <c r="J279" s="736"/>
      <c r="K279" s="736"/>
      <c r="L279" s="736"/>
      <c r="M279" s="736"/>
      <c r="N279" s="736"/>
      <c r="O279" s="736"/>
      <c r="P279" s="736"/>
      <c r="Q279" s="736"/>
      <c r="R279" s="736"/>
      <c r="S279" s="736"/>
      <c r="T279" s="736"/>
      <c r="U279" s="736"/>
    </row>
    <row r="280">
      <c r="A280" s="737" t="s">
        <v>1079</v>
      </c>
      <c r="B280" s="735" t="s">
        <v>612</v>
      </c>
      <c r="C280" s="708">
        <v>154.3025</v>
      </c>
      <c r="D280" s="734" t="s">
        <v>703</v>
      </c>
      <c r="E280" s="708">
        <v>154.3025</v>
      </c>
      <c r="F280" s="734" t="s">
        <v>703</v>
      </c>
      <c r="G280" s="711" t="s">
        <v>517</v>
      </c>
      <c r="H280" s="736" t="s">
        <v>1074</v>
      </c>
      <c r="I280" s="736"/>
      <c r="J280" s="736"/>
      <c r="K280" s="736"/>
      <c r="L280" s="736"/>
      <c r="M280" s="736"/>
      <c r="N280" s="736"/>
      <c r="O280" s="736"/>
      <c r="P280" s="736"/>
      <c r="Q280" s="736"/>
      <c r="R280" s="736"/>
      <c r="S280" s="736"/>
      <c r="T280" s="736"/>
      <c r="U280" s="736"/>
    </row>
    <row r="281">
      <c r="A281" s="737" t="s">
        <v>1080</v>
      </c>
      <c r="B281" s="735" t="s">
        <v>612</v>
      </c>
      <c r="C281" s="708">
        <v>155.34</v>
      </c>
      <c r="D281" s="734" t="s">
        <v>703</v>
      </c>
      <c r="E281" s="708">
        <v>155.34</v>
      </c>
      <c r="F281" s="734" t="s">
        <v>703</v>
      </c>
      <c r="G281" s="711" t="s">
        <v>517</v>
      </c>
      <c r="H281" s="736"/>
      <c r="I281" s="736"/>
      <c r="J281" s="736"/>
      <c r="K281" s="736"/>
      <c r="L281" s="736"/>
      <c r="M281" s="736"/>
      <c r="N281" s="736"/>
      <c r="O281" s="736"/>
      <c r="P281" s="736"/>
      <c r="Q281" s="736"/>
      <c r="R281" s="736"/>
      <c r="S281" s="736"/>
      <c r="T281" s="736"/>
      <c r="U281" s="736"/>
    </row>
    <row r="282">
      <c r="A282" s="737" t="s">
        <v>1081</v>
      </c>
      <c r="B282" s="735" t="s">
        <v>612</v>
      </c>
      <c r="C282" s="708">
        <v>155.3475</v>
      </c>
      <c r="D282" s="734" t="s">
        <v>703</v>
      </c>
      <c r="E282" s="708">
        <v>155.3475</v>
      </c>
      <c r="F282" s="734" t="s">
        <v>703</v>
      </c>
      <c r="G282" s="711" t="s">
        <v>517</v>
      </c>
      <c r="H282" s="736"/>
      <c r="I282" s="736"/>
      <c r="J282" s="736"/>
      <c r="K282" s="736"/>
      <c r="L282" s="736"/>
      <c r="M282" s="736"/>
      <c r="N282" s="736"/>
      <c r="O282" s="736"/>
      <c r="P282" s="736"/>
      <c r="Q282" s="736"/>
      <c r="R282" s="736"/>
      <c r="S282" s="736"/>
      <c r="T282" s="736"/>
      <c r="U282" s="736"/>
    </row>
    <row r="283">
      <c r="A283" s="737" t="s">
        <v>1082</v>
      </c>
      <c r="B283" s="707" t="s">
        <v>542</v>
      </c>
      <c r="C283" s="708">
        <v>154.235</v>
      </c>
      <c r="D283" s="734" t="s">
        <v>688</v>
      </c>
      <c r="E283" s="708">
        <v>154.235</v>
      </c>
      <c r="F283" s="717" t="s">
        <v>688</v>
      </c>
      <c r="G283" s="711" t="s">
        <v>517</v>
      </c>
      <c r="H283" s="736" t="s">
        <v>1083</v>
      </c>
      <c r="I283" s="736"/>
      <c r="J283" s="736"/>
      <c r="K283" s="736"/>
      <c r="L283" s="736"/>
      <c r="M283" s="736"/>
      <c r="N283" s="736"/>
      <c r="O283" s="736"/>
      <c r="P283" s="736"/>
      <c r="Q283" s="736"/>
      <c r="R283" s="736"/>
      <c r="S283" s="736"/>
      <c r="T283" s="736"/>
      <c r="U283" s="736"/>
    </row>
    <row r="284">
      <c r="A284" s="737" t="s">
        <v>1084</v>
      </c>
      <c r="B284" s="735" t="s">
        <v>494</v>
      </c>
      <c r="C284" s="708">
        <v>154.325</v>
      </c>
      <c r="D284" s="734" t="s">
        <v>1085</v>
      </c>
      <c r="E284" s="708">
        <v>155.835</v>
      </c>
      <c r="F284" s="717" t="s">
        <v>1085</v>
      </c>
      <c r="G284" s="711" t="s">
        <v>517</v>
      </c>
      <c r="H284" s="736" t="s">
        <v>1086</v>
      </c>
      <c r="I284" s="736"/>
      <c r="J284" s="736"/>
      <c r="K284" s="736"/>
      <c r="L284" s="736"/>
      <c r="M284" s="736"/>
      <c r="N284" s="736"/>
      <c r="O284" s="736"/>
      <c r="P284" s="736"/>
      <c r="Q284" s="736"/>
      <c r="R284" s="736"/>
      <c r="S284" s="736"/>
      <c r="T284" s="736"/>
      <c r="U284" s="736"/>
    </row>
    <row r="285">
      <c r="A285" s="737" t="s">
        <v>1087</v>
      </c>
      <c r="B285" s="735" t="s">
        <v>494</v>
      </c>
      <c r="C285" s="708">
        <v>153.875</v>
      </c>
      <c r="D285" s="734" t="s">
        <v>1088</v>
      </c>
      <c r="E285" s="708">
        <v>158.805</v>
      </c>
      <c r="F285" s="717" t="s">
        <v>1088</v>
      </c>
      <c r="G285" s="711" t="s">
        <v>517</v>
      </c>
      <c r="H285" s="736"/>
      <c r="I285" s="736"/>
      <c r="J285" s="736"/>
      <c r="K285" s="736"/>
      <c r="L285" s="736"/>
      <c r="M285" s="736"/>
      <c r="N285" s="736"/>
      <c r="O285" s="736"/>
      <c r="P285" s="736"/>
      <c r="Q285" s="736"/>
      <c r="R285" s="736"/>
      <c r="S285" s="736"/>
      <c r="T285" s="736"/>
      <c r="U285" s="736"/>
    </row>
    <row r="286">
      <c r="A286" s="737" t="s">
        <v>1089</v>
      </c>
      <c r="B286" s="735" t="s">
        <v>494</v>
      </c>
      <c r="C286" s="708">
        <v>155.985</v>
      </c>
      <c r="D286" s="734" t="s">
        <v>846</v>
      </c>
      <c r="E286" s="708">
        <v>154.725</v>
      </c>
      <c r="F286" s="717" t="s">
        <v>846</v>
      </c>
      <c r="G286" s="711" t="s">
        <v>517</v>
      </c>
      <c r="H286" s="736" t="s">
        <v>1090</v>
      </c>
      <c r="I286" s="736"/>
      <c r="J286" s="736"/>
      <c r="K286" s="736"/>
      <c r="L286" s="736"/>
      <c r="M286" s="736"/>
      <c r="N286" s="736"/>
      <c r="O286" s="736"/>
      <c r="P286" s="736"/>
      <c r="Q286" s="736"/>
      <c r="R286" s="736"/>
      <c r="S286" s="736"/>
      <c r="T286" s="736"/>
      <c r="U286" s="736"/>
    </row>
    <row r="287">
      <c r="A287" s="737" t="s">
        <v>1091</v>
      </c>
      <c r="B287" s="735" t="s">
        <v>494</v>
      </c>
      <c r="C287" s="708">
        <v>153.95</v>
      </c>
      <c r="D287" s="734" t="s">
        <v>688</v>
      </c>
      <c r="E287" s="708">
        <v>153.95</v>
      </c>
      <c r="F287" s="734" t="s">
        <v>688</v>
      </c>
      <c r="G287" s="711" t="s">
        <v>517</v>
      </c>
      <c r="H287" s="736"/>
      <c r="I287" s="736"/>
      <c r="J287" s="736"/>
      <c r="K287" s="736"/>
      <c r="L287" s="736"/>
      <c r="M287" s="736"/>
      <c r="N287" s="736"/>
      <c r="O287" s="736"/>
      <c r="P287" s="736"/>
      <c r="Q287" s="736"/>
      <c r="R287" s="736"/>
      <c r="S287" s="736"/>
      <c r="T287" s="736"/>
      <c r="U287" s="736"/>
    </row>
    <row r="288">
      <c r="A288" s="737" t="s">
        <v>1092</v>
      </c>
      <c r="B288" s="735" t="s">
        <v>494</v>
      </c>
      <c r="C288" s="708">
        <v>154.025</v>
      </c>
      <c r="D288" s="734" t="s">
        <v>688</v>
      </c>
      <c r="E288" s="708">
        <v>154.025</v>
      </c>
      <c r="F288" s="734" t="s">
        <v>688</v>
      </c>
      <c r="G288" s="711" t="s">
        <v>517</v>
      </c>
      <c r="H288" s="736"/>
      <c r="I288" s="736"/>
      <c r="J288" s="736"/>
      <c r="K288" s="736"/>
      <c r="L288" s="736"/>
      <c r="M288" s="736"/>
      <c r="N288" s="736"/>
      <c r="O288" s="736"/>
      <c r="P288" s="736"/>
      <c r="Q288" s="736"/>
      <c r="R288" s="736"/>
      <c r="S288" s="736"/>
      <c r="T288" s="736"/>
      <c r="U288" s="736"/>
    </row>
    <row r="289">
      <c r="A289" s="737" t="s">
        <v>1093</v>
      </c>
      <c r="B289" s="735" t="s">
        <v>494</v>
      </c>
      <c r="C289" s="708">
        <v>153.83</v>
      </c>
      <c r="D289" s="734" t="s">
        <v>688</v>
      </c>
      <c r="E289" s="708">
        <v>153.83</v>
      </c>
      <c r="F289" s="734" t="s">
        <v>688</v>
      </c>
      <c r="G289" s="711" t="s">
        <v>517</v>
      </c>
      <c r="H289" s="736"/>
      <c r="I289" s="736"/>
      <c r="J289" s="736"/>
      <c r="K289" s="736"/>
      <c r="L289" s="736"/>
      <c r="M289" s="736"/>
      <c r="N289" s="736"/>
      <c r="O289" s="736"/>
      <c r="P289" s="736"/>
      <c r="Q289" s="736"/>
      <c r="R289" s="736"/>
      <c r="S289" s="736"/>
      <c r="T289" s="736"/>
      <c r="U289" s="736"/>
    </row>
    <row r="290">
      <c r="A290" s="737" t="s">
        <v>1094</v>
      </c>
      <c r="B290" s="735" t="s">
        <v>612</v>
      </c>
      <c r="C290" s="708">
        <v>155.16</v>
      </c>
      <c r="D290" s="734" t="s">
        <v>604</v>
      </c>
      <c r="E290" s="708">
        <v>155.16</v>
      </c>
      <c r="F290" s="717" t="s">
        <v>604</v>
      </c>
      <c r="G290" s="711" t="s">
        <v>517</v>
      </c>
      <c r="H290" s="736"/>
      <c r="I290" s="736"/>
      <c r="J290" s="736"/>
      <c r="K290" s="736"/>
      <c r="L290" s="736"/>
      <c r="M290" s="736"/>
      <c r="N290" s="736"/>
      <c r="O290" s="736"/>
      <c r="P290" s="736"/>
      <c r="Q290" s="736"/>
      <c r="R290" s="736"/>
      <c r="S290" s="736"/>
      <c r="T290" s="736"/>
      <c r="U290" s="736"/>
    </row>
    <row r="291">
      <c r="A291" s="737" t="s">
        <v>1095</v>
      </c>
      <c r="B291" s="735" t="s">
        <v>612</v>
      </c>
      <c r="C291" s="708">
        <v>151.1375</v>
      </c>
      <c r="D291" s="734" t="s">
        <v>703</v>
      </c>
      <c r="E291" s="708">
        <v>151.1375</v>
      </c>
      <c r="F291" s="734" t="s">
        <v>703</v>
      </c>
      <c r="G291" s="711" t="s">
        <v>517</v>
      </c>
      <c r="H291" s="736" t="s">
        <v>1096</v>
      </c>
      <c r="I291" s="736"/>
      <c r="J291" s="736"/>
      <c r="K291" s="736"/>
      <c r="L291" s="736"/>
      <c r="M291" s="736"/>
      <c r="N291" s="736"/>
      <c r="O291" s="736"/>
      <c r="P291" s="736"/>
      <c r="Q291" s="736"/>
      <c r="R291" s="736"/>
      <c r="S291" s="736"/>
      <c r="T291" s="736"/>
      <c r="U291" s="736"/>
    </row>
    <row r="292">
      <c r="A292" s="737" t="s">
        <v>1097</v>
      </c>
      <c r="B292" s="735" t="s">
        <v>612</v>
      </c>
      <c r="C292" s="708">
        <v>154.4525</v>
      </c>
      <c r="D292" s="734" t="s">
        <v>703</v>
      </c>
      <c r="E292" s="708">
        <v>154.4525</v>
      </c>
      <c r="F292" s="734" t="s">
        <v>703</v>
      </c>
      <c r="G292" s="711" t="s">
        <v>517</v>
      </c>
      <c r="H292" s="736" t="s">
        <v>1096</v>
      </c>
      <c r="I292" s="736"/>
      <c r="J292" s="736"/>
      <c r="K292" s="736"/>
      <c r="L292" s="736"/>
      <c r="M292" s="736"/>
      <c r="N292" s="736"/>
      <c r="O292" s="736"/>
      <c r="P292" s="736"/>
      <c r="Q292" s="736"/>
      <c r="R292" s="736"/>
      <c r="S292" s="736"/>
      <c r="T292" s="736"/>
      <c r="U292" s="736"/>
    </row>
    <row r="293">
      <c r="A293" s="737" t="s">
        <v>1098</v>
      </c>
      <c r="B293" s="735" t="s">
        <v>612</v>
      </c>
      <c r="C293" s="708">
        <v>158.7375</v>
      </c>
      <c r="D293" s="734" t="s">
        <v>703</v>
      </c>
      <c r="E293" s="708">
        <v>158.7375</v>
      </c>
      <c r="F293" s="734" t="s">
        <v>703</v>
      </c>
      <c r="G293" s="711" t="s">
        <v>517</v>
      </c>
      <c r="H293" s="736" t="s">
        <v>1096</v>
      </c>
      <c r="I293" s="736"/>
      <c r="J293" s="736"/>
      <c r="K293" s="736"/>
      <c r="L293" s="736"/>
      <c r="M293" s="736"/>
      <c r="N293" s="736"/>
      <c r="O293" s="736"/>
      <c r="P293" s="736"/>
      <c r="Q293" s="736"/>
      <c r="R293" s="736"/>
      <c r="S293" s="736"/>
      <c r="T293" s="736"/>
      <c r="U293" s="736"/>
    </row>
    <row r="294">
      <c r="A294" s="737" t="s">
        <v>1099</v>
      </c>
      <c r="B294" s="735" t="s">
        <v>612</v>
      </c>
      <c r="C294" s="708">
        <v>159.4725</v>
      </c>
      <c r="D294" s="734" t="s">
        <v>703</v>
      </c>
      <c r="E294" s="708">
        <v>159.4725</v>
      </c>
      <c r="F294" s="734" t="s">
        <v>703</v>
      </c>
      <c r="G294" s="711" t="s">
        <v>517</v>
      </c>
      <c r="H294" s="736" t="s">
        <v>1096</v>
      </c>
      <c r="I294" s="736"/>
      <c r="J294" s="736"/>
      <c r="K294" s="736"/>
      <c r="L294" s="736"/>
      <c r="M294" s="736"/>
      <c r="N294" s="736"/>
      <c r="O294" s="736"/>
      <c r="P294" s="736"/>
      <c r="Q294" s="736"/>
      <c r="R294" s="736"/>
      <c r="S294" s="736"/>
      <c r="T294" s="736"/>
      <c r="U294" s="736"/>
    </row>
    <row r="295">
      <c r="A295" s="737" t="s">
        <v>1100</v>
      </c>
      <c r="B295" s="735" t="s">
        <v>494</v>
      </c>
      <c r="C295" s="708">
        <v>154.385</v>
      </c>
      <c r="D295" s="734" t="s">
        <v>724</v>
      </c>
      <c r="E295" s="708">
        <v>155.82</v>
      </c>
      <c r="F295" s="734" t="s">
        <v>703</v>
      </c>
      <c r="G295" s="711" t="s">
        <v>517</v>
      </c>
      <c r="H295" s="736" t="s">
        <v>1101</v>
      </c>
      <c r="I295" s="736"/>
      <c r="J295" s="736"/>
      <c r="K295" s="736"/>
      <c r="L295" s="736"/>
      <c r="M295" s="736"/>
      <c r="N295" s="736"/>
      <c r="O295" s="736"/>
      <c r="P295" s="736"/>
      <c r="Q295" s="736"/>
      <c r="R295" s="736"/>
      <c r="S295" s="736"/>
      <c r="T295" s="736"/>
      <c r="U295" s="736"/>
    </row>
    <row r="296">
      <c r="A296" s="737" t="s">
        <v>1102</v>
      </c>
      <c r="B296" s="735" t="s">
        <v>494</v>
      </c>
      <c r="C296" s="708">
        <v>154.7625</v>
      </c>
      <c r="D296" s="734" t="s">
        <v>721</v>
      </c>
      <c r="E296" s="708">
        <v>159.18</v>
      </c>
      <c r="F296" s="717" t="s">
        <v>596</v>
      </c>
      <c r="G296" s="711" t="s">
        <v>517</v>
      </c>
      <c r="H296" s="736" t="s">
        <v>1103</v>
      </c>
      <c r="I296" s="736"/>
      <c r="J296" s="736"/>
      <c r="K296" s="736"/>
      <c r="L296" s="736"/>
      <c r="M296" s="736"/>
      <c r="N296" s="736"/>
      <c r="O296" s="736"/>
      <c r="P296" s="736"/>
      <c r="Q296" s="736"/>
      <c r="R296" s="736"/>
      <c r="S296" s="736"/>
      <c r="T296" s="736"/>
      <c r="U296" s="736"/>
    </row>
    <row r="297">
      <c r="A297" s="737" t="s">
        <v>1104</v>
      </c>
      <c r="B297" s="735" t="s">
        <v>494</v>
      </c>
      <c r="C297" s="708">
        <v>155.9025</v>
      </c>
      <c r="D297" s="734" t="s">
        <v>846</v>
      </c>
      <c r="E297" s="708">
        <v>159.2775</v>
      </c>
      <c r="F297" s="717" t="s">
        <v>596</v>
      </c>
      <c r="G297" s="711" t="s">
        <v>517</v>
      </c>
      <c r="H297" s="736" t="s">
        <v>1105</v>
      </c>
      <c r="I297" s="736"/>
      <c r="J297" s="736"/>
      <c r="K297" s="736"/>
      <c r="L297" s="736"/>
      <c r="M297" s="736"/>
      <c r="N297" s="736"/>
      <c r="O297" s="736"/>
      <c r="P297" s="736"/>
      <c r="Q297" s="736"/>
      <c r="R297" s="736"/>
      <c r="S297" s="736"/>
      <c r="T297" s="736"/>
      <c r="U297" s="736"/>
    </row>
    <row r="298">
      <c r="A298" s="737" t="s">
        <v>1106</v>
      </c>
      <c r="B298" s="735" t="s">
        <v>494</v>
      </c>
      <c r="C298" s="708">
        <v>153.185</v>
      </c>
      <c r="D298" s="734" t="s">
        <v>721</v>
      </c>
      <c r="E298" s="708">
        <v>158.43</v>
      </c>
      <c r="F298" s="717" t="s">
        <v>596</v>
      </c>
      <c r="G298" s="711" t="s">
        <v>517</v>
      </c>
      <c r="H298" s="736" t="s">
        <v>1107</v>
      </c>
      <c r="I298" s="736"/>
      <c r="J298" s="736"/>
      <c r="K298" s="736"/>
      <c r="L298" s="736"/>
      <c r="M298" s="736"/>
      <c r="N298" s="736"/>
      <c r="O298" s="736"/>
      <c r="P298" s="736"/>
      <c r="Q298" s="736"/>
      <c r="R298" s="736"/>
      <c r="S298" s="736"/>
      <c r="T298" s="736"/>
      <c r="U298" s="736"/>
    </row>
    <row r="299">
      <c r="A299" s="737" t="s">
        <v>1108</v>
      </c>
      <c r="B299" s="735" t="s">
        <v>599</v>
      </c>
      <c r="C299" s="708">
        <v>154.415</v>
      </c>
      <c r="D299" s="734" t="s">
        <v>837</v>
      </c>
      <c r="E299" s="708">
        <v>154.86</v>
      </c>
      <c r="F299" s="717" t="s">
        <v>596</v>
      </c>
      <c r="G299" s="711" t="s">
        <v>517</v>
      </c>
      <c r="H299" s="736" t="s">
        <v>1109</v>
      </c>
      <c r="I299" s="736"/>
      <c r="J299" s="736"/>
      <c r="K299" s="736"/>
      <c r="L299" s="736"/>
      <c r="M299" s="736"/>
      <c r="N299" s="736"/>
      <c r="O299" s="736"/>
      <c r="P299" s="736"/>
      <c r="Q299" s="736"/>
      <c r="R299" s="736"/>
      <c r="S299" s="736"/>
      <c r="T299" s="736"/>
      <c r="U299" s="736"/>
    </row>
    <row r="300">
      <c r="A300" s="737" t="s">
        <v>1110</v>
      </c>
      <c r="B300" s="707" t="s">
        <v>542</v>
      </c>
      <c r="C300" s="708">
        <v>156.165</v>
      </c>
      <c r="D300" s="734" t="s">
        <v>1111</v>
      </c>
      <c r="E300" s="708">
        <v>156.165</v>
      </c>
      <c r="F300" s="717" t="s">
        <v>1111</v>
      </c>
      <c r="G300" s="711" t="s">
        <v>517</v>
      </c>
      <c r="H300" s="736" t="s">
        <v>1112</v>
      </c>
      <c r="I300" s="736"/>
      <c r="J300" s="736"/>
      <c r="K300" s="736"/>
      <c r="L300" s="736"/>
      <c r="M300" s="736"/>
      <c r="N300" s="736"/>
      <c r="O300" s="736"/>
      <c r="P300" s="736"/>
      <c r="Q300" s="736"/>
      <c r="R300" s="736"/>
      <c r="S300" s="736"/>
      <c r="T300" s="736"/>
      <c r="U300" s="736"/>
    </row>
    <row r="301">
      <c r="A301" s="737" t="s">
        <v>1113</v>
      </c>
      <c r="B301" s="735" t="s">
        <v>494</v>
      </c>
      <c r="C301" s="708">
        <v>154.175</v>
      </c>
      <c r="D301" s="734" t="s">
        <v>733</v>
      </c>
      <c r="E301" s="708">
        <v>158.865</v>
      </c>
      <c r="F301" s="717" t="s">
        <v>733</v>
      </c>
      <c r="G301" s="711" t="s">
        <v>517</v>
      </c>
      <c r="H301" s="736" t="s">
        <v>1114</v>
      </c>
      <c r="I301" s="736"/>
      <c r="J301" s="736"/>
      <c r="K301" s="736"/>
      <c r="L301" s="736"/>
      <c r="M301" s="736"/>
      <c r="N301" s="736"/>
      <c r="O301" s="736"/>
      <c r="P301" s="736"/>
      <c r="Q301" s="736"/>
      <c r="R301" s="736"/>
      <c r="S301" s="736"/>
      <c r="T301" s="736"/>
      <c r="U301" s="736"/>
    </row>
    <row r="302">
      <c r="A302" s="737" t="s">
        <v>1115</v>
      </c>
      <c r="B302" s="735" t="s">
        <v>494</v>
      </c>
      <c r="C302" s="708">
        <v>150.6125</v>
      </c>
      <c r="D302" s="734" t="s">
        <v>703</v>
      </c>
      <c r="E302" s="708">
        <v>167.45</v>
      </c>
      <c r="F302" s="717" t="s">
        <v>596</v>
      </c>
      <c r="G302" s="711" t="s">
        <v>517</v>
      </c>
      <c r="H302" s="736" t="s">
        <v>1116</v>
      </c>
      <c r="I302" s="736"/>
      <c r="J302" s="736"/>
      <c r="K302" s="736"/>
      <c r="L302" s="736"/>
      <c r="M302" s="736"/>
      <c r="N302" s="736"/>
      <c r="O302" s="736"/>
      <c r="P302" s="736"/>
      <c r="Q302" s="736"/>
      <c r="R302" s="736"/>
      <c r="S302" s="736"/>
      <c r="T302" s="736"/>
      <c r="U302" s="736"/>
    </row>
    <row r="303">
      <c r="A303" s="737" t="s">
        <v>1117</v>
      </c>
      <c r="B303" s="735" t="s">
        <v>494</v>
      </c>
      <c r="C303" s="708">
        <v>156.225</v>
      </c>
      <c r="D303" s="734" t="s">
        <v>1111</v>
      </c>
      <c r="E303" s="708">
        <v>159.015</v>
      </c>
      <c r="F303" s="720" t="s">
        <v>1111</v>
      </c>
      <c r="G303" s="711" t="s">
        <v>517</v>
      </c>
      <c r="H303" s="736" t="s">
        <v>1118</v>
      </c>
      <c r="I303" s="736"/>
      <c r="J303" s="736"/>
      <c r="K303" s="736"/>
      <c r="L303" s="736"/>
      <c r="M303" s="736"/>
      <c r="N303" s="736"/>
      <c r="O303" s="736"/>
      <c r="P303" s="736"/>
      <c r="Q303" s="736"/>
      <c r="R303" s="736"/>
      <c r="S303" s="736"/>
      <c r="T303" s="736"/>
      <c r="U303" s="736"/>
    </row>
    <row r="304">
      <c r="A304" s="737" t="s">
        <v>1119</v>
      </c>
      <c r="B304" s="735" t="s">
        <v>494</v>
      </c>
      <c r="C304" s="708">
        <v>153.995</v>
      </c>
      <c r="D304" s="734" t="s">
        <v>718</v>
      </c>
      <c r="E304" s="708">
        <v>159.1125</v>
      </c>
      <c r="F304" s="717" t="s">
        <v>596</v>
      </c>
      <c r="G304" s="711" t="s">
        <v>517</v>
      </c>
      <c r="H304" s="736" t="s">
        <v>1120</v>
      </c>
      <c r="I304" s="736"/>
      <c r="J304" s="736"/>
      <c r="K304" s="736"/>
      <c r="L304" s="736"/>
      <c r="M304" s="736"/>
      <c r="N304" s="736"/>
      <c r="O304" s="736"/>
      <c r="P304" s="736"/>
      <c r="Q304" s="736"/>
      <c r="R304" s="736"/>
      <c r="S304" s="736"/>
      <c r="T304" s="736"/>
      <c r="U304" s="736"/>
    </row>
    <row r="305">
      <c r="A305" s="737" t="s">
        <v>1121</v>
      </c>
      <c r="B305" s="735" t="s">
        <v>494</v>
      </c>
      <c r="C305" s="708">
        <v>158.97</v>
      </c>
      <c r="D305" s="734" t="s">
        <v>733</v>
      </c>
      <c r="E305" s="708">
        <v>155.55</v>
      </c>
      <c r="F305" s="717" t="s">
        <v>733</v>
      </c>
      <c r="G305" s="711" t="s">
        <v>517</v>
      </c>
      <c r="H305" s="736" t="s">
        <v>1122</v>
      </c>
      <c r="I305" s="736"/>
      <c r="J305" s="736"/>
      <c r="K305" s="736"/>
      <c r="L305" s="736"/>
      <c r="M305" s="736"/>
      <c r="N305" s="736"/>
      <c r="O305" s="736"/>
      <c r="P305" s="736"/>
      <c r="Q305" s="736"/>
      <c r="R305" s="736"/>
      <c r="S305" s="736"/>
      <c r="T305" s="736"/>
      <c r="U305" s="736"/>
    </row>
    <row r="306">
      <c r="A306" s="737" t="s">
        <v>1123</v>
      </c>
      <c r="B306" s="735" t="s">
        <v>494</v>
      </c>
      <c r="C306" s="708">
        <v>153.89</v>
      </c>
      <c r="D306" s="734" t="s">
        <v>703</v>
      </c>
      <c r="E306" s="708">
        <v>150.805</v>
      </c>
      <c r="F306" s="717" t="s">
        <v>596</v>
      </c>
      <c r="G306" s="711" t="s">
        <v>517</v>
      </c>
      <c r="H306" s="736" t="s">
        <v>1124</v>
      </c>
      <c r="I306" s="736"/>
      <c r="J306" s="736"/>
      <c r="K306" s="736"/>
      <c r="L306" s="736"/>
      <c r="M306" s="736"/>
      <c r="N306" s="736"/>
      <c r="O306" s="736"/>
      <c r="P306" s="736"/>
      <c r="Q306" s="736"/>
      <c r="R306" s="736"/>
      <c r="S306" s="736"/>
      <c r="T306" s="736"/>
      <c r="U306" s="736"/>
    </row>
    <row r="307">
      <c r="A307" s="737" t="s">
        <v>1125</v>
      </c>
      <c r="B307" s="735" t="s">
        <v>494</v>
      </c>
      <c r="C307" s="708">
        <v>151.055</v>
      </c>
      <c r="D307" s="734" t="s">
        <v>727</v>
      </c>
      <c r="E307" s="708">
        <v>156.045</v>
      </c>
      <c r="F307" s="717" t="s">
        <v>727</v>
      </c>
      <c r="G307" s="711" t="s">
        <v>517</v>
      </c>
      <c r="H307" s="736" t="s">
        <v>1126</v>
      </c>
      <c r="I307" s="736"/>
      <c r="J307" s="736"/>
      <c r="K307" s="736"/>
      <c r="L307" s="736"/>
      <c r="M307" s="736"/>
      <c r="N307" s="736"/>
      <c r="O307" s="736"/>
      <c r="P307" s="736"/>
      <c r="Q307" s="736"/>
      <c r="R307" s="736"/>
      <c r="S307" s="736"/>
      <c r="T307" s="736"/>
      <c r="U307" s="736"/>
    </row>
    <row r="308">
      <c r="A308" s="737" t="s">
        <v>1127</v>
      </c>
      <c r="B308" s="735" t="s">
        <v>494</v>
      </c>
      <c r="C308" s="708">
        <v>154.83</v>
      </c>
      <c r="D308" s="734" t="s">
        <v>846</v>
      </c>
      <c r="E308" s="708">
        <v>156.09</v>
      </c>
      <c r="F308" s="717" t="s">
        <v>846</v>
      </c>
      <c r="G308" s="711" t="s">
        <v>517</v>
      </c>
      <c r="H308" s="736" t="s">
        <v>1128</v>
      </c>
      <c r="I308" s="736"/>
      <c r="J308" s="736"/>
      <c r="K308" s="736"/>
      <c r="L308" s="736"/>
      <c r="M308" s="736"/>
      <c r="N308" s="736"/>
      <c r="O308" s="736"/>
      <c r="P308" s="736"/>
      <c r="Q308" s="736"/>
      <c r="R308" s="736"/>
      <c r="S308" s="736"/>
      <c r="T308" s="736"/>
      <c r="U308" s="736"/>
    </row>
    <row r="309">
      <c r="A309" s="737" t="s">
        <v>1129</v>
      </c>
      <c r="B309" s="735" t="s">
        <v>494</v>
      </c>
      <c r="C309" s="708">
        <v>151.475</v>
      </c>
      <c r="D309" s="734" t="s">
        <v>688</v>
      </c>
      <c r="E309" s="708">
        <v>159.015</v>
      </c>
      <c r="F309" s="717" t="s">
        <v>688</v>
      </c>
      <c r="G309" s="711" t="s">
        <v>517</v>
      </c>
      <c r="H309" s="736" t="s">
        <v>1130</v>
      </c>
      <c r="I309" s="736"/>
      <c r="J309" s="736"/>
      <c r="K309" s="736"/>
      <c r="L309" s="736"/>
      <c r="M309" s="736"/>
      <c r="N309" s="736"/>
      <c r="O309" s="736"/>
      <c r="P309" s="736"/>
      <c r="Q309" s="736"/>
      <c r="R309" s="736"/>
      <c r="S309" s="736"/>
      <c r="T309" s="736"/>
      <c r="U309" s="736"/>
    </row>
    <row r="310">
      <c r="A310" s="737"/>
      <c r="B310" s="736"/>
      <c r="C310" s="708"/>
      <c r="D310" s="714"/>
      <c r="E310" s="708"/>
      <c r="F310" s="717"/>
      <c r="G310" s="746"/>
      <c r="H310" s="736"/>
      <c r="I310" s="736"/>
      <c r="J310" s="736"/>
      <c r="K310" s="736"/>
      <c r="L310" s="736"/>
      <c r="M310" s="736"/>
      <c r="N310" s="736"/>
      <c r="O310" s="736"/>
      <c r="P310" s="736"/>
      <c r="Q310" s="736"/>
      <c r="R310" s="736"/>
      <c r="S310" s="736"/>
      <c r="T310" s="736"/>
      <c r="U310" s="736"/>
    </row>
    <row r="311">
      <c r="A311" s="737"/>
      <c r="B311" s="736"/>
      <c r="C311" s="708"/>
      <c r="D311" s="714"/>
      <c r="E311" s="708"/>
      <c r="F311" s="717"/>
      <c r="G311" s="746"/>
      <c r="H311" s="736"/>
      <c r="I311" s="736"/>
      <c r="J311" s="736"/>
      <c r="K311" s="736"/>
      <c r="L311" s="736"/>
      <c r="M311" s="736"/>
      <c r="N311" s="736"/>
      <c r="O311" s="736"/>
      <c r="P311" s="736"/>
      <c r="Q311" s="736"/>
      <c r="R311" s="736"/>
      <c r="S311" s="736"/>
      <c r="T311" s="736"/>
      <c r="U311" s="736"/>
    </row>
    <row r="312">
      <c r="A312" s="736"/>
      <c r="B312" s="736"/>
      <c r="C312" s="747"/>
      <c r="D312" s="746"/>
      <c r="E312" s="747"/>
      <c r="F312" s="746"/>
      <c r="G312" s="746"/>
      <c r="H312" s="736"/>
      <c r="I312" s="736"/>
      <c r="J312" s="736"/>
      <c r="K312" s="736"/>
      <c r="L312" s="736"/>
      <c r="M312" s="736"/>
      <c r="N312" s="736"/>
      <c r="O312" s="736"/>
      <c r="P312" s="736"/>
      <c r="Q312" s="736"/>
      <c r="R312" s="736"/>
      <c r="S312" s="736"/>
      <c r="T312" s="736"/>
      <c r="U312" s="736"/>
    </row>
    <row r="313">
      <c r="A313" s="736"/>
      <c r="B313" s="736"/>
      <c r="C313" s="747"/>
      <c r="D313" s="746"/>
      <c r="E313" s="747"/>
      <c r="F313" s="746"/>
      <c r="G313" s="746"/>
      <c r="H313" s="736"/>
      <c r="I313" s="736"/>
      <c r="J313" s="736"/>
      <c r="K313" s="736"/>
      <c r="L313" s="736"/>
      <c r="M313" s="736"/>
      <c r="N313" s="736"/>
      <c r="O313" s="736"/>
      <c r="P313" s="736"/>
      <c r="Q313" s="736"/>
      <c r="R313" s="736"/>
      <c r="S313" s="736"/>
      <c r="T313" s="736"/>
      <c r="U313" s="736"/>
    </row>
    <row r="314">
      <c r="A314" s="736"/>
      <c r="B314" s="736"/>
      <c r="C314" s="747"/>
      <c r="D314" s="746"/>
      <c r="E314" s="747"/>
      <c r="F314" s="746"/>
      <c r="G314" s="746"/>
      <c r="H314" s="736"/>
      <c r="I314" s="736"/>
      <c r="J314" s="736"/>
      <c r="K314" s="736"/>
      <c r="L314" s="736"/>
      <c r="M314" s="736"/>
      <c r="N314" s="736"/>
      <c r="O314" s="736"/>
      <c r="P314" s="736"/>
      <c r="Q314" s="736"/>
      <c r="R314" s="736"/>
      <c r="S314" s="736"/>
      <c r="T314" s="736"/>
      <c r="U314" s="736"/>
    </row>
    <row r="315">
      <c r="A315" s="736"/>
      <c r="B315" s="736"/>
      <c r="C315" s="747"/>
      <c r="D315" s="746"/>
      <c r="E315" s="747"/>
      <c r="F315" s="746"/>
      <c r="G315" s="746"/>
      <c r="H315" s="736"/>
      <c r="I315" s="736"/>
      <c r="J315" s="736"/>
      <c r="K315" s="736"/>
      <c r="L315" s="736"/>
      <c r="M315" s="736"/>
      <c r="N315" s="736"/>
      <c r="O315" s="736"/>
      <c r="P315" s="736"/>
      <c r="Q315" s="736"/>
      <c r="R315" s="736"/>
      <c r="S315" s="736"/>
      <c r="T315" s="736"/>
      <c r="U315" s="736"/>
    </row>
    <row r="316">
      <c r="A316" s="736"/>
      <c r="B316" s="736"/>
      <c r="C316" s="747"/>
      <c r="D316" s="746"/>
      <c r="E316" s="747"/>
      <c r="F316" s="746"/>
      <c r="G316" s="746"/>
      <c r="H316" s="736"/>
      <c r="I316" s="736"/>
      <c r="J316" s="736"/>
      <c r="K316" s="736"/>
      <c r="L316" s="736"/>
      <c r="M316" s="736"/>
      <c r="N316" s="736"/>
      <c r="O316" s="736"/>
      <c r="P316" s="736"/>
      <c r="Q316" s="736"/>
      <c r="R316" s="736"/>
      <c r="S316" s="736"/>
      <c r="T316" s="736"/>
      <c r="U316" s="736"/>
    </row>
    <row r="317">
      <c r="A317" s="736"/>
      <c r="B317" s="736"/>
      <c r="C317" s="747"/>
      <c r="D317" s="746"/>
      <c r="E317" s="747"/>
      <c r="F317" s="746"/>
      <c r="G317" s="746"/>
      <c r="H317" s="736"/>
      <c r="I317" s="736"/>
      <c r="J317" s="736"/>
      <c r="K317" s="736"/>
      <c r="L317" s="736"/>
      <c r="M317" s="736"/>
      <c r="N317" s="736"/>
      <c r="O317" s="736"/>
      <c r="P317" s="736"/>
      <c r="Q317" s="736"/>
      <c r="R317" s="736"/>
      <c r="S317" s="736"/>
      <c r="T317" s="736"/>
      <c r="U317" s="736"/>
    </row>
    <row r="318">
      <c r="A318" s="736"/>
      <c r="B318" s="736"/>
      <c r="C318" s="747"/>
      <c r="D318" s="746"/>
      <c r="E318" s="747"/>
      <c r="F318" s="746"/>
      <c r="G318" s="746"/>
      <c r="H318" s="736"/>
      <c r="I318" s="736"/>
      <c r="J318" s="736"/>
      <c r="K318" s="736"/>
      <c r="L318" s="736"/>
      <c r="M318" s="736"/>
      <c r="N318" s="736"/>
      <c r="O318" s="736"/>
      <c r="P318" s="736"/>
      <c r="Q318" s="736"/>
      <c r="R318" s="736"/>
      <c r="S318" s="736"/>
      <c r="T318" s="736"/>
      <c r="U318" s="736"/>
    </row>
    <row r="319">
      <c r="A319" s="736"/>
      <c r="B319" s="736"/>
      <c r="C319" s="747"/>
      <c r="D319" s="746"/>
      <c r="E319" s="747"/>
      <c r="F319" s="746"/>
      <c r="G319" s="746"/>
      <c r="H319" s="736"/>
      <c r="I319" s="736"/>
      <c r="J319" s="736"/>
      <c r="K319" s="736"/>
      <c r="L319" s="736"/>
      <c r="M319" s="736"/>
      <c r="N319" s="736"/>
      <c r="O319" s="736"/>
      <c r="P319" s="736"/>
      <c r="Q319" s="736"/>
      <c r="R319" s="736"/>
      <c r="S319" s="736"/>
      <c r="T319" s="736"/>
      <c r="U319" s="736"/>
    </row>
    <row r="320">
      <c r="A320" s="736"/>
      <c r="B320" s="736"/>
      <c r="C320" s="747"/>
      <c r="D320" s="746"/>
      <c r="E320" s="747"/>
      <c r="F320" s="746"/>
      <c r="G320" s="746"/>
      <c r="H320" s="736"/>
      <c r="I320" s="736"/>
      <c r="J320" s="736"/>
      <c r="K320" s="736"/>
      <c r="L320" s="736"/>
      <c r="M320" s="736"/>
      <c r="N320" s="736"/>
      <c r="O320" s="736"/>
      <c r="P320" s="736"/>
      <c r="Q320" s="736"/>
      <c r="R320" s="736"/>
      <c r="S320" s="736"/>
      <c r="T320" s="736"/>
      <c r="U320" s="736"/>
    </row>
    <row r="321">
      <c r="A321" s="736"/>
      <c r="B321" s="736"/>
      <c r="C321" s="747"/>
      <c r="D321" s="746"/>
      <c r="E321" s="747"/>
      <c r="F321" s="746"/>
      <c r="G321" s="746"/>
      <c r="H321" s="736"/>
      <c r="I321" s="736"/>
      <c r="J321" s="736"/>
      <c r="K321" s="736"/>
      <c r="L321" s="736"/>
      <c r="M321" s="736"/>
      <c r="N321" s="736"/>
      <c r="O321" s="736"/>
      <c r="P321" s="736"/>
      <c r="Q321" s="736"/>
      <c r="R321" s="736"/>
      <c r="S321" s="736"/>
      <c r="T321" s="736"/>
      <c r="U321" s="736"/>
    </row>
    <row r="322">
      <c r="A322" s="736"/>
      <c r="B322" s="736"/>
      <c r="C322" s="747"/>
      <c r="D322" s="746"/>
      <c r="E322" s="747"/>
      <c r="F322" s="746"/>
      <c r="G322" s="746"/>
      <c r="H322" s="736"/>
      <c r="I322" s="736"/>
      <c r="J322" s="736"/>
      <c r="K322" s="736"/>
      <c r="L322" s="736"/>
      <c r="M322" s="736"/>
      <c r="N322" s="736"/>
      <c r="O322" s="736"/>
      <c r="P322" s="736"/>
      <c r="Q322" s="736"/>
      <c r="R322" s="736"/>
      <c r="S322" s="736"/>
      <c r="T322" s="736"/>
      <c r="U322" s="736"/>
    </row>
    <row r="323">
      <c r="A323" s="736"/>
      <c r="B323" s="736"/>
      <c r="C323" s="747"/>
      <c r="D323" s="746"/>
      <c r="E323" s="747"/>
      <c r="F323" s="746"/>
      <c r="G323" s="746"/>
      <c r="H323" s="736"/>
      <c r="I323" s="736"/>
      <c r="J323" s="736"/>
      <c r="K323" s="736"/>
      <c r="L323" s="736"/>
      <c r="M323" s="736"/>
      <c r="N323" s="736"/>
      <c r="O323" s="736"/>
      <c r="P323" s="736"/>
      <c r="Q323" s="736"/>
      <c r="R323" s="736"/>
      <c r="S323" s="736"/>
      <c r="T323" s="736"/>
      <c r="U323" s="736"/>
    </row>
    <row r="324">
      <c r="A324" s="736"/>
      <c r="B324" s="736"/>
      <c r="C324" s="747"/>
      <c r="D324" s="746"/>
      <c r="E324" s="747"/>
      <c r="F324" s="746"/>
      <c r="G324" s="746"/>
      <c r="H324" s="736"/>
      <c r="I324" s="736"/>
      <c r="J324" s="736"/>
      <c r="K324" s="736"/>
      <c r="L324" s="736"/>
      <c r="M324" s="736"/>
      <c r="N324" s="736"/>
      <c r="O324" s="736"/>
      <c r="P324" s="736"/>
      <c r="Q324" s="736"/>
      <c r="R324" s="736"/>
      <c r="S324" s="736"/>
      <c r="T324" s="736"/>
      <c r="U324" s="736"/>
    </row>
    <row r="325">
      <c r="A325" s="736"/>
      <c r="B325" s="736"/>
      <c r="C325" s="747"/>
      <c r="D325" s="746"/>
      <c r="E325" s="747"/>
      <c r="F325" s="746"/>
      <c r="G325" s="746"/>
      <c r="H325" s="736"/>
      <c r="I325" s="736"/>
      <c r="J325" s="736"/>
      <c r="K325" s="736"/>
      <c r="L325" s="736"/>
      <c r="M325" s="736"/>
      <c r="N325" s="736"/>
      <c r="O325" s="736"/>
      <c r="P325" s="736"/>
      <c r="Q325" s="736"/>
      <c r="R325" s="736"/>
      <c r="S325" s="736"/>
      <c r="T325" s="736"/>
      <c r="U325" s="736"/>
    </row>
    <row r="326">
      <c r="A326" s="736"/>
      <c r="B326" s="736"/>
      <c r="C326" s="747"/>
      <c r="D326" s="746"/>
      <c r="E326" s="747"/>
      <c r="F326" s="746"/>
      <c r="G326" s="746"/>
      <c r="H326" s="736"/>
      <c r="I326" s="736"/>
      <c r="J326" s="736"/>
      <c r="K326" s="736"/>
      <c r="L326" s="736"/>
      <c r="M326" s="736"/>
      <c r="N326" s="736"/>
      <c r="O326" s="736"/>
      <c r="P326" s="736"/>
      <c r="Q326" s="736"/>
      <c r="R326" s="736"/>
      <c r="S326" s="736"/>
      <c r="T326" s="736"/>
      <c r="U326" s="736"/>
    </row>
    <row r="327">
      <c r="A327" s="736"/>
      <c r="B327" s="736"/>
      <c r="C327" s="747"/>
      <c r="D327" s="746"/>
      <c r="E327" s="747"/>
      <c r="F327" s="746"/>
      <c r="G327" s="746"/>
      <c r="H327" s="736"/>
      <c r="I327" s="736"/>
      <c r="J327" s="736"/>
      <c r="K327" s="736"/>
      <c r="L327" s="736"/>
      <c r="M327" s="736"/>
      <c r="N327" s="736"/>
      <c r="O327" s="736"/>
      <c r="P327" s="736"/>
      <c r="Q327" s="736"/>
      <c r="R327" s="736"/>
      <c r="S327" s="736"/>
      <c r="T327" s="736"/>
      <c r="U327" s="736"/>
    </row>
    <row r="328">
      <c r="A328" s="736"/>
      <c r="B328" s="736"/>
      <c r="C328" s="747"/>
      <c r="D328" s="746"/>
      <c r="E328" s="747"/>
      <c r="F328" s="746"/>
      <c r="G328" s="746"/>
      <c r="H328" s="736"/>
      <c r="I328" s="736"/>
      <c r="J328" s="736"/>
      <c r="K328" s="736"/>
      <c r="L328" s="736"/>
      <c r="M328" s="736"/>
      <c r="N328" s="736"/>
      <c r="O328" s="736"/>
      <c r="P328" s="736"/>
      <c r="Q328" s="736"/>
      <c r="R328" s="736"/>
      <c r="S328" s="736"/>
      <c r="T328" s="736"/>
      <c r="U328" s="736"/>
    </row>
    <row r="329">
      <c r="A329" s="736"/>
      <c r="B329" s="736"/>
      <c r="C329" s="747"/>
      <c r="D329" s="746"/>
      <c r="E329" s="747"/>
      <c r="F329" s="746"/>
      <c r="G329" s="746"/>
      <c r="H329" s="736"/>
      <c r="I329" s="736"/>
      <c r="J329" s="736"/>
      <c r="K329" s="736"/>
      <c r="L329" s="736"/>
      <c r="M329" s="736"/>
      <c r="N329" s="736"/>
      <c r="O329" s="736"/>
      <c r="P329" s="736"/>
      <c r="Q329" s="736"/>
      <c r="R329" s="736"/>
      <c r="S329" s="736"/>
      <c r="T329" s="736"/>
      <c r="U329" s="736"/>
    </row>
    <row r="330">
      <c r="A330" s="736"/>
      <c r="B330" s="736"/>
      <c r="C330" s="747"/>
      <c r="D330" s="746"/>
      <c r="E330" s="747"/>
      <c r="F330" s="746"/>
      <c r="G330" s="746"/>
      <c r="H330" s="736"/>
      <c r="I330" s="736"/>
      <c r="J330" s="736"/>
      <c r="K330" s="736"/>
      <c r="L330" s="736"/>
      <c r="M330" s="736"/>
      <c r="N330" s="736"/>
      <c r="O330" s="736"/>
      <c r="P330" s="736"/>
      <c r="Q330" s="736"/>
      <c r="R330" s="736"/>
      <c r="S330" s="736"/>
      <c r="T330" s="736"/>
      <c r="U330" s="736"/>
    </row>
    <row r="331">
      <c r="A331" s="736"/>
      <c r="B331" s="736"/>
      <c r="C331" s="747"/>
      <c r="D331" s="746"/>
      <c r="E331" s="747"/>
      <c r="F331" s="746"/>
      <c r="G331" s="746"/>
      <c r="H331" s="736"/>
      <c r="I331" s="736"/>
      <c r="J331" s="736"/>
      <c r="K331" s="736"/>
      <c r="L331" s="736"/>
      <c r="M331" s="736"/>
      <c r="N331" s="736"/>
      <c r="O331" s="736"/>
      <c r="P331" s="736"/>
      <c r="Q331" s="736"/>
      <c r="R331" s="736"/>
      <c r="S331" s="736"/>
      <c r="T331" s="736"/>
      <c r="U331" s="736"/>
    </row>
    <row r="332">
      <c r="A332" s="736"/>
      <c r="B332" s="736"/>
      <c r="C332" s="747"/>
      <c r="D332" s="746"/>
      <c r="E332" s="747"/>
      <c r="F332" s="746"/>
      <c r="G332" s="746"/>
      <c r="H332" s="736"/>
      <c r="I332" s="736"/>
      <c r="J332" s="736"/>
      <c r="K332" s="736"/>
      <c r="L332" s="736"/>
      <c r="M332" s="736"/>
      <c r="N332" s="736"/>
      <c r="O332" s="736"/>
      <c r="P332" s="736"/>
      <c r="Q332" s="736"/>
      <c r="R332" s="736"/>
      <c r="S332" s="736"/>
      <c r="T332" s="736"/>
      <c r="U332" s="736"/>
    </row>
    <row r="333">
      <c r="A333" s="736"/>
      <c r="B333" s="736"/>
      <c r="C333" s="747"/>
      <c r="D333" s="746"/>
      <c r="E333" s="747"/>
      <c r="F333" s="746"/>
      <c r="G333" s="746"/>
      <c r="H333" s="736"/>
      <c r="I333" s="736"/>
      <c r="J333" s="736"/>
      <c r="K333" s="736"/>
      <c r="L333" s="736"/>
      <c r="M333" s="736"/>
      <c r="N333" s="736"/>
      <c r="O333" s="736"/>
      <c r="P333" s="736"/>
      <c r="Q333" s="736"/>
      <c r="R333" s="736"/>
      <c r="S333" s="736"/>
      <c r="T333" s="736"/>
      <c r="U333" s="736"/>
    </row>
    <row r="334">
      <c r="A334" s="736"/>
      <c r="B334" s="736"/>
      <c r="C334" s="747"/>
      <c r="D334" s="746"/>
      <c r="E334" s="747"/>
      <c r="F334" s="746"/>
      <c r="G334" s="746"/>
      <c r="H334" s="736"/>
      <c r="I334" s="736"/>
      <c r="J334" s="736"/>
      <c r="K334" s="736"/>
      <c r="L334" s="736"/>
      <c r="M334" s="736"/>
      <c r="N334" s="736"/>
      <c r="O334" s="736"/>
      <c r="P334" s="736"/>
      <c r="Q334" s="736"/>
      <c r="R334" s="736"/>
      <c r="S334" s="736"/>
      <c r="T334" s="736"/>
      <c r="U334" s="736"/>
    </row>
    <row r="335">
      <c r="A335" s="736"/>
      <c r="B335" s="736"/>
      <c r="C335" s="747"/>
      <c r="D335" s="746"/>
      <c r="E335" s="747"/>
      <c r="F335" s="746"/>
      <c r="G335" s="746"/>
      <c r="H335" s="736"/>
      <c r="I335" s="736"/>
      <c r="J335" s="736"/>
      <c r="K335" s="736"/>
      <c r="L335" s="736"/>
      <c r="M335" s="736"/>
      <c r="N335" s="736"/>
      <c r="O335" s="736"/>
      <c r="P335" s="736"/>
      <c r="Q335" s="736"/>
      <c r="R335" s="736"/>
      <c r="S335" s="736"/>
      <c r="T335" s="736"/>
      <c r="U335" s="736"/>
    </row>
    <row r="336">
      <c r="A336" s="736"/>
      <c r="B336" s="736"/>
      <c r="C336" s="747"/>
      <c r="D336" s="746"/>
      <c r="E336" s="747"/>
      <c r="F336" s="746"/>
      <c r="G336" s="746"/>
      <c r="H336" s="736"/>
      <c r="I336" s="736"/>
      <c r="J336" s="736"/>
      <c r="K336" s="736"/>
      <c r="L336" s="736"/>
      <c r="M336" s="736"/>
      <c r="N336" s="736"/>
      <c r="O336" s="736"/>
      <c r="P336" s="736"/>
      <c r="Q336" s="736"/>
      <c r="R336" s="736"/>
      <c r="S336" s="736"/>
      <c r="T336" s="736"/>
      <c r="U336" s="736"/>
    </row>
    <row r="337">
      <c r="A337" s="736"/>
      <c r="B337" s="736"/>
      <c r="C337" s="747"/>
      <c r="D337" s="746"/>
      <c r="E337" s="747"/>
      <c r="F337" s="746"/>
      <c r="G337" s="746"/>
      <c r="H337" s="736"/>
      <c r="I337" s="736"/>
      <c r="J337" s="736"/>
      <c r="K337" s="736"/>
      <c r="L337" s="736"/>
      <c r="M337" s="736"/>
      <c r="N337" s="736"/>
      <c r="O337" s="736"/>
      <c r="P337" s="736"/>
      <c r="Q337" s="736"/>
      <c r="R337" s="736"/>
      <c r="S337" s="736"/>
      <c r="T337" s="736"/>
      <c r="U337" s="736"/>
    </row>
    <row r="338">
      <c r="A338" s="736"/>
      <c r="B338" s="736"/>
      <c r="C338" s="747"/>
      <c r="D338" s="746"/>
      <c r="E338" s="747"/>
      <c r="F338" s="746"/>
      <c r="G338" s="746"/>
      <c r="H338" s="736"/>
      <c r="I338" s="736"/>
      <c r="J338" s="736"/>
      <c r="K338" s="736"/>
      <c r="L338" s="736"/>
      <c r="M338" s="736"/>
      <c r="N338" s="736"/>
      <c r="O338" s="736"/>
      <c r="P338" s="736"/>
      <c r="Q338" s="736"/>
      <c r="R338" s="736"/>
      <c r="S338" s="736"/>
      <c r="T338" s="736"/>
      <c r="U338" s="736"/>
    </row>
    <row r="339">
      <c r="A339" s="736"/>
      <c r="B339" s="736"/>
      <c r="C339" s="747"/>
      <c r="D339" s="746"/>
      <c r="E339" s="747"/>
      <c r="F339" s="746"/>
      <c r="G339" s="746"/>
      <c r="H339" s="736"/>
      <c r="I339" s="736"/>
      <c r="J339" s="736"/>
      <c r="K339" s="736"/>
      <c r="L339" s="736"/>
      <c r="M339" s="736"/>
      <c r="N339" s="736"/>
      <c r="O339" s="736"/>
      <c r="P339" s="736"/>
      <c r="Q339" s="736"/>
      <c r="R339" s="736"/>
      <c r="S339" s="736"/>
      <c r="T339" s="736"/>
      <c r="U339" s="736"/>
    </row>
    <row r="340">
      <c r="A340" s="736"/>
      <c r="B340" s="736"/>
      <c r="C340" s="747"/>
      <c r="D340" s="746"/>
      <c r="E340" s="747"/>
      <c r="F340" s="746"/>
      <c r="G340" s="746"/>
      <c r="H340" s="736"/>
      <c r="I340" s="736"/>
      <c r="J340" s="736"/>
      <c r="K340" s="736"/>
      <c r="L340" s="736"/>
      <c r="M340" s="736"/>
      <c r="N340" s="736"/>
      <c r="O340" s="736"/>
      <c r="P340" s="736"/>
      <c r="Q340" s="736"/>
      <c r="R340" s="736"/>
      <c r="S340" s="736"/>
      <c r="T340" s="736"/>
      <c r="U340" s="736"/>
    </row>
    <row r="341">
      <c r="A341" s="736"/>
      <c r="B341" s="736"/>
      <c r="C341" s="747"/>
      <c r="D341" s="746"/>
      <c r="E341" s="747"/>
      <c r="F341" s="746"/>
      <c r="G341" s="746"/>
      <c r="H341" s="736"/>
      <c r="I341" s="736"/>
      <c r="J341" s="736"/>
      <c r="K341" s="736"/>
      <c r="L341" s="736"/>
      <c r="M341" s="736"/>
      <c r="N341" s="736"/>
      <c r="O341" s="736"/>
      <c r="P341" s="736"/>
      <c r="Q341" s="736"/>
      <c r="R341" s="736"/>
      <c r="S341" s="736"/>
      <c r="T341" s="736"/>
      <c r="U341" s="736"/>
    </row>
    <row r="342">
      <c r="A342" s="736"/>
      <c r="B342" s="736"/>
      <c r="C342" s="747"/>
      <c r="D342" s="746"/>
      <c r="E342" s="747"/>
      <c r="F342" s="746"/>
      <c r="G342" s="746"/>
      <c r="H342" s="736"/>
      <c r="I342" s="736"/>
      <c r="J342" s="736"/>
      <c r="K342" s="736"/>
      <c r="L342" s="736"/>
      <c r="M342" s="736"/>
      <c r="N342" s="736"/>
      <c r="O342" s="736"/>
      <c r="P342" s="736"/>
      <c r="Q342" s="736"/>
      <c r="R342" s="736"/>
      <c r="S342" s="736"/>
      <c r="T342" s="736"/>
      <c r="U342" s="736"/>
    </row>
    <row r="343">
      <c r="A343" s="736"/>
      <c r="B343" s="736"/>
      <c r="C343" s="747"/>
      <c r="D343" s="746"/>
      <c r="E343" s="747"/>
      <c r="F343" s="746"/>
      <c r="G343" s="746"/>
      <c r="H343" s="736"/>
      <c r="I343" s="736"/>
      <c r="J343" s="736"/>
      <c r="K343" s="736"/>
      <c r="L343" s="736"/>
      <c r="M343" s="736"/>
      <c r="N343" s="736"/>
      <c r="O343" s="736"/>
      <c r="P343" s="736"/>
      <c r="Q343" s="736"/>
      <c r="R343" s="736"/>
      <c r="S343" s="736"/>
      <c r="T343" s="736"/>
      <c r="U343" s="736"/>
    </row>
    <row r="344">
      <c r="A344" s="736"/>
      <c r="B344" s="736"/>
      <c r="C344" s="747"/>
      <c r="D344" s="746"/>
      <c r="E344" s="747"/>
      <c r="F344" s="746"/>
      <c r="G344" s="746"/>
      <c r="H344" s="736"/>
      <c r="I344" s="736"/>
      <c r="J344" s="736"/>
      <c r="K344" s="736"/>
      <c r="L344" s="736"/>
      <c r="M344" s="736"/>
      <c r="N344" s="736"/>
      <c r="O344" s="736"/>
      <c r="P344" s="736"/>
      <c r="Q344" s="736"/>
      <c r="R344" s="736"/>
      <c r="S344" s="736"/>
      <c r="T344" s="736"/>
      <c r="U344" s="736"/>
    </row>
    <row r="345">
      <c r="A345" s="736"/>
      <c r="B345" s="736"/>
      <c r="C345" s="747"/>
      <c r="D345" s="746"/>
      <c r="E345" s="747"/>
      <c r="F345" s="746"/>
      <c r="G345" s="746"/>
      <c r="H345" s="736"/>
      <c r="I345" s="736"/>
      <c r="J345" s="736"/>
      <c r="K345" s="736"/>
      <c r="L345" s="736"/>
      <c r="M345" s="736"/>
      <c r="N345" s="736"/>
      <c r="O345" s="736"/>
      <c r="P345" s="736"/>
      <c r="Q345" s="736"/>
      <c r="R345" s="736"/>
      <c r="S345" s="736"/>
      <c r="T345" s="736"/>
      <c r="U345" s="736"/>
    </row>
    <row r="346">
      <c r="A346" s="736"/>
      <c r="B346" s="736"/>
      <c r="C346" s="747"/>
      <c r="D346" s="746"/>
      <c r="E346" s="747"/>
      <c r="F346" s="746"/>
      <c r="G346" s="746"/>
      <c r="H346" s="736"/>
      <c r="I346" s="736"/>
      <c r="J346" s="736"/>
      <c r="K346" s="736"/>
      <c r="L346" s="736"/>
      <c r="M346" s="736"/>
      <c r="N346" s="736"/>
      <c r="O346" s="736"/>
      <c r="P346" s="736"/>
      <c r="Q346" s="736"/>
      <c r="R346" s="736"/>
      <c r="S346" s="736"/>
      <c r="T346" s="736"/>
      <c r="U346" s="736"/>
    </row>
    <row r="347">
      <c r="A347" s="736"/>
      <c r="B347" s="736"/>
      <c r="C347" s="747"/>
      <c r="D347" s="746"/>
      <c r="E347" s="747"/>
      <c r="F347" s="746"/>
      <c r="G347" s="746"/>
      <c r="H347" s="736"/>
      <c r="I347" s="736"/>
      <c r="J347" s="736"/>
      <c r="K347" s="736"/>
      <c r="L347" s="736"/>
      <c r="M347" s="736"/>
      <c r="N347" s="736"/>
      <c r="O347" s="736"/>
      <c r="P347" s="736"/>
      <c r="Q347" s="736"/>
      <c r="R347" s="736"/>
      <c r="S347" s="736"/>
      <c r="T347" s="736"/>
      <c r="U347" s="736"/>
    </row>
    <row r="348">
      <c r="A348" s="736"/>
      <c r="B348" s="736"/>
      <c r="C348" s="747"/>
      <c r="D348" s="746"/>
      <c r="E348" s="747"/>
      <c r="F348" s="746"/>
      <c r="G348" s="746"/>
      <c r="H348" s="736"/>
      <c r="I348" s="736"/>
      <c r="J348" s="736"/>
      <c r="K348" s="736"/>
      <c r="L348" s="736"/>
      <c r="M348" s="736"/>
      <c r="N348" s="736"/>
      <c r="O348" s="736"/>
      <c r="P348" s="736"/>
      <c r="Q348" s="736"/>
      <c r="R348" s="736"/>
      <c r="S348" s="736"/>
      <c r="T348" s="736"/>
      <c r="U348" s="736"/>
    </row>
    <row r="349">
      <c r="A349" s="736"/>
      <c r="B349" s="736"/>
      <c r="C349" s="747"/>
      <c r="D349" s="746"/>
      <c r="E349" s="747"/>
      <c r="F349" s="746"/>
      <c r="G349" s="746"/>
      <c r="H349" s="736"/>
      <c r="I349" s="736"/>
      <c r="J349" s="736"/>
      <c r="K349" s="736"/>
      <c r="L349" s="736"/>
      <c r="M349" s="736"/>
      <c r="N349" s="736"/>
      <c r="O349" s="736"/>
      <c r="P349" s="736"/>
      <c r="Q349" s="736"/>
      <c r="R349" s="736"/>
      <c r="S349" s="736"/>
      <c r="T349" s="736"/>
      <c r="U349" s="736"/>
    </row>
    <row r="350">
      <c r="A350" s="736"/>
      <c r="B350" s="736"/>
      <c r="C350" s="747"/>
      <c r="D350" s="746"/>
      <c r="E350" s="747"/>
      <c r="F350" s="746"/>
      <c r="G350" s="746"/>
      <c r="H350" s="736"/>
      <c r="I350" s="736"/>
      <c r="J350" s="736"/>
      <c r="K350" s="736"/>
      <c r="L350" s="736"/>
      <c r="M350" s="736"/>
      <c r="N350" s="736"/>
      <c r="O350" s="736"/>
      <c r="P350" s="736"/>
      <c r="Q350" s="736"/>
      <c r="R350" s="736"/>
      <c r="S350" s="736"/>
      <c r="T350" s="736"/>
      <c r="U350" s="736"/>
    </row>
    <row r="351">
      <c r="A351" s="736"/>
      <c r="B351" s="736"/>
      <c r="C351" s="747"/>
      <c r="D351" s="746"/>
      <c r="E351" s="747"/>
      <c r="F351" s="746"/>
      <c r="G351" s="746"/>
      <c r="H351" s="736"/>
      <c r="I351" s="736"/>
      <c r="J351" s="736"/>
      <c r="K351" s="736"/>
      <c r="L351" s="736"/>
      <c r="M351" s="736"/>
      <c r="N351" s="736"/>
      <c r="O351" s="736"/>
      <c r="P351" s="736"/>
      <c r="Q351" s="736"/>
      <c r="R351" s="736"/>
      <c r="S351" s="736"/>
      <c r="T351" s="736"/>
      <c r="U351" s="736"/>
    </row>
    <row r="352">
      <c r="A352" s="736"/>
      <c r="B352" s="736"/>
      <c r="C352" s="747"/>
      <c r="D352" s="746"/>
      <c r="E352" s="747"/>
      <c r="F352" s="746"/>
      <c r="G352" s="746"/>
      <c r="H352" s="736"/>
      <c r="I352" s="736"/>
      <c r="J352" s="736"/>
      <c r="K352" s="736"/>
      <c r="L352" s="736"/>
      <c r="M352" s="736"/>
      <c r="N352" s="736"/>
      <c r="O352" s="736"/>
      <c r="P352" s="736"/>
      <c r="Q352" s="736"/>
      <c r="R352" s="736"/>
      <c r="S352" s="736"/>
      <c r="T352" s="736"/>
      <c r="U352" s="736"/>
    </row>
    <row r="353">
      <c r="A353" s="736"/>
      <c r="B353" s="736"/>
      <c r="C353" s="747"/>
      <c r="D353" s="746"/>
      <c r="E353" s="747"/>
      <c r="F353" s="746"/>
      <c r="G353" s="746"/>
      <c r="H353" s="736"/>
      <c r="I353" s="736"/>
      <c r="J353" s="736"/>
      <c r="K353" s="736"/>
      <c r="L353" s="736"/>
      <c r="M353" s="736"/>
      <c r="N353" s="736"/>
      <c r="O353" s="736"/>
      <c r="P353" s="736"/>
      <c r="Q353" s="736"/>
      <c r="R353" s="736"/>
      <c r="S353" s="736"/>
      <c r="T353" s="736"/>
      <c r="U353" s="736"/>
    </row>
    <row r="354">
      <c r="A354" s="736"/>
      <c r="B354" s="736"/>
      <c r="C354" s="747"/>
      <c r="D354" s="746"/>
      <c r="E354" s="747"/>
      <c r="F354" s="746"/>
      <c r="G354" s="746"/>
      <c r="H354" s="736"/>
      <c r="I354" s="736"/>
      <c r="J354" s="736"/>
      <c r="K354" s="736"/>
      <c r="L354" s="736"/>
      <c r="M354" s="736"/>
      <c r="N354" s="736"/>
      <c r="O354" s="736"/>
      <c r="P354" s="736"/>
      <c r="Q354" s="736"/>
      <c r="R354" s="736"/>
      <c r="S354" s="736"/>
      <c r="T354" s="736"/>
      <c r="U354" s="736"/>
    </row>
    <row r="355">
      <c r="A355" s="736"/>
      <c r="B355" s="736"/>
      <c r="C355" s="747"/>
      <c r="D355" s="746"/>
      <c r="E355" s="747"/>
      <c r="F355" s="746"/>
      <c r="G355" s="746"/>
      <c r="H355" s="736"/>
      <c r="I355" s="736"/>
      <c r="J355" s="736"/>
      <c r="K355" s="736"/>
      <c r="L355" s="736"/>
      <c r="M355" s="736"/>
      <c r="N355" s="736"/>
      <c r="O355" s="736"/>
      <c r="P355" s="736"/>
      <c r="Q355" s="736"/>
      <c r="R355" s="736"/>
      <c r="S355" s="736"/>
      <c r="T355" s="736"/>
      <c r="U355" s="736"/>
    </row>
    <row r="356">
      <c r="A356" s="736"/>
      <c r="B356" s="736"/>
      <c r="C356" s="747"/>
      <c r="D356" s="746"/>
      <c r="E356" s="747"/>
      <c r="F356" s="746"/>
      <c r="G356" s="746"/>
      <c r="H356" s="736"/>
      <c r="I356" s="736"/>
      <c r="J356" s="736"/>
      <c r="K356" s="736"/>
      <c r="L356" s="736"/>
      <c r="M356" s="736"/>
      <c r="N356" s="736"/>
      <c r="O356" s="736"/>
      <c r="P356" s="736"/>
      <c r="Q356" s="736"/>
      <c r="R356" s="736"/>
      <c r="S356" s="736"/>
      <c r="T356" s="736"/>
      <c r="U356" s="736"/>
    </row>
    <row r="357">
      <c r="A357" s="736"/>
      <c r="B357" s="736"/>
      <c r="C357" s="747"/>
      <c r="D357" s="746"/>
      <c r="E357" s="747"/>
      <c r="F357" s="746"/>
      <c r="G357" s="746"/>
      <c r="H357" s="736"/>
      <c r="I357" s="736"/>
      <c r="J357" s="736"/>
      <c r="K357" s="736"/>
      <c r="L357" s="736"/>
      <c r="M357" s="736"/>
      <c r="N357" s="736"/>
      <c r="O357" s="736"/>
      <c r="P357" s="736"/>
      <c r="Q357" s="736"/>
      <c r="R357" s="736"/>
      <c r="S357" s="736"/>
      <c r="T357" s="736"/>
      <c r="U357" s="736"/>
    </row>
    <row r="358">
      <c r="A358" s="736"/>
      <c r="B358" s="736"/>
      <c r="C358" s="747"/>
      <c r="D358" s="746"/>
      <c r="E358" s="747"/>
      <c r="F358" s="746"/>
      <c r="G358" s="746"/>
      <c r="H358" s="736"/>
      <c r="I358" s="736"/>
      <c r="J358" s="736"/>
      <c r="K358" s="736"/>
      <c r="L358" s="736"/>
      <c r="M358" s="736"/>
      <c r="N358" s="736"/>
      <c r="O358" s="736"/>
      <c r="P358" s="736"/>
      <c r="Q358" s="736"/>
      <c r="R358" s="736"/>
      <c r="S358" s="736"/>
      <c r="T358" s="736"/>
      <c r="U358" s="736"/>
    </row>
    <row r="359">
      <c r="A359" s="736"/>
      <c r="B359" s="736"/>
      <c r="C359" s="747"/>
      <c r="D359" s="746"/>
      <c r="E359" s="747"/>
      <c r="F359" s="746"/>
      <c r="G359" s="746"/>
      <c r="H359" s="736"/>
      <c r="I359" s="736"/>
      <c r="J359" s="736"/>
      <c r="K359" s="736"/>
      <c r="L359" s="736"/>
      <c r="M359" s="736"/>
      <c r="N359" s="736"/>
      <c r="O359" s="736"/>
      <c r="P359" s="736"/>
      <c r="Q359" s="736"/>
      <c r="R359" s="736"/>
      <c r="S359" s="736"/>
      <c r="T359" s="736"/>
      <c r="U359" s="736"/>
    </row>
    <row r="360">
      <c r="A360" s="736"/>
      <c r="B360" s="736"/>
      <c r="C360" s="747"/>
      <c r="D360" s="746"/>
      <c r="E360" s="747"/>
      <c r="F360" s="746"/>
      <c r="G360" s="746"/>
      <c r="H360" s="736"/>
      <c r="I360" s="736"/>
      <c r="J360" s="736"/>
      <c r="K360" s="736"/>
      <c r="L360" s="736"/>
      <c r="M360" s="736"/>
      <c r="N360" s="736"/>
      <c r="O360" s="736"/>
      <c r="P360" s="736"/>
      <c r="Q360" s="736"/>
      <c r="R360" s="736"/>
      <c r="S360" s="736"/>
      <c r="T360" s="736"/>
      <c r="U360" s="736"/>
    </row>
    <row r="361">
      <c r="A361" s="736"/>
      <c r="B361" s="736"/>
      <c r="C361" s="747"/>
      <c r="D361" s="746"/>
      <c r="E361" s="747"/>
      <c r="F361" s="746"/>
      <c r="G361" s="746"/>
      <c r="H361" s="736"/>
      <c r="I361" s="736"/>
      <c r="J361" s="736"/>
      <c r="K361" s="736"/>
      <c r="L361" s="736"/>
      <c r="M361" s="736"/>
      <c r="N361" s="736"/>
      <c r="O361" s="736"/>
      <c r="P361" s="736"/>
      <c r="Q361" s="736"/>
      <c r="R361" s="736"/>
      <c r="S361" s="736"/>
      <c r="T361" s="736"/>
      <c r="U361" s="736"/>
    </row>
    <row r="362">
      <c r="A362" s="736"/>
      <c r="B362" s="736"/>
      <c r="C362" s="747"/>
      <c r="D362" s="746"/>
      <c r="E362" s="747"/>
      <c r="F362" s="746"/>
      <c r="G362" s="746"/>
      <c r="H362" s="736"/>
      <c r="I362" s="736"/>
      <c r="J362" s="736"/>
      <c r="K362" s="736"/>
      <c r="L362" s="736"/>
      <c r="M362" s="736"/>
      <c r="N362" s="736"/>
      <c r="O362" s="736"/>
      <c r="P362" s="736"/>
      <c r="Q362" s="736"/>
      <c r="R362" s="736"/>
      <c r="S362" s="736"/>
      <c r="T362" s="736"/>
      <c r="U362" s="736"/>
    </row>
    <row r="363">
      <c r="A363" s="736"/>
      <c r="B363" s="736"/>
      <c r="C363" s="747"/>
      <c r="D363" s="746"/>
      <c r="E363" s="747"/>
      <c r="F363" s="746"/>
      <c r="G363" s="746"/>
      <c r="H363" s="736"/>
      <c r="I363" s="736"/>
      <c r="J363" s="736"/>
      <c r="K363" s="736"/>
      <c r="L363" s="736"/>
      <c r="M363" s="736"/>
      <c r="N363" s="736"/>
      <c r="O363" s="736"/>
      <c r="P363" s="736"/>
      <c r="Q363" s="736"/>
      <c r="R363" s="736"/>
      <c r="S363" s="736"/>
      <c r="T363" s="736"/>
      <c r="U363" s="736"/>
    </row>
    <row r="364">
      <c r="A364" s="736"/>
      <c r="B364" s="736"/>
      <c r="C364" s="747"/>
      <c r="D364" s="746"/>
      <c r="E364" s="747"/>
      <c r="F364" s="746"/>
      <c r="G364" s="746"/>
      <c r="H364" s="736"/>
      <c r="I364" s="736"/>
      <c r="J364" s="736"/>
      <c r="K364" s="736"/>
      <c r="L364" s="736"/>
      <c r="M364" s="736"/>
      <c r="N364" s="736"/>
      <c r="O364" s="736"/>
      <c r="P364" s="736"/>
      <c r="Q364" s="736"/>
      <c r="R364" s="736"/>
      <c r="S364" s="736"/>
      <c r="T364" s="736"/>
      <c r="U364" s="736"/>
    </row>
    <row r="365">
      <c r="A365" s="736"/>
      <c r="B365" s="736"/>
      <c r="C365" s="747"/>
      <c r="D365" s="746"/>
      <c r="E365" s="747"/>
      <c r="F365" s="746"/>
      <c r="G365" s="746"/>
      <c r="H365" s="736"/>
      <c r="I365" s="736"/>
      <c r="J365" s="736"/>
      <c r="K365" s="736"/>
      <c r="L365" s="736"/>
      <c r="M365" s="736"/>
      <c r="N365" s="736"/>
      <c r="O365" s="736"/>
      <c r="P365" s="736"/>
      <c r="Q365" s="736"/>
      <c r="R365" s="736"/>
      <c r="S365" s="736"/>
      <c r="T365" s="736"/>
      <c r="U365" s="736"/>
    </row>
    <row r="366">
      <c r="A366" s="736"/>
      <c r="B366" s="736"/>
      <c r="C366" s="747"/>
      <c r="D366" s="746"/>
      <c r="E366" s="747"/>
      <c r="F366" s="746"/>
      <c r="G366" s="746"/>
      <c r="H366" s="736"/>
      <c r="I366" s="736"/>
      <c r="J366" s="736"/>
      <c r="K366" s="736"/>
      <c r="L366" s="736"/>
      <c r="M366" s="736"/>
      <c r="N366" s="736"/>
      <c r="O366" s="736"/>
      <c r="P366" s="736"/>
      <c r="Q366" s="736"/>
      <c r="R366" s="736"/>
      <c r="S366" s="736"/>
      <c r="T366" s="736"/>
      <c r="U366" s="736"/>
    </row>
    <row r="367">
      <c r="A367" s="736"/>
      <c r="B367" s="736"/>
      <c r="C367" s="747"/>
      <c r="D367" s="746"/>
      <c r="E367" s="747"/>
      <c r="F367" s="746"/>
      <c r="G367" s="746"/>
      <c r="H367" s="736"/>
      <c r="I367" s="736"/>
      <c r="J367" s="736"/>
      <c r="K367" s="736"/>
      <c r="L367" s="736"/>
      <c r="M367" s="736"/>
      <c r="N367" s="736"/>
      <c r="O367" s="736"/>
      <c r="P367" s="736"/>
      <c r="Q367" s="736"/>
      <c r="R367" s="736"/>
      <c r="S367" s="736"/>
      <c r="T367" s="736"/>
      <c r="U367" s="736"/>
    </row>
    <row r="368">
      <c r="A368" s="736"/>
      <c r="B368" s="736"/>
      <c r="C368" s="747"/>
      <c r="D368" s="746"/>
      <c r="E368" s="747"/>
      <c r="F368" s="746"/>
      <c r="G368" s="746"/>
      <c r="H368" s="736"/>
      <c r="I368" s="736"/>
      <c r="J368" s="736"/>
      <c r="K368" s="736"/>
      <c r="L368" s="736"/>
      <c r="M368" s="736"/>
      <c r="N368" s="736"/>
      <c r="O368" s="736"/>
      <c r="P368" s="736"/>
      <c r="Q368" s="736"/>
      <c r="R368" s="736"/>
      <c r="S368" s="736"/>
      <c r="T368" s="736"/>
      <c r="U368" s="736"/>
    </row>
    <row r="369">
      <c r="A369" s="736"/>
      <c r="B369" s="736"/>
      <c r="C369" s="747"/>
      <c r="D369" s="746"/>
      <c r="E369" s="747"/>
      <c r="F369" s="746"/>
      <c r="G369" s="746"/>
      <c r="H369" s="736"/>
      <c r="I369" s="736"/>
      <c r="J369" s="736"/>
      <c r="K369" s="736"/>
      <c r="L369" s="736"/>
      <c r="M369" s="736"/>
      <c r="N369" s="736"/>
      <c r="O369" s="736"/>
      <c r="P369" s="736"/>
      <c r="Q369" s="736"/>
      <c r="R369" s="736"/>
      <c r="S369" s="736"/>
      <c r="T369" s="736"/>
      <c r="U369" s="736"/>
    </row>
    <row r="370">
      <c r="A370" s="736"/>
      <c r="B370" s="736"/>
      <c r="C370" s="747"/>
      <c r="D370" s="746"/>
      <c r="E370" s="747"/>
      <c r="F370" s="746"/>
      <c r="G370" s="746"/>
      <c r="H370" s="736"/>
      <c r="I370" s="736"/>
      <c r="J370" s="736"/>
      <c r="K370" s="736"/>
      <c r="L370" s="736"/>
      <c r="M370" s="736"/>
      <c r="N370" s="736"/>
      <c r="O370" s="736"/>
      <c r="P370" s="736"/>
      <c r="Q370" s="736"/>
      <c r="R370" s="736"/>
      <c r="S370" s="736"/>
      <c r="T370" s="736"/>
      <c r="U370" s="736"/>
    </row>
    <row r="371">
      <c r="A371" s="736"/>
      <c r="B371" s="736"/>
      <c r="C371" s="747"/>
      <c r="D371" s="746"/>
      <c r="E371" s="747"/>
      <c r="F371" s="746"/>
      <c r="G371" s="746"/>
      <c r="H371" s="736"/>
      <c r="I371" s="736"/>
      <c r="J371" s="736"/>
      <c r="K371" s="736"/>
      <c r="L371" s="736"/>
      <c r="M371" s="736"/>
      <c r="N371" s="736"/>
      <c r="O371" s="736"/>
      <c r="P371" s="736"/>
      <c r="Q371" s="736"/>
      <c r="R371" s="736"/>
      <c r="S371" s="736"/>
      <c r="T371" s="736"/>
      <c r="U371" s="736"/>
    </row>
    <row r="372">
      <c r="A372" s="736"/>
      <c r="B372" s="736"/>
      <c r="C372" s="747"/>
      <c r="D372" s="746"/>
      <c r="E372" s="747"/>
      <c r="F372" s="746"/>
      <c r="G372" s="746"/>
      <c r="H372" s="736"/>
      <c r="I372" s="736"/>
      <c r="J372" s="736"/>
      <c r="K372" s="736"/>
      <c r="L372" s="736"/>
      <c r="M372" s="736"/>
      <c r="N372" s="736"/>
      <c r="O372" s="736"/>
      <c r="P372" s="736"/>
      <c r="Q372" s="736"/>
      <c r="R372" s="736"/>
      <c r="S372" s="736"/>
      <c r="T372" s="736"/>
      <c r="U372" s="736"/>
    </row>
    <row r="373">
      <c r="A373" s="736"/>
      <c r="B373" s="736"/>
      <c r="C373" s="747"/>
      <c r="D373" s="746"/>
      <c r="E373" s="747"/>
      <c r="F373" s="746"/>
      <c r="G373" s="746"/>
      <c r="H373" s="736"/>
      <c r="I373" s="736"/>
      <c r="J373" s="736"/>
      <c r="K373" s="736"/>
      <c r="L373" s="736"/>
      <c r="M373" s="736"/>
      <c r="N373" s="736"/>
      <c r="O373" s="736"/>
      <c r="P373" s="736"/>
      <c r="Q373" s="736"/>
      <c r="R373" s="736"/>
      <c r="S373" s="736"/>
      <c r="T373" s="736"/>
      <c r="U373" s="736"/>
    </row>
    <row r="374">
      <c r="A374" s="736"/>
      <c r="B374" s="736"/>
      <c r="C374" s="747"/>
      <c r="D374" s="746"/>
      <c r="E374" s="747"/>
      <c r="F374" s="746"/>
      <c r="G374" s="746"/>
      <c r="H374" s="736"/>
      <c r="I374" s="736"/>
      <c r="J374" s="736"/>
      <c r="K374" s="736"/>
      <c r="L374" s="736"/>
      <c r="M374" s="736"/>
      <c r="N374" s="736"/>
      <c r="O374" s="736"/>
      <c r="P374" s="736"/>
      <c r="Q374" s="736"/>
      <c r="R374" s="736"/>
      <c r="S374" s="736"/>
      <c r="T374" s="736"/>
      <c r="U374" s="736"/>
    </row>
    <row r="375">
      <c r="A375" s="736"/>
      <c r="B375" s="736"/>
      <c r="C375" s="747"/>
      <c r="D375" s="746"/>
      <c r="E375" s="747"/>
      <c r="F375" s="746"/>
      <c r="G375" s="746"/>
      <c r="H375" s="736"/>
      <c r="I375" s="736"/>
      <c r="J375" s="736"/>
      <c r="K375" s="736"/>
      <c r="L375" s="736"/>
      <c r="M375" s="736"/>
      <c r="N375" s="736"/>
      <c r="O375" s="736"/>
      <c r="P375" s="736"/>
      <c r="Q375" s="736"/>
      <c r="R375" s="736"/>
      <c r="S375" s="736"/>
      <c r="T375" s="736"/>
      <c r="U375" s="736"/>
    </row>
    <row r="376">
      <c r="A376" s="736"/>
      <c r="B376" s="736"/>
      <c r="C376" s="747"/>
      <c r="D376" s="746"/>
      <c r="E376" s="747"/>
      <c r="F376" s="746"/>
      <c r="G376" s="746"/>
      <c r="H376" s="736"/>
      <c r="I376" s="736"/>
      <c r="J376" s="736"/>
      <c r="K376" s="736"/>
      <c r="L376" s="736"/>
      <c r="M376" s="736"/>
      <c r="N376" s="736"/>
      <c r="O376" s="736"/>
      <c r="P376" s="736"/>
      <c r="Q376" s="736"/>
      <c r="R376" s="736"/>
      <c r="S376" s="736"/>
      <c r="T376" s="736"/>
      <c r="U376" s="736"/>
    </row>
    <row r="377">
      <c r="A377" s="736"/>
      <c r="B377" s="736"/>
      <c r="C377" s="747"/>
      <c r="D377" s="746"/>
      <c r="E377" s="747"/>
      <c r="F377" s="746"/>
      <c r="G377" s="746"/>
      <c r="H377" s="736"/>
      <c r="I377" s="736"/>
      <c r="J377" s="736"/>
      <c r="K377" s="736"/>
      <c r="L377" s="736"/>
      <c r="M377" s="736"/>
      <c r="N377" s="736"/>
      <c r="O377" s="736"/>
      <c r="P377" s="736"/>
      <c r="Q377" s="736"/>
      <c r="R377" s="736"/>
      <c r="S377" s="736"/>
      <c r="T377" s="736"/>
      <c r="U377" s="736"/>
    </row>
    <row r="378">
      <c r="A378" s="736"/>
      <c r="B378" s="736"/>
      <c r="C378" s="747"/>
      <c r="D378" s="746"/>
      <c r="E378" s="747"/>
      <c r="F378" s="746"/>
      <c r="G378" s="746"/>
      <c r="H378" s="736"/>
      <c r="I378" s="736"/>
      <c r="J378" s="736"/>
      <c r="K378" s="736"/>
      <c r="L378" s="736"/>
      <c r="M378" s="736"/>
      <c r="N378" s="736"/>
      <c r="O378" s="736"/>
      <c r="P378" s="736"/>
      <c r="Q378" s="736"/>
      <c r="R378" s="736"/>
      <c r="S378" s="736"/>
      <c r="T378" s="736"/>
      <c r="U378" s="736"/>
    </row>
    <row r="379">
      <c r="A379" s="736"/>
      <c r="B379" s="736"/>
      <c r="C379" s="747"/>
      <c r="D379" s="746"/>
      <c r="E379" s="747"/>
      <c r="F379" s="746"/>
      <c r="G379" s="746"/>
      <c r="H379" s="736"/>
      <c r="I379" s="736"/>
      <c r="J379" s="736"/>
      <c r="K379" s="736"/>
      <c r="L379" s="736"/>
      <c r="M379" s="736"/>
      <c r="N379" s="736"/>
      <c r="O379" s="736"/>
      <c r="P379" s="736"/>
      <c r="Q379" s="736"/>
      <c r="R379" s="736"/>
      <c r="S379" s="736"/>
      <c r="T379" s="736"/>
      <c r="U379" s="736"/>
    </row>
    <row r="380">
      <c r="A380" s="736"/>
      <c r="B380" s="736"/>
      <c r="C380" s="747"/>
      <c r="D380" s="746"/>
      <c r="E380" s="747"/>
      <c r="F380" s="746"/>
      <c r="G380" s="746"/>
      <c r="H380" s="736"/>
      <c r="I380" s="736"/>
      <c r="J380" s="736"/>
      <c r="K380" s="736"/>
      <c r="L380" s="736"/>
      <c r="M380" s="736"/>
      <c r="N380" s="736"/>
      <c r="O380" s="736"/>
      <c r="P380" s="736"/>
      <c r="Q380" s="736"/>
      <c r="R380" s="736"/>
      <c r="S380" s="736"/>
      <c r="T380" s="736"/>
      <c r="U380" s="736"/>
    </row>
    <row r="381">
      <c r="A381" s="736"/>
      <c r="B381" s="736"/>
      <c r="C381" s="747"/>
      <c r="D381" s="746"/>
      <c r="E381" s="747"/>
      <c r="F381" s="746"/>
      <c r="G381" s="746"/>
      <c r="H381" s="736"/>
      <c r="I381" s="736"/>
      <c r="J381" s="736"/>
      <c r="K381" s="736"/>
      <c r="L381" s="736"/>
      <c r="M381" s="736"/>
      <c r="N381" s="736"/>
      <c r="O381" s="736"/>
      <c r="P381" s="736"/>
      <c r="Q381" s="736"/>
      <c r="R381" s="736"/>
      <c r="S381" s="736"/>
      <c r="T381" s="736"/>
      <c r="U381" s="736"/>
    </row>
    <row r="382">
      <c r="A382" s="736"/>
      <c r="B382" s="736"/>
      <c r="C382" s="747"/>
      <c r="D382" s="746"/>
      <c r="E382" s="747"/>
      <c r="F382" s="746"/>
      <c r="G382" s="746"/>
      <c r="H382" s="736"/>
      <c r="I382" s="736"/>
      <c r="J382" s="736"/>
      <c r="K382" s="736"/>
      <c r="L382" s="736"/>
      <c r="M382" s="736"/>
      <c r="N382" s="736"/>
      <c r="O382" s="736"/>
      <c r="P382" s="736"/>
      <c r="Q382" s="736"/>
      <c r="R382" s="736"/>
      <c r="S382" s="736"/>
      <c r="T382" s="736"/>
      <c r="U382" s="736"/>
    </row>
    <row r="383">
      <c r="A383" s="736"/>
      <c r="B383" s="736"/>
      <c r="C383" s="747"/>
      <c r="D383" s="746"/>
      <c r="E383" s="747"/>
      <c r="F383" s="746"/>
      <c r="G383" s="746"/>
      <c r="H383" s="736"/>
      <c r="I383" s="736"/>
      <c r="J383" s="736"/>
      <c r="K383" s="736"/>
      <c r="L383" s="736"/>
      <c r="M383" s="736"/>
      <c r="N383" s="736"/>
      <c r="O383" s="736"/>
      <c r="P383" s="736"/>
      <c r="Q383" s="736"/>
      <c r="R383" s="736"/>
      <c r="S383" s="736"/>
      <c r="T383" s="736"/>
      <c r="U383" s="736"/>
    </row>
    <row r="384">
      <c r="A384" s="736"/>
      <c r="B384" s="736"/>
      <c r="C384" s="747"/>
      <c r="D384" s="746"/>
      <c r="E384" s="747"/>
      <c r="F384" s="746"/>
      <c r="G384" s="746"/>
      <c r="H384" s="736"/>
      <c r="I384" s="736"/>
      <c r="J384" s="736"/>
      <c r="K384" s="736"/>
      <c r="L384" s="736"/>
      <c r="M384" s="736"/>
      <c r="N384" s="736"/>
      <c r="O384" s="736"/>
      <c r="P384" s="736"/>
      <c r="Q384" s="736"/>
      <c r="R384" s="736"/>
      <c r="S384" s="736"/>
      <c r="T384" s="736"/>
      <c r="U384" s="736"/>
    </row>
    <row r="385">
      <c r="A385" s="736"/>
      <c r="B385" s="736"/>
      <c r="C385" s="747"/>
      <c r="D385" s="746"/>
      <c r="E385" s="747"/>
      <c r="F385" s="746"/>
      <c r="G385" s="746"/>
      <c r="H385" s="736"/>
      <c r="I385" s="736"/>
      <c r="J385" s="736"/>
      <c r="K385" s="736"/>
      <c r="L385" s="736"/>
      <c r="M385" s="736"/>
      <c r="N385" s="736"/>
      <c r="O385" s="736"/>
      <c r="P385" s="736"/>
      <c r="Q385" s="736"/>
      <c r="R385" s="736"/>
      <c r="S385" s="736"/>
      <c r="T385" s="736"/>
      <c r="U385" s="736"/>
    </row>
    <row r="386">
      <c r="A386" s="736"/>
      <c r="B386" s="736"/>
      <c r="C386" s="747"/>
      <c r="D386" s="746"/>
      <c r="E386" s="747"/>
      <c r="F386" s="746"/>
      <c r="G386" s="746"/>
      <c r="H386" s="736"/>
      <c r="I386" s="736"/>
      <c r="J386" s="736"/>
      <c r="K386" s="736"/>
      <c r="L386" s="736"/>
      <c r="M386" s="736"/>
      <c r="N386" s="736"/>
      <c r="O386" s="736"/>
      <c r="P386" s="736"/>
      <c r="Q386" s="736"/>
      <c r="R386" s="736"/>
      <c r="S386" s="736"/>
      <c r="T386" s="736"/>
      <c r="U386" s="736"/>
    </row>
    <row r="387">
      <c r="A387" s="736"/>
      <c r="B387" s="736"/>
      <c r="C387" s="747"/>
      <c r="D387" s="746"/>
      <c r="E387" s="747"/>
      <c r="F387" s="746"/>
      <c r="G387" s="746"/>
      <c r="H387" s="736"/>
      <c r="I387" s="736"/>
      <c r="J387" s="736"/>
      <c r="K387" s="736"/>
      <c r="L387" s="736"/>
      <c r="M387" s="736"/>
      <c r="N387" s="736"/>
      <c r="O387" s="736"/>
      <c r="P387" s="736"/>
      <c r="Q387" s="736"/>
      <c r="R387" s="736"/>
      <c r="S387" s="736"/>
      <c r="T387" s="736"/>
      <c r="U387" s="736"/>
    </row>
    <row r="388">
      <c r="A388" s="736"/>
      <c r="B388" s="736"/>
      <c r="C388" s="747"/>
      <c r="D388" s="746"/>
      <c r="E388" s="747"/>
      <c r="F388" s="746"/>
      <c r="G388" s="746"/>
      <c r="H388" s="736"/>
      <c r="I388" s="736"/>
      <c r="J388" s="736"/>
      <c r="K388" s="736"/>
      <c r="L388" s="736"/>
      <c r="M388" s="736"/>
      <c r="N388" s="736"/>
      <c r="O388" s="736"/>
      <c r="P388" s="736"/>
      <c r="Q388" s="736"/>
      <c r="R388" s="736"/>
      <c r="S388" s="736"/>
      <c r="T388" s="736"/>
      <c r="U388" s="736"/>
    </row>
    <row r="389">
      <c r="A389" s="736"/>
      <c r="B389" s="736"/>
      <c r="C389" s="747"/>
      <c r="D389" s="746"/>
      <c r="E389" s="747"/>
      <c r="F389" s="746"/>
      <c r="G389" s="746"/>
      <c r="H389" s="736"/>
      <c r="I389" s="736"/>
      <c r="J389" s="736"/>
      <c r="K389" s="736"/>
      <c r="L389" s="736"/>
      <c r="M389" s="736"/>
      <c r="N389" s="736"/>
      <c r="O389" s="736"/>
      <c r="P389" s="736"/>
      <c r="Q389" s="736"/>
      <c r="R389" s="736"/>
      <c r="S389" s="736"/>
      <c r="T389" s="736"/>
      <c r="U389" s="736"/>
    </row>
    <row r="390">
      <c r="A390" s="736"/>
      <c r="B390" s="736"/>
      <c r="C390" s="747"/>
      <c r="D390" s="746"/>
      <c r="E390" s="747"/>
      <c r="F390" s="746"/>
      <c r="G390" s="746"/>
      <c r="H390" s="736"/>
      <c r="I390" s="736"/>
      <c r="J390" s="736"/>
      <c r="K390" s="736"/>
      <c r="L390" s="736"/>
      <c r="M390" s="736"/>
      <c r="N390" s="736"/>
      <c r="O390" s="736"/>
      <c r="P390" s="736"/>
      <c r="Q390" s="736"/>
      <c r="R390" s="736"/>
      <c r="S390" s="736"/>
      <c r="T390" s="736"/>
      <c r="U390" s="736"/>
    </row>
    <row r="391">
      <c r="A391" s="736"/>
      <c r="B391" s="736"/>
      <c r="C391" s="747"/>
      <c r="D391" s="746"/>
      <c r="E391" s="747"/>
      <c r="F391" s="746"/>
      <c r="G391" s="746"/>
      <c r="H391" s="736"/>
      <c r="I391" s="736"/>
      <c r="J391" s="736"/>
      <c r="K391" s="736"/>
      <c r="L391" s="736"/>
      <c r="M391" s="736"/>
      <c r="N391" s="736"/>
      <c r="O391" s="736"/>
      <c r="P391" s="736"/>
      <c r="Q391" s="736"/>
      <c r="R391" s="736"/>
      <c r="S391" s="736"/>
      <c r="T391" s="736"/>
      <c r="U391" s="736"/>
    </row>
    <row r="392">
      <c r="A392" s="736"/>
      <c r="B392" s="736"/>
      <c r="C392" s="747"/>
      <c r="D392" s="746"/>
      <c r="E392" s="747"/>
      <c r="F392" s="746"/>
      <c r="G392" s="746"/>
      <c r="H392" s="736"/>
      <c r="I392" s="736"/>
      <c r="J392" s="736"/>
      <c r="K392" s="736"/>
      <c r="L392" s="736"/>
      <c r="M392" s="736"/>
      <c r="N392" s="736"/>
      <c r="O392" s="736"/>
      <c r="P392" s="736"/>
      <c r="Q392" s="736"/>
      <c r="R392" s="736"/>
      <c r="S392" s="736"/>
      <c r="T392" s="736"/>
      <c r="U392" s="736"/>
    </row>
    <row r="393">
      <c r="A393" s="736"/>
      <c r="B393" s="736"/>
      <c r="C393" s="747"/>
      <c r="D393" s="746"/>
      <c r="E393" s="747"/>
      <c r="F393" s="746"/>
      <c r="G393" s="746"/>
      <c r="H393" s="736"/>
      <c r="I393" s="736"/>
      <c r="J393" s="736"/>
      <c r="K393" s="736"/>
      <c r="L393" s="736"/>
      <c r="M393" s="736"/>
      <c r="N393" s="736"/>
      <c r="O393" s="736"/>
      <c r="P393" s="736"/>
      <c r="Q393" s="736"/>
      <c r="R393" s="736"/>
      <c r="S393" s="736"/>
      <c r="T393" s="736"/>
      <c r="U393" s="736"/>
    </row>
    <row r="394">
      <c r="A394" s="736"/>
      <c r="B394" s="736"/>
      <c r="C394" s="747"/>
      <c r="D394" s="746"/>
      <c r="E394" s="747"/>
      <c r="F394" s="746"/>
      <c r="G394" s="746"/>
      <c r="H394" s="736"/>
      <c r="I394" s="736"/>
      <c r="J394" s="736"/>
      <c r="K394" s="736"/>
      <c r="L394" s="736"/>
      <c r="M394" s="736"/>
      <c r="N394" s="736"/>
      <c r="O394" s="736"/>
      <c r="P394" s="736"/>
      <c r="Q394" s="736"/>
      <c r="R394" s="736"/>
      <c r="S394" s="736"/>
      <c r="T394" s="736"/>
      <c r="U394" s="736"/>
    </row>
    <row r="395">
      <c r="A395" s="736"/>
      <c r="B395" s="736"/>
      <c r="C395" s="747"/>
      <c r="D395" s="746"/>
      <c r="E395" s="747"/>
      <c r="F395" s="746"/>
      <c r="G395" s="746"/>
      <c r="H395" s="736"/>
      <c r="I395" s="736"/>
      <c r="J395" s="736"/>
      <c r="K395" s="736"/>
      <c r="L395" s="736"/>
      <c r="M395" s="736"/>
      <c r="N395" s="736"/>
      <c r="O395" s="736"/>
      <c r="P395" s="736"/>
      <c r="Q395" s="736"/>
      <c r="R395" s="736"/>
      <c r="S395" s="736"/>
      <c r="T395" s="736"/>
      <c r="U395" s="736"/>
    </row>
    <row r="396">
      <c r="A396" s="736"/>
      <c r="B396" s="736"/>
      <c r="C396" s="747"/>
      <c r="D396" s="746"/>
      <c r="E396" s="747"/>
      <c r="F396" s="746"/>
      <c r="G396" s="746"/>
      <c r="H396" s="736"/>
      <c r="I396" s="736"/>
      <c r="J396" s="736"/>
      <c r="K396" s="736"/>
      <c r="L396" s="736"/>
      <c r="M396" s="736"/>
      <c r="N396" s="736"/>
      <c r="O396" s="736"/>
      <c r="P396" s="736"/>
      <c r="Q396" s="736"/>
      <c r="R396" s="736"/>
      <c r="S396" s="736"/>
      <c r="T396" s="736"/>
      <c r="U396" s="736"/>
    </row>
    <row r="397">
      <c r="A397" s="736"/>
      <c r="B397" s="736"/>
      <c r="C397" s="747"/>
      <c r="D397" s="746"/>
      <c r="E397" s="747"/>
      <c r="F397" s="746"/>
      <c r="G397" s="746"/>
      <c r="H397" s="736"/>
      <c r="I397" s="736"/>
      <c r="J397" s="736"/>
      <c r="K397" s="736"/>
      <c r="L397" s="736"/>
      <c r="M397" s="736"/>
      <c r="N397" s="736"/>
      <c r="O397" s="736"/>
      <c r="P397" s="736"/>
      <c r="Q397" s="736"/>
      <c r="R397" s="736"/>
      <c r="S397" s="736"/>
      <c r="T397" s="736"/>
      <c r="U397" s="736"/>
    </row>
    <row r="398">
      <c r="A398" s="736"/>
      <c r="B398" s="736"/>
      <c r="C398" s="747"/>
      <c r="D398" s="746"/>
      <c r="E398" s="747"/>
      <c r="F398" s="746"/>
      <c r="G398" s="746"/>
      <c r="H398" s="736"/>
      <c r="I398" s="736"/>
      <c r="J398" s="736"/>
      <c r="K398" s="736"/>
      <c r="L398" s="736"/>
      <c r="M398" s="736"/>
      <c r="N398" s="736"/>
      <c r="O398" s="736"/>
      <c r="P398" s="736"/>
      <c r="Q398" s="736"/>
      <c r="R398" s="736"/>
      <c r="S398" s="736"/>
      <c r="T398" s="736"/>
      <c r="U398" s="736"/>
    </row>
    <row r="399">
      <c r="A399" s="736"/>
      <c r="B399" s="736"/>
      <c r="C399" s="747"/>
      <c r="D399" s="746"/>
      <c r="E399" s="747"/>
      <c r="F399" s="746"/>
      <c r="G399" s="746"/>
      <c r="H399" s="736"/>
      <c r="I399" s="736"/>
      <c r="J399" s="736"/>
      <c r="K399" s="736"/>
      <c r="L399" s="736"/>
      <c r="M399" s="736"/>
      <c r="N399" s="736"/>
      <c r="O399" s="736"/>
      <c r="P399" s="736"/>
      <c r="Q399" s="736"/>
      <c r="R399" s="736"/>
      <c r="S399" s="736"/>
      <c r="T399" s="736"/>
      <c r="U399" s="736"/>
    </row>
    <row r="400">
      <c r="A400" s="736"/>
      <c r="B400" s="736"/>
      <c r="C400" s="747"/>
      <c r="D400" s="746"/>
      <c r="E400" s="747"/>
      <c r="F400" s="746"/>
      <c r="G400" s="746"/>
      <c r="H400" s="736"/>
      <c r="I400" s="736"/>
      <c r="J400" s="736"/>
      <c r="K400" s="736"/>
      <c r="L400" s="736"/>
      <c r="M400" s="736"/>
      <c r="N400" s="736"/>
      <c r="O400" s="736"/>
      <c r="P400" s="736"/>
      <c r="Q400" s="736"/>
      <c r="R400" s="736"/>
      <c r="S400" s="736"/>
      <c r="T400" s="736"/>
      <c r="U400" s="736"/>
    </row>
    <row r="401">
      <c r="A401" s="736"/>
      <c r="B401" s="736"/>
      <c r="C401" s="747"/>
      <c r="D401" s="746"/>
      <c r="E401" s="747"/>
      <c r="F401" s="746"/>
      <c r="G401" s="746"/>
      <c r="H401" s="736"/>
      <c r="I401" s="736"/>
      <c r="J401" s="736"/>
      <c r="K401" s="736"/>
      <c r="L401" s="736"/>
      <c r="M401" s="736"/>
      <c r="N401" s="736"/>
      <c r="O401" s="736"/>
      <c r="P401" s="736"/>
      <c r="Q401" s="736"/>
      <c r="R401" s="736"/>
      <c r="S401" s="736"/>
      <c r="T401" s="736"/>
      <c r="U401" s="736"/>
    </row>
    <row r="402">
      <c r="A402" s="736"/>
      <c r="B402" s="736"/>
      <c r="C402" s="747"/>
      <c r="D402" s="746"/>
      <c r="E402" s="747"/>
      <c r="F402" s="746"/>
      <c r="G402" s="746"/>
      <c r="H402" s="736"/>
      <c r="I402" s="736"/>
      <c r="J402" s="736"/>
      <c r="K402" s="736"/>
      <c r="L402" s="736"/>
      <c r="M402" s="736"/>
      <c r="N402" s="736"/>
      <c r="O402" s="736"/>
      <c r="P402" s="736"/>
      <c r="Q402" s="736"/>
      <c r="R402" s="736"/>
      <c r="S402" s="736"/>
      <c r="T402" s="736"/>
      <c r="U402" s="736"/>
    </row>
    <row r="403">
      <c r="A403" s="736"/>
      <c r="B403" s="736"/>
      <c r="C403" s="747"/>
      <c r="D403" s="746"/>
      <c r="E403" s="747"/>
      <c r="F403" s="746"/>
      <c r="G403" s="746"/>
      <c r="H403" s="736"/>
      <c r="I403" s="736"/>
      <c r="J403" s="736"/>
      <c r="K403" s="736"/>
      <c r="L403" s="736"/>
      <c r="M403" s="736"/>
      <c r="N403" s="736"/>
      <c r="O403" s="736"/>
      <c r="P403" s="736"/>
      <c r="Q403" s="736"/>
      <c r="R403" s="736"/>
      <c r="S403" s="736"/>
      <c r="T403" s="736"/>
      <c r="U403" s="736"/>
    </row>
    <row r="404">
      <c r="A404" s="736"/>
      <c r="B404" s="736"/>
      <c r="C404" s="747"/>
      <c r="D404" s="746"/>
      <c r="E404" s="747"/>
      <c r="F404" s="746"/>
      <c r="G404" s="746"/>
      <c r="H404" s="736"/>
      <c r="I404" s="736"/>
      <c r="J404" s="736"/>
      <c r="K404" s="736"/>
      <c r="L404" s="736"/>
      <c r="M404" s="736"/>
      <c r="N404" s="736"/>
      <c r="O404" s="736"/>
      <c r="P404" s="736"/>
      <c r="Q404" s="736"/>
      <c r="R404" s="736"/>
      <c r="S404" s="736"/>
      <c r="T404" s="736"/>
      <c r="U404" s="736"/>
    </row>
    <row r="405">
      <c r="A405" s="736"/>
      <c r="B405" s="736"/>
      <c r="C405" s="747"/>
      <c r="D405" s="746"/>
      <c r="E405" s="747"/>
      <c r="F405" s="746"/>
      <c r="G405" s="746"/>
      <c r="H405" s="736"/>
      <c r="I405" s="736"/>
      <c r="J405" s="736"/>
      <c r="K405" s="736"/>
      <c r="L405" s="736"/>
      <c r="M405" s="736"/>
      <c r="N405" s="736"/>
      <c r="O405" s="736"/>
      <c r="P405" s="736"/>
      <c r="Q405" s="736"/>
      <c r="R405" s="736"/>
      <c r="S405" s="736"/>
      <c r="T405" s="736"/>
      <c r="U405" s="736"/>
    </row>
    <row r="406">
      <c r="A406" s="736"/>
      <c r="B406" s="736"/>
      <c r="C406" s="747"/>
      <c r="D406" s="746"/>
      <c r="E406" s="747"/>
      <c r="F406" s="746"/>
      <c r="G406" s="746"/>
      <c r="H406" s="736"/>
      <c r="I406" s="736"/>
      <c r="J406" s="736"/>
      <c r="K406" s="736"/>
      <c r="L406" s="736"/>
      <c r="M406" s="736"/>
      <c r="N406" s="736"/>
      <c r="O406" s="736"/>
      <c r="P406" s="736"/>
      <c r="Q406" s="736"/>
      <c r="R406" s="736"/>
      <c r="S406" s="736"/>
      <c r="T406" s="736"/>
      <c r="U406" s="736"/>
    </row>
    <row r="407">
      <c r="A407" s="736"/>
      <c r="B407" s="736"/>
      <c r="C407" s="747"/>
      <c r="D407" s="746"/>
      <c r="E407" s="747"/>
      <c r="F407" s="746"/>
      <c r="G407" s="746"/>
      <c r="H407" s="736"/>
      <c r="I407" s="736"/>
      <c r="J407" s="736"/>
      <c r="K407" s="736"/>
      <c r="L407" s="736"/>
      <c r="M407" s="736"/>
      <c r="N407" s="736"/>
      <c r="O407" s="736"/>
      <c r="P407" s="736"/>
      <c r="Q407" s="736"/>
      <c r="R407" s="736"/>
      <c r="S407" s="736"/>
      <c r="T407" s="736"/>
      <c r="U407" s="736"/>
    </row>
    <row r="408">
      <c r="A408" s="736"/>
      <c r="B408" s="736"/>
      <c r="C408" s="747"/>
      <c r="D408" s="746"/>
      <c r="E408" s="747"/>
      <c r="F408" s="746"/>
      <c r="G408" s="746"/>
      <c r="H408" s="736"/>
      <c r="I408" s="736"/>
      <c r="J408" s="736"/>
      <c r="K408" s="736"/>
      <c r="L408" s="736"/>
      <c r="M408" s="736"/>
      <c r="N408" s="736"/>
      <c r="O408" s="736"/>
      <c r="P408" s="736"/>
      <c r="Q408" s="736"/>
      <c r="R408" s="736"/>
      <c r="S408" s="736"/>
      <c r="T408" s="736"/>
      <c r="U408" s="736"/>
    </row>
    <row r="409">
      <c r="A409" s="736"/>
      <c r="B409" s="736"/>
      <c r="C409" s="747"/>
      <c r="D409" s="746"/>
      <c r="E409" s="747"/>
      <c r="F409" s="746"/>
      <c r="G409" s="746"/>
      <c r="H409" s="736"/>
      <c r="I409" s="736"/>
      <c r="J409" s="736"/>
      <c r="K409" s="736"/>
      <c r="L409" s="736"/>
      <c r="M409" s="736"/>
      <c r="N409" s="736"/>
      <c r="O409" s="736"/>
      <c r="P409" s="736"/>
      <c r="Q409" s="736"/>
      <c r="R409" s="736"/>
      <c r="S409" s="736"/>
      <c r="T409" s="736"/>
      <c r="U409" s="736"/>
    </row>
    <row r="410">
      <c r="A410" s="736"/>
      <c r="B410" s="736"/>
      <c r="C410" s="747"/>
      <c r="D410" s="746"/>
      <c r="E410" s="747"/>
      <c r="F410" s="746"/>
      <c r="G410" s="746"/>
      <c r="H410" s="736"/>
      <c r="I410" s="736"/>
      <c r="J410" s="736"/>
      <c r="K410" s="736"/>
      <c r="L410" s="736"/>
      <c r="M410" s="736"/>
      <c r="N410" s="736"/>
      <c r="O410" s="736"/>
      <c r="P410" s="736"/>
      <c r="Q410" s="736"/>
      <c r="R410" s="736"/>
      <c r="S410" s="736"/>
      <c r="T410" s="736"/>
      <c r="U410" s="736"/>
    </row>
    <row r="411">
      <c r="A411" s="736"/>
      <c r="B411" s="736"/>
      <c r="C411" s="747"/>
      <c r="D411" s="746"/>
      <c r="E411" s="747"/>
      <c r="F411" s="746"/>
      <c r="G411" s="746"/>
      <c r="H411" s="736"/>
      <c r="I411" s="736"/>
      <c r="J411" s="736"/>
      <c r="K411" s="736"/>
      <c r="L411" s="736"/>
      <c r="M411" s="736"/>
      <c r="N411" s="736"/>
      <c r="O411" s="736"/>
      <c r="P411" s="736"/>
      <c r="Q411" s="736"/>
      <c r="R411" s="736"/>
      <c r="S411" s="736"/>
      <c r="T411" s="736"/>
      <c r="U411" s="736"/>
    </row>
    <row r="412">
      <c r="A412" s="736"/>
      <c r="B412" s="736"/>
      <c r="C412" s="747"/>
      <c r="D412" s="746"/>
      <c r="E412" s="747"/>
      <c r="F412" s="746"/>
      <c r="G412" s="746"/>
      <c r="H412" s="736"/>
      <c r="I412" s="736"/>
      <c r="J412" s="736"/>
      <c r="K412" s="736"/>
      <c r="L412" s="736"/>
      <c r="M412" s="736"/>
      <c r="N412" s="736"/>
      <c r="O412" s="736"/>
      <c r="P412" s="736"/>
      <c r="Q412" s="736"/>
      <c r="R412" s="736"/>
      <c r="S412" s="736"/>
      <c r="T412" s="736"/>
      <c r="U412" s="736"/>
    </row>
    <row r="413">
      <c r="A413" s="736"/>
      <c r="B413" s="736"/>
      <c r="C413" s="747"/>
      <c r="D413" s="746"/>
      <c r="E413" s="747"/>
      <c r="F413" s="746"/>
      <c r="G413" s="746"/>
      <c r="H413" s="736"/>
      <c r="I413" s="736"/>
      <c r="J413" s="736"/>
      <c r="K413" s="736"/>
      <c r="L413" s="736"/>
      <c r="M413" s="736"/>
      <c r="N413" s="736"/>
      <c r="O413" s="736"/>
      <c r="P413" s="736"/>
      <c r="Q413" s="736"/>
      <c r="R413" s="736"/>
      <c r="S413" s="736"/>
      <c r="T413" s="736"/>
      <c r="U413" s="736"/>
    </row>
    <row r="414">
      <c r="A414" s="736"/>
      <c r="B414" s="736"/>
      <c r="C414" s="747"/>
      <c r="D414" s="746"/>
      <c r="E414" s="747"/>
      <c r="F414" s="746"/>
      <c r="G414" s="746"/>
      <c r="H414" s="736"/>
      <c r="I414" s="736"/>
      <c r="J414" s="736"/>
      <c r="K414" s="736"/>
      <c r="L414" s="736"/>
      <c r="M414" s="736"/>
      <c r="N414" s="736"/>
      <c r="O414" s="736"/>
      <c r="P414" s="736"/>
      <c r="Q414" s="736"/>
      <c r="R414" s="736"/>
      <c r="S414" s="736"/>
      <c r="T414" s="736"/>
      <c r="U414" s="736"/>
    </row>
    <row r="415">
      <c r="A415" s="736"/>
      <c r="B415" s="736"/>
      <c r="C415" s="747"/>
      <c r="D415" s="746"/>
      <c r="E415" s="747"/>
      <c r="F415" s="746"/>
      <c r="G415" s="746"/>
      <c r="H415" s="736"/>
      <c r="I415" s="736"/>
      <c r="J415" s="736"/>
      <c r="K415" s="736"/>
      <c r="L415" s="736"/>
      <c r="M415" s="736"/>
      <c r="N415" s="736"/>
      <c r="O415" s="736"/>
      <c r="P415" s="736"/>
      <c r="Q415" s="736"/>
      <c r="R415" s="736"/>
      <c r="S415" s="736"/>
      <c r="T415" s="736"/>
      <c r="U415" s="736"/>
    </row>
    <row r="416">
      <c r="A416" s="736"/>
      <c r="B416" s="736"/>
      <c r="C416" s="747"/>
      <c r="D416" s="746"/>
      <c r="E416" s="747"/>
      <c r="F416" s="746"/>
      <c r="G416" s="746"/>
      <c r="H416" s="736"/>
      <c r="I416" s="736"/>
      <c r="J416" s="736"/>
      <c r="K416" s="736"/>
      <c r="L416" s="736"/>
      <c r="M416" s="736"/>
      <c r="N416" s="736"/>
      <c r="O416" s="736"/>
      <c r="P416" s="736"/>
      <c r="Q416" s="736"/>
      <c r="R416" s="736"/>
      <c r="S416" s="736"/>
      <c r="T416" s="736"/>
      <c r="U416" s="736"/>
    </row>
    <row r="417">
      <c r="A417" s="736"/>
      <c r="B417" s="736"/>
      <c r="C417" s="747"/>
      <c r="D417" s="746"/>
      <c r="E417" s="747"/>
      <c r="F417" s="746"/>
      <c r="G417" s="746"/>
      <c r="H417" s="736"/>
      <c r="I417" s="736"/>
      <c r="J417" s="736"/>
      <c r="K417" s="736"/>
      <c r="L417" s="736"/>
      <c r="M417" s="736"/>
      <c r="N417" s="736"/>
      <c r="O417" s="736"/>
      <c r="P417" s="736"/>
      <c r="Q417" s="736"/>
      <c r="R417" s="736"/>
      <c r="S417" s="736"/>
      <c r="T417" s="736"/>
      <c r="U417" s="736"/>
    </row>
    <row r="418">
      <c r="A418" s="736"/>
      <c r="B418" s="736"/>
      <c r="C418" s="747"/>
      <c r="D418" s="746"/>
      <c r="E418" s="747"/>
      <c r="F418" s="746"/>
      <c r="G418" s="746"/>
      <c r="H418" s="736"/>
      <c r="I418" s="736"/>
      <c r="J418" s="736"/>
      <c r="K418" s="736"/>
      <c r="L418" s="736"/>
      <c r="M418" s="736"/>
      <c r="N418" s="736"/>
      <c r="O418" s="736"/>
      <c r="P418" s="736"/>
      <c r="Q418" s="736"/>
      <c r="R418" s="736"/>
      <c r="S418" s="736"/>
      <c r="T418" s="736"/>
      <c r="U418" s="736"/>
    </row>
    <row r="419">
      <c r="A419" s="736"/>
      <c r="B419" s="736"/>
      <c r="C419" s="747"/>
      <c r="D419" s="746"/>
      <c r="E419" s="747"/>
      <c r="F419" s="746"/>
      <c r="G419" s="746"/>
      <c r="H419" s="736"/>
      <c r="I419" s="736"/>
      <c r="J419" s="736"/>
      <c r="K419" s="736"/>
      <c r="L419" s="736"/>
      <c r="M419" s="736"/>
      <c r="N419" s="736"/>
      <c r="O419" s="736"/>
      <c r="P419" s="736"/>
      <c r="Q419" s="736"/>
      <c r="R419" s="736"/>
      <c r="S419" s="736"/>
      <c r="T419" s="736"/>
      <c r="U419" s="736"/>
    </row>
    <row r="420">
      <c r="A420" s="736"/>
      <c r="B420" s="736"/>
      <c r="C420" s="747"/>
      <c r="D420" s="746"/>
      <c r="E420" s="747"/>
      <c r="F420" s="746"/>
      <c r="G420" s="746"/>
      <c r="H420" s="736"/>
      <c r="I420" s="736"/>
      <c r="J420" s="736"/>
      <c r="K420" s="736"/>
      <c r="L420" s="736"/>
      <c r="M420" s="736"/>
      <c r="N420" s="736"/>
      <c r="O420" s="736"/>
      <c r="P420" s="736"/>
      <c r="Q420" s="736"/>
      <c r="R420" s="736"/>
      <c r="S420" s="736"/>
      <c r="T420" s="736"/>
      <c r="U420" s="736"/>
    </row>
    <row r="421">
      <c r="A421" s="736"/>
      <c r="B421" s="736"/>
      <c r="C421" s="747"/>
      <c r="D421" s="746"/>
      <c r="E421" s="747"/>
      <c r="F421" s="746"/>
      <c r="G421" s="746"/>
      <c r="H421" s="736"/>
      <c r="I421" s="736"/>
      <c r="J421" s="736"/>
      <c r="K421" s="736"/>
      <c r="L421" s="736"/>
      <c r="M421" s="736"/>
      <c r="N421" s="736"/>
      <c r="O421" s="736"/>
      <c r="P421" s="736"/>
      <c r="Q421" s="736"/>
      <c r="R421" s="736"/>
      <c r="S421" s="736"/>
      <c r="T421" s="736"/>
      <c r="U421" s="736"/>
    </row>
    <row r="422">
      <c r="A422" s="736"/>
      <c r="B422" s="736"/>
      <c r="C422" s="747"/>
      <c r="D422" s="746"/>
      <c r="E422" s="747"/>
      <c r="F422" s="746"/>
      <c r="G422" s="746"/>
      <c r="H422" s="736"/>
      <c r="I422" s="736"/>
      <c r="J422" s="736"/>
      <c r="K422" s="736"/>
      <c r="L422" s="736"/>
      <c r="M422" s="736"/>
      <c r="N422" s="736"/>
      <c r="O422" s="736"/>
      <c r="P422" s="736"/>
      <c r="Q422" s="736"/>
      <c r="R422" s="736"/>
      <c r="S422" s="736"/>
      <c r="T422" s="736"/>
      <c r="U422" s="736"/>
    </row>
    <row r="423">
      <c r="A423" s="736"/>
      <c r="B423" s="736"/>
      <c r="C423" s="747"/>
      <c r="D423" s="746"/>
      <c r="E423" s="747"/>
      <c r="F423" s="746"/>
      <c r="G423" s="746"/>
      <c r="H423" s="736"/>
      <c r="I423" s="736"/>
      <c r="J423" s="736"/>
      <c r="K423" s="736"/>
      <c r="L423" s="736"/>
      <c r="M423" s="736"/>
      <c r="N423" s="736"/>
      <c r="O423" s="736"/>
      <c r="P423" s="736"/>
      <c r="Q423" s="736"/>
      <c r="R423" s="736"/>
      <c r="S423" s="736"/>
      <c r="T423" s="736"/>
      <c r="U423" s="736"/>
    </row>
    <row r="424">
      <c r="A424" s="736"/>
      <c r="B424" s="736"/>
      <c r="C424" s="747"/>
      <c r="D424" s="746"/>
      <c r="E424" s="747"/>
      <c r="F424" s="746"/>
      <c r="G424" s="746"/>
      <c r="H424" s="736"/>
      <c r="I424" s="736"/>
      <c r="J424" s="736"/>
      <c r="K424" s="736"/>
      <c r="L424" s="736"/>
      <c r="M424" s="736"/>
      <c r="N424" s="736"/>
      <c r="O424" s="736"/>
      <c r="P424" s="736"/>
      <c r="Q424" s="736"/>
      <c r="R424" s="736"/>
      <c r="S424" s="736"/>
      <c r="T424" s="736"/>
      <c r="U424" s="736"/>
    </row>
    <row r="425">
      <c r="A425" s="736"/>
      <c r="B425" s="736"/>
      <c r="C425" s="747"/>
      <c r="D425" s="746"/>
      <c r="E425" s="747"/>
      <c r="F425" s="746"/>
      <c r="G425" s="746"/>
      <c r="H425" s="736"/>
      <c r="I425" s="736"/>
      <c r="J425" s="736"/>
      <c r="K425" s="736"/>
      <c r="L425" s="736"/>
      <c r="M425" s="736"/>
      <c r="N425" s="736"/>
      <c r="O425" s="736"/>
      <c r="P425" s="736"/>
      <c r="Q425" s="736"/>
      <c r="R425" s="736"/>
      <c r="S425" s="736"/>
      <c r="T425" s="736"/>
      <c r="U425" s="736"/>
    </row>
    <row r="426">
      <c r="A426" s="736"/>
      <c r="B426" s="736"/>
      <c r="C426" s="747"/>
      <c r="D426" s="746"/>
      <c r="E426" s="747"/>
      <c r="F426" s="746"/>
      <c r="G426" s="746"/>
      <c r="H426" s="736"/>
      <c r="I426" s="736"/>
      <c r="J426" s="736"/>
      <c r="K426" s="736"/>
      <c r="L426" s="736"/>
      <c r="M426" s="736"/>
      <c r="N426" s="736"/>
      <c r="O426" s="736"/>
      <c r="P426" s="736"/>
      <c r="Q426" s="736"/>
      <c r="R426" s="736"/>
      <c r="S426" s="736"/>
      <c r="T426" s="736"/>
      <c r="U426" s="736"/>
    </row>
    <row r="427">
      <c r="A427" s="736"/>
      <c r="B427" s="736"/>
      <c r="C427" s="747"/>
      <c r="D427" s="746"/>
      <c r="E427" s="747"/>
      <c r="F427" s="746"/>
      <c r="G427" s="746"/>
      <c r="H427" s="736"/>
      <c r="I427" s="736"/>
      <c r="J427" s="736"/>
      <c r="K427" s="736"/>
      <c r="L427" s="736"/>
      <c r="M427" s="736"/>
      <c r="N427" s="736"/>
      <c r="O427" s="736"/>
      <c r="P427" s="736"/>
      <c r="Q427" s="736"/>
      <c r="R427" s="736"/>
      <c r="S427" s="736"/>
      <c r="T427" s="736"/>
      <c r="U427" s="736"/>
    </row>
    <row r="428">
      <c r="A428" s="736"/>
      <c r="B428" s="736"/>
      <c r="C428" s="747"/>
      <c r="D428" s="746"/>
      <c r="E428" s="747"/>
      <c r="F428" s="746"/>
      <c r="G428" s="746"/>
      <c r="H428" s="736"/>
      <c r="I428" s="736"/>
      <c r="J428" s="736"/>
      <c r="K428" s="736"/>
      <c r="L428" s="736"/>
      <c r="M428" s="736"/>
      <c r="N428" s="736"/>
      <c r="O428" s="736"/>
      <c r="P428" s="736"/>
      <c r="Q428" s="736"/>
      <c r="R428" s="736"/>
      <c r="S428" s="736"/>
      <c r="T428" s="736"/>
      <c r="U428" s="736"/>
    </row>
    <row r="429">
      <c r="A429" s="736"/>
      <c r="B429" s="736"/>
      <c r="C429" s="747"/>
      <c r="D429" s="746"/>
      <c r="E429" s="747"/>
      <c r="F429" s="746"/>
      <c r="G429" s="746"/>
      <c r="H429" s="736"/>
      <c r="I429" s="736"/>
      <c r="J429" s="736"/>
      <c r="K429" s="736"/>
      <c r="L429" s="736"/>
      <c r="M429" s="736"/>
      <c r="N429" s="736"/>
      <c r="O429" s="736"/>
      <c r="P429" s="736"/>
      <c r="Q429" s="736"/>
      <c r="R429" s="736"/>
      <c r="S429" s="736"/>
      <c r="T429" s="736"/>
      <c r="U429" s="736"/>
    </row>
    <row r="430">
      <c r="A430" s="736"/>
      <c r="B430" s="736"/>
      <c r="C430" s="747"/>
      <c r="D430" s="746"/>
      <c r="E430" s="747"/>
      <c r="F430" s="746"/>
      <c r="G430" s="746"/>
      <c r="H430" s="736"/>
      <c r="I430" s="736"/>
      <c r="J430" s="736"/>
      <c r="K430" s="736"/>
      <c r="L430" s="736"/>
      <c r="M430" s="736"/>
      <c r="N430" s="736"/>
      <c r="O430" s="736"/>
      <c r="P430" s="736"/>
      <c r="Q430" s="736"/>
      <c r="R430" s="736"/>
      <c r="S430" s="736"/>
      <c r="T430" s="736"/>
      <c r="U430" s="736"/>
    </row>
    <row r="431">
      <c r="A431" s="736"/>
      <c r="B431" s="736"/>
      <c r="C431" s="747"/>
      <c r="D431" s="746"/>
      <c r="E431" s="747"/>
      <c r="F431" s="746"/>
      <c r="G431" s="746"/>
      <c r="H431" s="736"/>
      <c r="I431" s="736"/>
      <c r="J431" s="736"/>
      <c r="K431" s="736"/>
      <c r="L431" s="736"/>
      <c r="M431" s="736"/>
      <c r="N431" s="736"/>
      <c r="O431" s="736"/>
      <c r="P431" s="736"/>
      <c r="Q431" s="736"/>
      <c r="R431" s="736"/>
      <c r="S431" s="736"/>
      <c r="T431" s="736"/>
      <c r="U431" s="736"/>
    </row>
    <row r="432">
      <c r="A432" s="736"/>
      <c r="B432" s="736"/>
      <c r="C432" s="747"/>
      <c r="D432" s="746"/>
      <c r="E432" s="747"/>
      <c r="F432" s="746"/>
      <c r="G432" s="746"/>
      <c r="H432" s="736"/>
      <c r="I432" s="736"/>
      <c r="J432" s="736"/>
      <c r="K432" s="736"/>
      <c r="L432" s="736"/>
      <c r="M432" s="736"/>
      <c r="N432" s="736"/>
      <c r="O432" s="736"/>
      <c r="P432" s="736"/>
      <c r="Q432" s="736"/>
      <c r="R432" s="736"/>
      <c r="S432" s="736"/>
      <c r="T432" s="736"/>
      <c r="U432" s="736"/>
    </row>
    <row r="433">
      <c r="A433" s="736"/>
      <c r="B433" s="736"/>
      <c r="C433" s="747"/>
      <c r="D433" s="746"/>
      <c r="E433" s="747"/>
      <c r="F433" s="746"/>
      <c r="G433" s="746"/>
      <c r="H433" s="736"/>
      <c r="I433" s="736"/>
      <c r="J433" s="736"/>
      <c r="K433" s="736"/>
      <c r="L433" s="736"/>
      <c r="M433" s="736"/>
      <c r="N433" s="736"/>
      <c r="O433" s="736"/>
      <c r="P433" s="736"/>
      <c r="Q433" s="736"/>
      <c r="R433" s="736"/>
      <c r="S433" s="736"/>
      <c r="T433" s="736"/>
      <c r="U433" s="736"/>
    </row>
    <row r="434">
      <c r="A434" s="736"/>
      <c r="B434" s="736"/>
      <c r="C434" s="747"/>
      <c r="D434" s="746"/>
      <c r="E434" s="747"/>
      <c r="F434" s="746"/>
      <c r="G434" s="746"/>
      <c r="H434" s="736"/>
      <c r="I434" s="736"/>
      <c r="J434" s="736"/>
      <c r="K434" s="736"/>
      <c r="L434" s="736"/>
      <c r="M434" s="736"/>
      <c r="N434" s="736"/>
      <c r="O434" s="736"/>
      <c r="P434" s="736"/>
      <c r="Q434" s="736"/>
      <c r="R434" s="736"/>
      <c r="S434" s="736"/>
      <c r="T434" s="736"/>
      <c r="U434" s="736"/>
    </row>
    <row r="435">
      <c r="A435" s="736"/>
      <c r="B435" s="736"/>
      <c r="C435" s="747"/>
      <c r="D435" s="746"/>
      <c r="E435" s="747"/>
      <c r="F435" s="746"/>
      <c r="G435" s="746"/>
      <c r="H435" s="736"/>
      <c r="I435" s="736"/>
      <c r="J435" s="736"/>
      <c r="K435" s="736"/>
      <c r="L435" s="736"/>
      <c r="M435" s="736"/>
      <c r="N435" s="736"/>
      <c r="O435" s="736"/>
      <c r="P435" s="736"/>
      <c r="Q435" s="736"/>
      <c r="R435" s="736"/>
      <c r="S435" s="736"/>
      <c r="T435" s="736"/>
      <c r="U435" s="736"/>
    </row>
    <row r="436">
      <c r="A436" s="736"/>
      <c r="B436" s="736"/>
      <c r="C436" s="747"/>
      <c r="D436" s="746"/>
      <c r="E436" s="747"/>
      <c r="F436" s="746"/>
      <c r="G436" s="746"/>
      <c r="H436" s="736"/>
      <c r="I436" s="736"/>
      <c r="J436" s="736"/>
      <c r="K436" s="736"/>
      <c r="L436" s="736"/>
      <c r="M436" s="736"/>
      <c r="N436" s="736"/>
      <c r="O436" s="736"/>
      <c r="P436" s="736"/>
      <c r="Q436" s="736"/>
      <c r="R436" s="736"/>
      <c r="S436" s="736"/>
      <c r="T436" s="736"/>
      <c r="U436" s="736"/>
    </row>
    <row r="437">
      <c r="A437" s="736"/>
      <c r="B437" s="736"/>
      <c r="C437" s="747"/>
      <c r="D437" s="746"/>
      <c r="E437" s="747"/>
      <c r="F437" s="746"/>
      <c r="G437" s="746"/>
      <c r="H437" s="736"/>
      <c r="I437" s="736"/>
      <c r="J437" s="736"/>
      <c r="K437" s="736"/>
      <c r="L437" s="736"/>
      <c r="M437" s="736"/>
      <c r="N437" s="736"/>
      <c r="O437" s="736"/>
      <c r="P437" s="736"/>
      <c r="Q437" s="736"/>
      <c r="R437" s="736"/>
      <c r="S437" s="736"/>
      <c r="T437" s="736"/>
      <c r="U437" s="736"/>
    </row>
    <row r="438">
      <c r="A438" s="736"/>
      <c r="B438" s="736"/>
      <c r="C438" s="747"/>
      <c r="D438" s="746"/>
      <c r="E438" s="747"/>
      <c r="F438" s="746"/>
      <c r="G438" s="746"/>
      <c r="H438" s="736"/>
      <c r="I438" s="736"/>
      <c r="J438" s="736"/>
      <c r="K438" s="736"/>
      <c r="L438" s="736"/>
      <c r="M438" s="736"/>
      <c r="N438" s="736"/>
      <c r="O438" s="736"/>
      <c r="P438" s="736"/>
      <c r="Q438" s="736"/>
      <c r="R438" s="736"/>
      <c r="S438" s="736"/>
      <c r="T438" s="736"/>
      <c r="U438" s="736"/>
    </row>
    <row r="439">
      <c r="A439" s="736"/>
      <c r="B439" s="736"/>
      <c r="C439" s="747"/>
      <c r="D439" s="746"/>
      <c r="E439" s="747"/>
      <c r="F439" s="746"/>
      <c r="G439" s="746"/>
      <c r="H439" s="736"/>
      <c r="I439" s="736"/>
      <c r="J439" s="736"/>
      <c r="K439" s="736"/>
      <c r="L439" s="736"/>
      <c r="M439" s="736"/>
      <c r="N439" s="736"/>
      <c r="O439" s="736"/>
      <c r="P439" s="736"/>
      <c r="Q439" s="736"/>
      <c r="R439" s="736"/>
      <c r="S439" s="736"/>
      <c r="T439" s="736"/>
      <c r="U439" s="736"/>
    </row>
    <row r="440">
      <c r="A440" s="736"/>
      <c r="B440" s="736"/>
      <c r="C440" s="747"/>
      <c r="D440" s="746"/>
      <c r="E440" s="747"/>
      <c r="F440" s="746"/>
      <c r="G440" s="746"/>
      <c r="H440" s="736"/>
      <c r="I440" s="736"/>
      <c r="J440" s="736"/>
      <c r="K440" s="736"/>
      <c r="L440" s="736"/>
      <c r="M440" s="736"/>
      <c r="N440" s="736"/>
      <c r="O440" s="736"/>
      <c r="P440" s="736"/>
      <c r="Q440" s="736"/>
      <c r="R440" s="736"/>
      <c r="S440" s="736"/>
      <c r="T440" s="736"/>
      <c r="U440" s="736"/>
    </row>
    <row r="441">
      <c r="A441" s="736"/>
      <c r="B441" s="736"/>
      <c r="C441" s="747"/>
      <c r="D441" s="746"/>
      <c r="E441" s="747"/>
      <c r="F441" s="746"/>
      <c r="G441" s="746"/>
      <c r="H441" s="736"/>
      <c r="I441" s="736"/>
      <c r="J441" s="736"/>
      <c r="K441" s="736"/>
      <c r="L441" s="736"/>
      <c r="M441" s="736"/>
      <c r="N441" s="736"/>
      <c r="O441" s="736"/>
      <c r="P441" s="736"/>
      <c r="Q441" s="736"/>
      <c r="R441" s="736"/>
      <c r="S441" s="736"/>
      <c r="T441" s="736"/>
      <c r="U441" s="736"/>
    </row>
    <row r="442">
      <c r="A442" s="736"/>
      <c r="B442" s="736"/>
      <c r="C442" s="747"/>
      <c r="D442" s="746"/>
      <c r="E442" s="747"/>
      <c r="F442" s="746"/>
      <c r="G442" s="746"/>
      <c r="H442" s="736"/>
      <c r="I442" s="736"/>
      <c r="J442" s="736"/>
      <c r="K442" s="736"/>
      <c r="L442" s="736"/>
      <c r="M442" s="736"/>
      <c r="N442" s="736"/>
      <c r="O442" s="736"/>
      <c r="P442" s="736"/>
      <c r="Q442" s="736"/>
      <c r="R442" s="736"/>
      <c r="S442" s="736"/>
      <c r="T442" s="736"/>
      <c r="U442" s="736"/>
    </row>
    <row r="443">
      <c r="A443" s="736"/>
      <c r="B443" s="736"/>
      <c r="C443" s="747"/>
      <c r="D443" s="746"/>
      <c r="E443" s="747"/>
      <c r="F443" s="746"/>
      <c r="G443" s="746"/>
      <c r="H443" s="736"/>
      <c r="I443" s="736"/>
      <c r="J443" s="736"/>
      <c r="K443" s="736"/>
      <c r="L443" s="736"/>
      <c r="M443" s="736"/>
      <c r="N443" s="736"/>
      <c r="O443" s="736"/>
      <c r="P443" s="736"/>
      <c r="Q443" s="736"/>
      <c r="R443" s="736"/>
      <c r="S443" s="736"/>
      <c r="T443" s="736"/>
      <c r="U443" s="736"/>
    </row>
    <row r="444">
      <c r="A444" s="736"/>
      <c r="B444" s="736"/>
      <c r="C444" s="747"/>
      <c r="D444" s="746"/>
      <c r="E444" s="747"/>
      <c r="F444" s="746"/>
      <c r="G444" s="746"/>
      <c r="H444" s="736"/>
      <c r="I444" s="736"/>
      <c r="J444" s="736"/>
      <c r="K444" s="736"/>
      <c r="L444" s="736"/>
      <c r="M444" s="736"/>
      <c r="N444" s="736"/>
      <c r="O444" s="736"/>
      <c r="P444" s="736"/>
      <c r="Q444" s="736"/>
      <c r="R444" s="736"/>
      <c r="S444" s="736"/>
      <c r="T444" s="736"/>
      <c r="U444" s="736"/>
    </row>
    <row r="445">
      <c r="A445" s="736"/>
      <c r="B445" s="736"/>
      <c r="C445" s="747"/>
      <c r="D445" s="746"/>
      <c r="E445" s="747"/>
      <c r="F445" s="746"/>
      <c r="G445" s="746"/>
      <c r="H445" s="736"/>
      <c r="I445" s="736"/>
      <c r="J445" s="736"/>
      <c r="K445" s="736"/>
      <c r="L445" s="736"/>
      <c r="M445" s="736"/>
      <c r="N445" s="736"/>
      <c r="O445" s="736"/>
      <c r="P445" s="736"/>
      <c r="Q445" s="736"/>
      <c r="R445" s="736"/>
      <c r="S445" s="736"/>
      <c r="T445" s="736"/>
      <c r="U445" s="736"/>
    </row>
    <row r="446">
      <c r="A446" s="736"/>
      <c r="B446" s="736"/>
      <c r="C446" s="747"/>
      <c r="D446" s="746"/>
      <c r="E446" s="747"/>
      <c r="F446" s="746"/>
      <c r="G446" s="746"/>
      <c r="H446" s="736"/>
      <c r="I446" s="736"/>
      <c r="J446" s="736"/>
      <c r="K446" s="736"/>
      <c r="L446" s="736"/>
      <c r="M446" s="736"/>
      <c r="N446" s="736"/>
      <c r="O446" s="736"/>
      <c r="P446" s="736"/>
      <c r="Q446" s="736"/>
      <c r="R446" s="736"/>
      <c r="S446" s="736"/>
      <c r="T446" s="736"/>
      <c r="U446" s="736"/>
    </row>
    <row r="447">
      <c r="A447" s="736"/>
      <c r="B447" s="736"/>
      <c r="C447" s="747"/>
      <c r="D447" s="746"/>
      <c r="E447" s="747"/>
      <c r="F447" s="746"/>
      <c r="G447" s="746"/>
      <c r="H447" s="736"/>
      <c r="I447" s="736"/>
      <c r="J447" s="736"/>
      <c r="K447" s="736"/>
      <c r="L447" s="736"/>
      <c r="M447" s="736"/>
      <c r="N447" s="736"/>
      <c r="O447" s="736"/>
      <c r="P447" s="736"/>
      <c r="Q447" s="736"/>
      <c r="R447" s="736"/>
      <c r="S447" s="736"/>
      <c r="T447" s="736"/>
      <c r="U447" s="736"/>
    </row>
    <row r="448">
      <c r="A448" s="736"/>
      <c r="B448" s="736"/>
      <c r="C448" s="747"/>
      <c r="D448" s="746"/>
      <c r="E448" s="747"/>
      <c r="F448" s="746"/>
      <c r="G448" s="746"/>
      <c r="H448" s="736"/>
      <c r="I448" s="736"/>
      <c r="J448" s="736"/>
      <c r="K448" s="736"/>
      <c r="L448" s="736"/>
      <c r="M448" s="736"/>
      <c r="N448" s="736"/>
      <c r="O448" s="736"/>
      <c r="P448" s="736"/>
      <c r="Q448" s="736"/>
      <c r="R448" s="736"/>
      <c r="S448" s="736"/>
      <c r="T448" s="736"/>
      <c r="U448" s="736"/>
    </row>
    <row r="449">
      <c r="A449" s="736"/>
      <c r="B449" s="736"/>
      <c r="C449" s="747"/>
      <c r="D449" s="746"/>
      <c r="E449" s="747"/>
      <c r="F449" s="746"/>
      <c r="G449" s="746"/>
      <c r="H449" s="736"/>
      <c r="I449" s="736"/>
      <c r="J449" s="736"/>
      <c r="K449" s="736"/>
      <c r="L449" s="736"/>
      <c r="M449" s="736"/>
      <c r="N449" s="736"/>
      <c r="O449" s="736"/>
      <c r="P449" s="736"/>
      <c r="Q449" s="736"/>
      <c r="R449" s="736"/>
      <c r="S449" s="736"/>
      <c r="T449" s="736"/>
      <c r="U449" s="736"/>
    </row>
    <row r="450">
      <c r="A450" s="736"/>
      <c r="B450" s="736"/>
      <c r="C450" s="747"/>
      <c r="D450" s="746"/>
      <c r="E450" s="747"/>
      <c r="F450" s="746"/>
      <c r="G450" s="746"/>
      <c r="H450" s="736"/>
      <c r="I450" s="736"/>
      <c r="J450" s="736"/>
      <c r="K450" s="736"/>
      <c r="L450" s="736"/>
      <c r="M450" s="736"/>
      <c r="N450" s="736"/>
      <c r="O450" s="736"/>
      <c r="P450" s="736"/>
      <c r="Q450" s="736"/>
      <c r="R450" s="736"/>
      <c r="S450" s="736"/>
      <c r="T450" s="736"/>
      <c r="U450" s="736"/>
    </row>
    <row r="451">
      <c r="A451" s="736"/>
      <c r="B451" s="736"/>
      <c r="C451" s="747"/>
      <c r="D451" s="746"/>
      <c r="E451" s="747"/>
      <c r="F451" s="746"/>
      <c r="G451" s="746"/>
      <c r="H451" s="736"/>
      <c r="I451" s="736"/>
      <c r="J451" s="736"/>
      <c r="K451" s="736"/>
      <c r="L451" s="736"/>
      <c r="M451" s="736"/>
      <c r="N451" s="736"/>
      <c r="O451" s="736"/>
      <c r="P451" s="736"/>
      <c r="Q451" s="736"/>
      <c r="R451" s="736"/>
      <c r="S451" s="736"/>
      <c r="T451" s="736"/>
      <c r="U451" s="736"/>
    </row>
    <row r="452">
      <c r="A452" s="736"/>
      <c r="B452" s="736"/>
      <c r="C452" s="747"/>
      <c r="D452" s="746"/>
      <c r="E452" s="747"/>
      <c r="F452" s="746"/>
      <c r="G452" s="746"/>
      <c r="H452" s="736"/>
      <c r="I452" s="736"/>
      <c r="J452" s="736"/>
      <c r="K452" s="736"/>
      <c r="L452" s="736"/>
      <c r="M452" s="736"/>
      <c r="N452" s="736"/>
      <c r="O452" s="736"/>
      <c r="P452" s="736"/>
      <c r="Q452" s="736"/>
      <c r="R452" s="736"/>
      <c r="S452" s="736"/>
      <c r="T452" s="736"/>
      <c r="U452" s="736"/>
    </row>
    <row r="453">
      <c r="A453" s="736"/>
      <c r="B453" s="736"/>
      <c r="C453" s="747"/>
      <c r="D453" s="746"/>
      <c r="E453" s="747"/>
      <c r="F453" s="746"/>
      <c r="G453" s="746"/>
      <c r="H453" s="736"/>
      <c r="I453" s="736"/>
      <c r="J453" s="736"/>
      <c r="K453" s="736"/>
      <c r="L453" s="736"/>
      <c r="M453" s="736"/>
      <c r="N453" s="736"/>
      <c r="O453" s="736"/>
      <c r="P453" s="736"/>
      <c r="Q453" s="736"/>
      <c r="R453" s="736"/>
      <c r="S453" s="736"/>
      <c r="T453" s="736"/>
      <c r="U453" s="736"/>
    </row>
    <row r="454">
      <c r="A454" s="736"/>
      <c r="B454" s="736"/>
      <c r="C454" s="747"/>
      <c r="D454" s="746"/>
      <c r="E454" s="747"/>
      <c r="F454" s="746"/>
      <c r="G454" s="746"/>
      <c r="H454" s="736"/>
      <c r="I454" s="736"/>
      <c r="J454" s="736"/>
      <c r="K454" s="736"/>
      <c r="L454" s="736"/>
      <c r="M454" s="736"/>
      <c r="N454" s="736"/>
      <c r="O454" s="736"/>
      <c r="P454" s="736"/>
      <c r="Q454" s="736"/>
      <c r="R454" s="736"/>
      <c r="S454" s="736"/>
      <c r="T454" s="736"/>
      <c r="U454" s="736"/>
    </row>
    <row r="455">
      <c r="A455" s="736"/>
      <c r="B455" s="736"/>
      <c r="C455" s="747"/>
      <c r="D455" s="746"/>
      <c r="E455" s="747"/>
      <c r="F455" s="746"/>
      <c r="G455" s="746"/>
      <c r="H455" s="736"/>
      <c r="I455" s="736"/>
      <c r="J455" s="736"/>
      <c r="K455" s="736"/>
      <c r="L455" s="736"/>
      <c r="M455" s="736"/>
      <c r="N455" s="736"/>
      <c r="O455" s="736"/>
      <c r="P455" s="736"/>
      <c r="Q455" s="736"/>
      <c r="R455" s="736"/>
      <c r="S455" s="736"/>
      <c r="T455" s="736"/>
      <c r="U455" s="736"/>
    </row>
    <row r="456">
      <c r="A456" s="736"/>
      <c r="B456" s="736"/>
      <c r="C456" s="747"/>
      <c r="D456" s="746"/>
      <c r="E456" s="747"/>
      <c r="F456" s="746"/>
      <c r="G456" s="746"/>
      <c r="H456" s="736"/>
      <c r="I456" s="736"/>
      <c r="J456" s="736"/>
      <c r="K456" s="736"/>
      <c r="L456" s="736"/>
      <c r="M456" s="736"/>
      <c r="N456" s="736"/>
      <c r="O456" s="736"/>
      <c r="P456" s="736"/>
      <c r="Q456" s="736"/>
      <c r="R456" s="736"/>
      <c r="S456" s="736"/>
      <c r="T456" s="736"/>
      <c r="U456" s="736"/>
    </row>
    <row r="457">
      <c r="A457" s="736"/>
      <c r="B457" s="736"/>
      <c r="C457" s="747"/>
      <c r="D457" s="746"/>
      <c r="E457" s="747"/>
      <c r="F457" s="746"/>
      <c r="G457" s="746"/>
      <c r="H457" s="736"/>
      <c r="I457" s="736"/>
      <c r="J457" s="736"/>
      <c r="K457" s="736"/>
      <c r="L457" s="736"/>
      <c r="M457" s="736"/>
      <c r="N457" s="736"/>
      <c r="O457" s="736"/>
      <c r="P457" s="736"/>
      <c r="Q457" s="736"/>
      <c r="R457" s="736"/>
      <c r="S457" s="736"/>
      <c r="T457" s="736"/>
      <c r="U457" s="736"/>
    </row>
    <row r="458">
      <c r="A458" s="736"/>
      <c r="B458" s="736"/>
      <c r="C458" s="747"/>
      <c r="D458" s="746"/>
      <c r="E458" s="747"/>
      <c r="F458" s="746"/>
      <c r="G458" s="746"/>
      <c r="H458" s="736"/>
      <c r="I458" s="736"/>
      <c r="J458" s="736"/>
      <c r="K458" s="736"/>
      <c r="L458" s="736"/>
      <c r="M458" s="736"/>
      <c r="N458" s="736"/>
      <c r="O458" s="736"/>
      <c r="P458" s="736"/>
      <c r="Q458" s="736"/>
      <c r="R458" s="736"/>
      <c r="S458" s="736"/>
      <c r="T458" s="736"/>
      <c r="U458" s="736"/>
    </row>
    <row r="459">
      <c r="A459" s="736"/>
      <c r="B459" s="736"/>
      <c r="C459" s="747"/>
      <c r="D459" s="746"/>
      <c r="E459" s="747"/>
      <c r="F459" s="746"/>
      <c r="G459" s="746"/>
      <c r="H459" s="736"/>
      <c r="I459" s="736"/>
      <c r="J459" s="736"/>
      <c r="K459" s="736"/>
      <c r="L459" s="736"/>
      <c r="M459" s="736"/>
      <c r="N459" s="736"/>
      <c r="O459" s="736"/>
      <c r="P459" s="736"/>
      <c r="Q459" s="736"/>
      <c r="R459" s="736"/>
      <c r="S459" s="736"/>
      <c r="T459" s="736"/>
      <c r="U459" s="736"/>
    </row>
    <row r="460">
      <c r="A460" s="736"/>
      <c r="B460" s="736"/>
      <c r="C460" s="747"/>
      <c r="D460" s="746"/>
      <c r="E460" s="747"/>
      <c r="F460" s="746"/>
      <c r="G460" s="746"/>
      <c r="H460" s="736"/>
      <c r="I460" s="736"/>
      <c r="J460" s="736"/>
      <c r="K460" s="736"/>
      <c r="L460" s="736"/>
      <c r="M460" s="736"/>
      <c r="N460" s="736"/>
      <c r="O460" s="736"/>
      <c r="P460" s="736"/>
      <c r="Q460" s="736"/>
      <c r="R460" s="736"/>
      <c r="S460" s="736"/>
      <c r="T460" s="736"/>
      <c r="U460" s="736"/>
    </row>
    <row r="461">
      <c r="A461" s="736"/>
      <c r="B461" s="736"/>
      <c r="C461" s="747"/>
      <c r="D461" s="746"/>
      <c r="E461" s="747"/>
      <c r="F461" s="746"/>
      <c r="G461" s="746"/>
      <c r="H461" s="736"/>
      <c r="I461" s="736"/>
      <c r="J461" s="736"/>
      <c r="K461" s="736"/>
      <c r="L461" s="736"/>
      <c r="M461" s="736"/>
      <c r="N461" s="736"/>
      <c r="O461" s="736"/>
      <c r="P461" s="736"/>
      <c r="Q461" s="736"/>
      <c r="R461" s="736"/>
      <c r="S461" s="736"/>
      <c r="T461" s="736"/>
      <c r="U461" s="736"/>
    </row>
    <row r="462">
      <c r="A462" s="736"/>
      <c r="B462" s="736"/>
      <c r="C462" s="747"/>
      <c r="D462" s="746"/>
      <c r="E462" s="747"/>
      <c r="F462" s="746"/>
      <c r="G462" s="746"/>
      <c r="H462" s="736"/>
      <c r="I462" s="736"/>
      <c r="J462" s="736"/>
      <c r="K462" s="736"/>
      <c r="L462" s="736"/>
      <c r="M462" s="736"/>
      <c r="N462" s="736"/>
      <c r="O462" s="736"/>
      <c r="P462" s="736"/>
      <c r="Q462" s="736"/>
      <c r="R462" s="736"/>
      <c r="S462" s="736"/>
      <c r="T462" s="736"/>
      <c r="U462" s="736"/>
    </row>
    <row r="463">
      <c r="A463" s="736"/>
      <c r="B463" s="736"/>
      <c r="C463" s="747"/>
      <c r="D463" s="746"/>
      <c r="E463" s="747"/>
      <c r="F463" s="746"/>
      <c r="G463" s="746"/>
      <c r="H463" s="736"/>
      <c r="I463" s="736"/>
      <c r="J463" s="736"/>
      <c r="K463" s="736"/>
      <c r="L463" s="736"/>
      <c r="M463" s="736"/>
      <c r="N463" s="736"/>
      <c r="O463" s="736"/>
      <c r="P463" s="736"/>
      <c r="Q463" s="736"/>
      <c r="R463" s="736"/>
      <c r="S463" s="736"/>
      <c r="T463" s="736"/>
      <c r="U463" s="736"/>
    </row>
    <row r="464">
      <c r="A464" s="736"/>
      <c r="B464" s="736"/>
      <c r="C464" s="747"/>
      <c r="D464" s="746"/>
      <c r="E464" s="747"/>
      <c r="F464" s="746"/>
      <c r="G464" s="746"/>
      <c r="H464" s="736"/>
      <c r="I464" s="736"/>
      <c r="J464" s="736"/>
      <c r="K464" s="736"/>
      <c r="L464" s="736"/>
      <c r="M464" s="736"/>
      <c r="N464" s="736"/>
      <c r="O464" s="736"/>
      <c r="P464" s="736"/>
      <c r="Q464" s="736"/>
      <c r="R464" s="736"/>
      <c r="S464" s="736"/>
      <c r="T464" s="736"/>
      <c r="U464" s="736"/>
    </row>
    <row r="465">
      <c r="A465" s="736"/>
      <c r="B465" s="736"/>
      <c r="C465" s="747"/>
      <c r="D465" s="746"/>
      <c r="E465" s="747"/>
      <c r="F465" s="746"/>
      <c r="G465" s="746"/>
      <c r="H465" s="736"/>
      <c r="I465" s="736"/>
      <c r="J465" s="736"/>
      <c r="K465" s="736"/>
      <c r="L465" s="736"/>
      <c r="M465" s="736"/>
      <c r="N465" s="736"/>
      <c r="O465" s="736"/>
      <c r="P465" s="736"/>
      <c r="Q465" s="736"/>
      <c r="R465" s="736"/>
      <c r="S465" s="736"/>
      <c r="T465" s="736"/>
      <c r="U465" s="736"/>
    </row>
    <row r="466">
      <c r="A466" s="736"/>
      <c r="B466" s="736"/>
      <c r="C466" s="747"/>
      <c r="D466" s="746"/>
      <c r="E466" s="747"/>
      <c r="F466" s="746"/>
      <c r="G466" s="746"/>
      <c r="H466" s="736"/>
      <c r="I466" s="736"/>
      <c r="J466" s="736"/>
      <c r="K466" s="736"/>
      <c r="L466" s="736"/>
      <c r="M466" s="736"/>
      <c r="N466" s="736"/>
      <c r="O466" s="736"/>
      <c r="P466" s="736"/>
      <c r="Q466" s="736"/>
      <c r="R466" s="736"/>
      <c r="S466" s="736"/>
      <c r="T466" s="736"/>
      <c r="U466" s="736"/>
    </row>
    <row r="467">
      <c r="A467" s="736"/>
      <c r="B467" s="736"/>
      <c r="C467" s="747"/>
      <c r="D467" s="746"/>
      <c r="E467" s="747"/>
      <c r="F467" s="746"/>
      <c r="G467" s="746"/>
      <c r="H467" s="736"/>
      <c r="I467" s="736"/>
      <c r="J467" s="736"/>
      <c r="K467" s="736"/>
      <c r="L467" s="736"/>
      <c r="M467" s="736"/>
      <c r="N467" s="736"/>
      <c r="O467" s="736"/>
      <c r="P467" s="736"/>
      <c r="Q467" s="736"/>
      <c r="R467" s="736"/>
      <c r="S467" s="736"/>
      <c r="T467" s="736"/>
      <c r="U467" s="736"/>
    </row>
    <row r="468">
      <c r="A468" s="736"/>
      <c r="B468" s="736"/>
      <c r="C468" s="747"/>
      <c r="D468" s="746"/>
      <c r="E468" s="747"/>
      <c r="F468" s="746"/>
      <c r="G468" s="746"/>
      <c r="H468" s="736"/>
      <c r="I468" s="736"/>
      <c r="J468" s="736"/>
      <c r="K468" s="736"/>
      <c r="L468" s="736"/>
      <c r="M468" s="736"/>
      <c r="N468" s="736"/>
      <c r="O468" s="736"/>
      <c r="P468" s="736"/>
      <c r="Q468" s="736"/>
      <c r="R468" s="736"/>
      <c r="S468" s="736"/>
      <c r="T468" s="736"/>
      <c r="U468" s="736"/>
    </row>
    <row r="469">
      <c r="A469" s="736"/>
      <c r="B469" s="736"/>
      <c r="C469" s="747"/>
      <c r="D469" s="746"/>
      <c r="E469" s="747"/>
      <c r="F469" s="746"/>
      <c r="G469" s="746"/>
      <c r="H469" s="736"/>
      <c r="I469" s="736"/>
      <c r="J469" s="736"/>
      <c r="K469" s="736"/>
      <c r="L469" s="736"/>
      <c r="M469" s="736"/>
      <c r="N469" s="736"/>
      <c r="O469" s="736"/>
      <c r="P469" s="736"/>
      <c r="Q469" s="736"/>
      <c r="R469" s="736"/>
      <c r="S469" s="736"/>
      <c r="T469" s="736"/>
      <c r="U469" s="736"/>
    </row>
    <row r="470">
      <c r="A470" s="736"/>
      <c r="B470" s="736"/>
      <c r="C470" s="747"/>
      <c r="D470" s="746"/>
      <c r="E470" s="747"/>
      <c r="F470" s="746"/>
      <c r="G470" s="746"/>
      <c r="H470" s="736"/>
      <c r="I470" s="736"/>
      <c r="J470" s="736"/>
      <c r="K470" s="736"/>
      <c r="L470" s="736"/>
      <c r="M470" s="736"/>
      <c r="N470" s="736"/>
      <c r="O470" s="736"/>
      <c r="P470" s="736"/>
      <c r="Q470" s="736"/>
      <c r="R470" s="736"/>
      <c r="S470" s="736"/>
      <c r="T470" s="736"/>
      <c r="U470" s="736"/>
    </row>
    <row r="471">
      <c r="A471" s="736"/>
      <c r="B471" s="736"/>
      <c r="C471" s="747"/>
      <c r="D471" s="746"/>
      <c r="E471" s="747"/>
      <c r="F471" s="746"/>
      <c r="G471" s="746"/>
      <c r="H471" s="736"/>
      <c r="I471" s="736"/>
      <c r="J471" s="736"/>
      <c r="K471" s="736"/>
      <c r="L471" s="736"/>
      <c r="M471" s="736"/>
      <c r="N471" s="736"/>
      <c r="O471" s="736"/>
      <c r="P471" s="736"/>
      <c r="Q471" s="736"/>
      <c r="R471" s="736"/>
      <c r="S471" s="736"/>
      <c r="T471" s="736"/>
      <c r="U471" s="736"/>
    </row>
    <row r="472">
      <c r="A472" s="736"/>
      <c r="B472" s="736"/>
      <c r="C472" s="747"/>
      <c r="D472" s="746"/>
      <c r="E472" s="747"/>
      <c r="F472" s="746"/>
      <c r="G472" s="746"/>
      <c r="H472" s="736"/>
      <c r="I472" s="736"/>
      <c r="J472" s="736"/>
      <c r="K472" s="736"/>
      <c r="L472" s="736"/>
      <c r="M472" s="736"/>
      <c r="N472" s="736"/>
      <c r="O472" s="736"/>
      <c r="P472" s="736"/>
      <c r="Q472" s="736"/>
      <c r="R472" s="736"/>
      <c r="S472" s="736"/>
      <c r="T472" s="736"/>
      <c r="U472" s="736"/>
    </row>
    <row r="473">
      <c r="A473" s="736"/>
      <c r="B473" s="736"/>
      <c r="C473" s="747"/>
      <c r="D473" s="746"/>
      <c r="E473" s="747"/>
      <c r="F473" s="746"/>
      <c r="G473" s="746"/>
      <c r="H473" s="736"/>
      <c r="I473" s="736"/>
      <c r="J473" s="736"/>
      <c r="K473" s="736"/>
      <c r="L473" s="736"/>
      <c r="M473" s="736"/>
      <c r="N473" s="736"/>
      <c r="O473" s="736"/>
      <c r="P473" s="736"/>
      <c r="Q473" s="736"/>
      <c r="R473" s="736"/>
      <c r="S473" s="736"/>
      <c r="T473" s="736"/>
      <c r="U473" s="736"/>
    </row>
    <row r="474">
      <c r="A474" s="736"/>
      <c r="B474" s="736"/>
      <c r="C474" s="747"/>
      <c r="D474" s="746"/>
      <c r="E474" s="747"/>
      <c r="F474" s="746"/>
      <c r="G474" s="746"/>
      <c r="H474" s="736"/>
      <c r="I474" s="736"/>
      <c r="J474" s="736"/>
      <c r="K474" s="736"/>
      <c r="L474" s="736"/>
      <c r="M474" s="736"/>
      <c r="N474" s="736"/>
      <c r="O474" s="736"/>
      <c r="P474" s="736"/>
      <c r="Q474" s="736"/>
      <c r="R474" s="736"/>
      <c r="S474" s="736"/>
      <c r="T474" s="736"/>
      <c r="U474" s="736"/>
    </row>
    <row r="475">
      <c r="A475" s="736"/>
      <c r="B475" s="736"/>
      <c r="C475" s="747"/>
      <c r="D475" s="746"/>
      <c r="E475" s="747"/>
      <c r="F475" s="746"/>
      <c r="G475" s="746"/>
      <c r="H475" s="736"/>
      <c r="I475" s="736"/>
      <c r="J475" s="736"/>
      <c r="K475" s="736"/>
      <c r="L475" s="736"/>
      <c r="M475" s="736"/>
      <c r="N475" s="736"/>
      <c r="O475" s="736"/>
      <c r="P475" s="736"/>
      <c r="Q475" s="736"/>
      <c r="R475" s="736"/>
      <c r="S475" s="736"/>
      <c r="T475" s="736"/>
      <c r="U475" s="736"/>
    </row>
    <row r="476">
      <c r="A476" s="736"/>
      <c r="B476" s="736"/>
      <c r="C476" s="747"/>
      <c r="D476" s="746"/>
      <c r="E476" s="747"/>
      <c r="F476" s="746"/>
      <c r="G476" s="746"/>
      <c r="H476" s="736"/>
      <c r="I476" s="736"/>
      <c r="J476" s="736"/>
      <c r="K476" s="736"/>
      <c r="L476" s="736"/>
      <c r="M476" s="736"/>
      <c r="N476" s="736"/>
      <c r="O476" s="736"/>
      <c r="P476" s="736"/>
      <c r="Q476" s="736"/>
      <c r="R476" s="736"/>
      <c r="S476" s="736"/>
      <c r="T476" s="736"/>
      <c r="U476" s="736"/>
    </row>
    <row r="477">
      <c r="A477" s="736"/>
      <c r="B477" s="736"/>
      <c r="C477" s="747"/>
      <c r="D477" s="746"/>
      <c r="E477" s="747"/>
      <c r="F477" s="746"/>
      <c r="G477" s="746"/>
      <c r="H477" s="736"/>
      <c r="I477" s="736"/>
      <c r="J477" s="736"/>
      <c r="K477" s="736"/>
      <c r="L477" s="736"/>
      <c r="M477" s="736"/>
      <c r="N477" s="736"/>
      <c r="O477" s="736"/>
      <c r="P477" s="736"/>
      <c r="Q477" s="736"/>
      <c r="R477" s="736"/>
      <c r="S477" s="736"/>
      <c r="T477" s="736"/>
      <c r="U477" s="736"/>
    </row>
    <row r="478">
      <c r="A478" s="736"/>
      <c r="B478" s="736"/>
      <c r="C478" s="747"/>
      <c r="D478" s="746"/>
      <c r="E478" s="747"/>
      <c r="F478" s="746"/>
      <c r="G478" s="746"/>
      <c r="H478" s="736"/>
      <c r="I478" s="736"/>
      <c r="J478" s="736"/>
      <c r="K478" s="736"/>
      <c r="L478" s="736"/>
      <c r="M478" s="736"/>
      <c r="N478" s="736"/>
      <c r="O478" s="736"/>
      <c r="P478" s="736"/>
      <c r="Q478" s="736"/>
      <c r="R478" s="736"/>
      <c r="S478" s="736"/>
      <c r="T478" s="736"/>
      <c r="U478" s="736"/>
    </row>
    <row r="479">
      <c r="A479" s="736"/>
      <c r="B479" s="736"/>
      <c r="C479" s="747"/>
      <c r="D479" s="746"/>
      <c r="E479" s="747"/>
      <c r="F479" s="746"/>
      <c r="G479" s="746"/>
      <c r="H479" s="736"/>
      <c r="I479" s="736"/>
      <c r="J479" s="736"/>
      <c r="K479" s="736"/>
      <c r="L479" s="736"/>
      <c r="M479" s="736"/>
      <c r="N479" s="736"/>
      <c r="O479" s="736"/>
      <c r="P479" s="736"/>
      <c r="Q479" s="736"/>
      <c r="R479" s="736"/>
      <c r="S479" s="736"/>
      <c r="T479" s="736"/>
      <c r="U479" s="736"/>
    </row>
    <row r="480">
      <c r="A480" s="736"/>
      <c r="B480" s="736"/>
      <c r="C480" s="747"/>
      <c r="D480" s="746"/>
      <c r="E480" s="747"/>
      <c r="F480" s="746"/>
      <c r="G480" s="746"/>
      <c r="H480" s="736"/>
      <c r="I480" s="736"/>
      <c r="J480" s="736"/>
      <c r="K480" s="736"/>
      <c r="L480" s="736"/>
      <c r="M480" s="736"/>
      <c r="N480" s="736"/>
      <c r="O480" s="736"/>
      <c r="P480" s="736"/>
      <c r="Q480" s="736"/>
      <c r="R480" s="736"/>
      <c r="S480" s="736"/>
      <c r="T480" s="736"/>
      <c r="U480" s="736"/>
    </row>
    <row r="481">
      <c r="A481" s="736"/>
      <c r="B481" s="736"/>
      <c r="C481" s="747"/>
      <c r="D481" s="746"/>
      <c r="E481" s="747"/>
      <c r="F481" s="746"/>
      <c r="G481" s="746"/>
      <c r="H481" s="736"/>
      <c r="I481" s="736"/>
      <c r="J481" s="736"/>
      <c r="K481" s="736"/>
      <c r="L481" s="736"/>
      <c r="M481" s="736"/>
      <c r="N481" s="736"/>
      <c r="O481" s="736"/>
      <c r="P481" s="736"/>
      <c r="Q481" s="736"/>
      <c r="R481" s="736"/>
      <c r="S481" s="736"/>
      <c r="T481" s="736"/>
      <c r="U481" s="736"/>
    </row>
    <row r="482">
      <c r="A482" s="736"/>
      <c r="B482" s="736"/>
      <c r="C482" s="747"/>
      <c r="D482" s="746"/>
      <c r="E482" s="747"/>
      <c r="F482" s="746"/>
      <c r="G482" s="746"/>
      <c r="H482" s="736"/>
      <c r="I482" s="736"/>
      <c r="J482" s="736"/>
      <c r="K482" s="736"/>
      <c r="L482" s="736"/>
      <c r="M482" s="736"/>
      <c r="N482" s="736"/>
      <c r="O482" s="736"/>
      <c r="P482" s="736"/>
      <c r="Q482" s="736"/>
      <c r="R482" s="736"/>
      <c r="S482" s="736"/>
      <c r="T482" s="736"/>
      <c r="U482" s="736"/>
    </row>
    <row r="483">
      <c r="A483" s="736"/>
      <c r="B483" s="736"/>
      <c r="C483" s="747"/>
      <c r="D483" s="746"/>
      <c r="E483" s="747"/>
      <c r="F483" s="746"/>
      <c r="G483" s="746"/>
      <c r="H483" s="736"/>
      <c r="I483" s="736"/>
      <c r="J483" s="736"/>
      <c r="K483" s="736"/>
      <c r="L483" s="736"/>
      <c r="M483" s="736"/>
      <c r="N483" s="736"/>
      <c r="O483" s="736"/>
      <c r="P483" s="736"/>
      <c r="Q483" s="736"/>
      <c r="R483" s="736"/>
      <c r="S483" s="736"/>
      <c r="T483" s="736"/>
      <c r="U483" s="736"/>
    </row>
    <row r="484">
      <c r="A484" s="736"/>
      <c r="B484" s="736"/>
      <c r="C484" s="747"/>
      <c r="D484" s="746"/>
      <c r="E484" s="747"/>
      <c r="F484" s="746"/>
      <c r="G484" s="746"/>
      <c r="H484" s="736"/>
      <c r="I484" s="736"/>
      <c r="J484" s="736"/>
      <c r="K484" s="736"/>
      <c r="L484" s="736"/>
      <c r="M484" s="736"/>
      <c r="N484" s="736"/>
      <c r="O484" s="736"/>
      <c r="P484" s="736"/>
      <c r="Q484" s="736"/>
      <c r="R484" s="736"/>
      <c r="S484" s="736"/>
      <c r="T484" s="736"/>
      <c r="U484" s="736"/>
    </row>
    <row r="485">
      <c r="A485" s="736"/>
      <c r="B485" s="736"/>
      <c r="C485" s="747"/>
      <c r="D485" s="746"/>
      <c r="E485" s="747"/>
      <c r="F485" s="746"/>
      <c r="G485" s="746"/>
      <c r="H485" s="736"/>
      <c r="I485" s="736"/>
      <c r="J485" s="736"/>
      <c r="K485" s="736"/>
      <c r="L485" s="736"/>
      <c r="M485" s="736"/>
      <c r="N485" s="736"/>
      <c r="O485" s="736"/>
      <c r="P485" s="736"/>
      <c r="Q485" s="736"/>
      <c r="R485" s="736"/>
      <c r="S485" s="736"/>
      <c r="T485" s="736"/>
      <c r="U485" s="736"/>
    </row>
    <row r="486">
      <c r="A486" s="736"/>
      <c r="B486" s="736"/>
      <c r="C486" s="747"/>
      <c r="D486" s="746"/>
      <c r="E486" s="747"/>
      <c r="F486" s="746"/>
      <c r="G486" s="746"/>
      <c r="H486" s="736"/>
      <c r="I486" s="736"/>
      <c r="J486" s="736"/>
      <c r="K486" s="736"/>
      <c r="L486" s="736"/>
      <c r="M486" s="736"/>
      <c r="N486" s="736"/>
      <c r="O486" s="736"/>
      <c r="P486" s="736"/>
      <c r="Q486" s="736"/>
      <c r="R486" s="736"/>
      <c r="S486" s="736"/>
      <c r="T486" s="736"/>
      <c r="U486" s="736"/>
    </row>
    <row r="487">
      <c r="A487" s="736"/>
      <c r="B487" s="736"/>
      <c r="C487" s="747"/>
      <c r="D487" s="746"/>
      <c r="E487" s="747"/>
      <c r="F487" s="746"/>
      <c r="G487" s="746"/>
      <c r="H487" s="736"/>
      <c r="I487" s="736"/>
      <c r="J487" s="736"/>
      <c r="K487" s="736"/>
      <c r="L487" s="736"/>
      <c r="M487" s="736"/>
      <c r="N487" s="736"/>
      <c r="O487" s="736"/>
      <c r="P487" s="736"/>
      <c r="Q487" s="736"/>
      <c r="R487" s="736"/>
      <c r="S487" s="736"/>
      <c r="T487" s="736"/>
      <c r="U487" s="736"/>
    </row>
    <row r="488">
      <c r="A488" s="736"/>
      <c r="B488" s="736"/>
      <c r="C488" s="747"/>
      <c r="D488" s="746"/>
      <c r="E488" s="747"/>
      <c r="F488" s="746"/>
      <c r="G488" s="746"/>
      <c r="H488" s="736"/>
      <c r="I488" s="736"/>
      <c r="J488" s="736"/>
      <c r="K488" s="736"/>
      <c r="L488" s="736"/>
      <c r="M488" s="736"/>
      <c r="N488" s="736"/>
      <c r="O488" s="736"/>
      <c r="P488" s="736"/>
      <c r="Q488" s="736"/>
      <c r="R488" s="736"/>
      <c r="S488" s="736"/>
      <c r="T488" s="736"/>
      <c r="U488" s="736"/>
    </row>
    <row r="489">
      <c r="A489" s="736"/>
      <c r="B489" s="736"/>
      <c r="C489" s="747"/>
      <c r="D489" s="746"/>
      <c r="E489" s="747"/>
      <c r="F489" s="746"/>
      <c r="G489" s="746"/>
      <c r="H489" s="736"/>
      <c r="I489" s="736"/>
      <c r="J489" s="736"/>
      <c r="K489" s="736"/>
      <c r="L489" s="736"/>
      <c r="M489" s="736"/>
      <c r="N489" s="736"/>
      <c r="O489" s="736"/>
      <c r="P489" s="736"/>
      <c r="Q489" s="736"/>
      <c r="R489" s="736"/>
      <c r="S489" s="736"/>
      <c r="T489" s="736"/>
      <c r="U489" s="736"/>
    </row>
    <row r="490">
      <c r="A490" s="736"/>
      <c r="B490" s="736"/>
      <c r="C490" s="747"/>
      <c r="D490" s="746"/>
      <c r="E490" s="747"/>
      <c r="F490" s="746"/>
      <c r="G490" s="746"/>
      <c r="H490" s="736"/>
      <c r="I490" s="736"/>
      <c r="J490" s="736"/>
      <c r="K490" s="736"/>
      <c r="L490" s="736"/>
      <c r="M490" s="736"/>
      <c r="N490" s="736"/>
      <c r="O490" s="736"/>
      <c r="P490" s="736"/>
      <c r="Q490" s="736"/>
      <c r="R490" s="736"/>
      <c r="S490" s="736"/>
      <c r="T490" s="736"/>
      <c r="U490" s="736"/>
    </row>
    <row r="491">
      <c r="A491" s="736"/>
      <c r="B491" s="736"/>
      <c r="C491" s="747"/>
      <c r="D491" s="746"/>
      <c r="E491" s="747"/>
      <c r="F491" s="746"/>
      <c r="G491" s="746"/>
      <c r="H491" s="736"/>
      <c r="I491" s="736"/>
      <c r="J491" s="736"/>
      <c r="K491" s="736"/>
      <c r="L491" s="736"/>
      <c r="M491" s="736"/>
      <c r="N491" s="736"/>
      <c r="O491" s="736"/>
      <c r="P491" s="736"/>
      <c r="Q491" s="736"/>
      <c r="R491" s="736"/>
      <c r="S491" s="736"/>
      <c r="T491" s="736"/>
      <c r="U491" s="736"/>
    </row>
    <row r="492">
      <c r="A492" s="736"/>
      <c r="B492" s="736"/>
      <c r="C492" s="747"/>
      <c r="D492" s="746"/>
      <c r="E492" s="747"/>
      <c r="F492" s="746"/>
      <c r="G492" s="746"/>
      <c r="H492" s="736"/>
      <c r="I492" s="736"/>
      <c r="J492" s="736"/>
      <c r="K492" s="736"/>
      <c r="L492" s="736"/>
      <c r="M492" s="736"/>
      <c r="N492" s="736"/>
      <c r="O492" s="736"/>
      <c r="P492" s="736"/>
      <c r="Q492" s="736"/>
      <c r="R492" s="736"/>
      <c r="S492" s="736"/>
      <c r="T492" s="736"/>
      <c r="U492" s="736"/>
    </row>
    <row r="493">
      <c r="A493" s="736"/>
      <c r="B493" s="736"/>
      <c r="C493" s="747"/>
      <c r="D493" s="746"/>
      <c r="E493" s="747"/>
      <c r="F493" s="746"/>
      <c r="G493" s="746"/>
      <c r="H493" s="736"/>
      <c r="I493" s="736"/>
      <c r="J493" s="736"/>
      <c r="K493" s="736"/>
      <c r="L493" s="736"/>
      <c r="M493" s="736"/>
      <c r="N493" s="736"/>
      <c r="O493" s="736"/>
      <c r="P493" s="736"/>
      <c r="Q493" s="736"/>
      <c r="R493" s="736"/>
      <c r="S493" s="736"/>
      <c r="T493" s="736"/>
      <c r="U493" s="736"/>
    </row>
    <row r="494">
      <c r="A494" s="736"/>
      <c r="B494" s="736"/>
      <c r="C494" s="747"/>
      <c r="D494" s="746"/>
      <c r="E494" s="747"/>
      <c r="F494" s="746"/>
      <c r="G494" s="746"/>
      <c r="H494" s="736"/>
      <c r="I494" s="736"/>
      <c r="J494" s="736"/>
      <c r="K494" s="736"/>
      <c r="L494" s="736"/>
      <c r="M494" s="736"/>
      <c r="N494" s="736"/>
      <c r="O494" s="736"/>
      <c r="P494" s="736"/>
      <c r="Q494" s="736"/>
      <c r="R494" s="736"/>
      <c r="S494" s="736"/>
      <c r="T494" s="736"/>
      <c r="U494" s="736"/>
    </row>
    <row r="495">
      <c r="A495" s="736"/>
      <c r="B495" s="736"/>
      <c r="C495" s="747"/>
      <c r="D495" s="746"/>
      <c r="E495" s="747"/>
      <c r="F495" s="746"/>
      <c r="G495" s="746"/>
      <c r="H495" s="736"/>
      <c r="I495" s="736"/>
      <c r="J495" s="736"/>
      <c r="K495" s="736"/>
      <c r="L495" s="736"/>
      <c r="M495" s="736"/>
      <c r="N495" s="736"/>
      <c r="O495" s="736"/>
      <c r="P495" s="736"/>
      <c r="Q495" s="736"/>
      <c r="R495" s="736"/>
      <c r="S495" s="736"/>
      <c r="T495" s="736"/>
      <c r="U495" s="736"/>
    </row>
    <row r="496">
      <c r="A496" s="736"/>
      <c r="B496" s="736"/>
      <c r="C496" s="747"/>
      <c r="D496" s="746"/>
      <c r="E496" s="747"/>
      <c r="F496" s="746"/>
      <c r="G496" s="746"/>
      <c r="H496" s="736"/>
      <c r="I496" s="736"/>
      <c r="J496" s="736"/>
      <c r="K496" s="736"/>
      <c r="L496" s="736"/>
      <c r="M496" s="736"/>
      <c r="N496" s="736"/>
      <c r="O496" s="736"/>
      <c r="P496" s="736"/>
      <c r="Q496" s="736"/>
      <c r="R496" s="736"/>
      <c r="S496" s="736"/>
      <c r="T496" s="736"/>
      <c r="U496" s="736"/>
    </row>
    <row r="497">
      <c r="A497" s="736"/>
      <c r="B497" s="736"/>
      <c r="C497" s="747"/>
      <c r="D497" s="746"/>
      <c r="E497" s="747"/>
      <c r="F497" s="746"/>
      <c r="G497" s="746"/>
      <c r="H497" s="736"/>
      <c r="I497" s="736"/>
      <c r="J497" s="736"/>
      <c r="K497" s="736"/>
      <c r="L497" s="736"/>
      <c r="M497" s="736"/>
      <c r="N497" s="736"/>
      <c r="O497" s="736"/>
      <c r="P497" s="736"/>
      <c r="Q497" s="736"/>
      <c r="R497" s="736"/>
      <c r="S497" s="736"/>
      <c r="T497" s="736"/>
      <c r="U497" s="736"/>
    </row>
    <row r="498">
      <c r="A498" s="736"/>
      <c r="B498" s="736"/>
      <c r="C498" s="747"/>
      <c r="D498" s="746"/>
      <c r="E498" s="747"/>
      <c r="F498" s="746"/>
      <c r="G498" s="746"/>
      <c r="H498" s="736"/>
      <c r="I498" s="736"/>
      <c r="J498" s="736"/>
      <c r="K498" s="736"/>
      <c r="L498" s="736"/>
      <c r="M498" s="736"/>
      <c r="N498" s="736"/>
      <c r="O498" s="736"/>
      <c r="P498" s="736"/>
      <c r="Q498" s="736"/>
      <c r="R498" s="736"/>
      <c r="S498" s="736"/>
      <c r="T498" s="736"/>
      <c r="U498" s="736"/>
    </row>
    <row r="499">
      <c r="A499" s="736"/>
      <c r="B499" s="736"/>
      <c r="C499" s="747"/>
      <c r="D499" s="746"/>
      <c r="E499" s="747"/>
      <c r="F499" s="746"/>
      <c r="G499" s="746"/>
      <c r="H499" s="736"/>
      <c r="I499" s="736"/>
      <c r="J499" s="736"/>
      <c r="K499" s="736"/>
      <c r="L499" s="736"/>
      <c r="M499" s="736"/>
      <c r="N499" s="736"/>
      <c r="O499" s="736"/>
      <c r="P499" s="736"/>
      <c r="Q499" s="736"/>
      <c r="R499" s="736"/>
      <c r="S499" s="736"/>
      <c r="T499" s="736"/>
      <c r="U499" s="736"/>
    </row>
    <row r="500">
      <c r="A500" s="736"/>
      <c r="B500" s="736"/>
      <c r="C500" s="747"/>
      <c r="D500" s="746"/>
      <c r="E500" s="747"/>
      <c r="F500" s="746"/>
      <c r="G500" s="746"/>
      <c r="H500" s="736"/>
      <c r="I500" s="736"/>
      <c r="J500" s="736"/>
      <c r="K500" s="736"/>
      <c r="L500" s="736"/>
      <c r="M500" s="736"/>
      <c r="N500" s="736"/>
      <c r="O500" s="736"/>
      <c r="P500" s="736"/>
      <c r="Q500" s="736"/>
      <c r="R500" s="736"/>
      <c r="S500" s="736"/>
      <c r="T500" s="736"/>
      <c r="U500" s="736"/>
    </row>
    <row r="501">
      <c r="A501" s="736"/>
      <c r="B501" s="736"/>
      <c r="C501" s="747"/>
      <c r="D501" s="746"/>
      <c r="E501" s="747"/>
      <c r="F501" s="746"/>
      <c r="G501" s="746"/>
      <c r="H501" s="736"/>
      <c r="I501" s="736"/>
      <c r="J501" s="736"/>
      <c r="K501" s="736"/>
      <c r="L501" s="736"/>
      <c r="M501" s="736"/>
      <c r="N501" s="736"/>
      <c r="O501" s="736"/>
      <c r="P501" s="736"/>
      <c r="Q501" s="736"/>
      <c r="R501" s="736"/>
      <c r="S501" s="736"/>
      <c r="T501" s="736"/>
      <c r="U501" s="736"/>
    </row>
    <row r="502">
      <c r="A502" s="736"/>
      <c r="B502" s="736"/>
      <c r="C502" s="747"/>
      <c r="D502" s="746"/>
      <c r="E502" s="747"/>
      <c r="F502" s="746"/>
      <c r="G502" s="746"/>
      <c r="H502" s="736"/>
      <c r="I502" s="736"/>
      <c r="J502" s="736"/>
      <c r="K502" s="736"/>
      <c r="L502" s="736"/>
      <c r="M502" s="736"/>
      <c r="N502" s="736"/>
      <c r="O502" s="736"/>
      <c r="P502" s="736"/>
      <c r="Q502" s="736"/>
      <c r="R502" s="736"/>
      <c r="S502" s="736"/>
      <c r="T502" s="736"/>
      <c r="U502" s="736"/>
    </row>
    <row r="503">
      <c r="A503" s="736"/>
      <c r="B503" s="736"/>
      <c r="C503" s="747"/>
      <c r="D503" s="746"/>
      <c r="E503" s="747"/>
      <c r="F503" s="746"/>
      <c r="G503" s="746"/>
      <c r="H503" s="736"/>
      <c r="I503" s="736"/>
      <c r="J503" s="736"/>
      <c r="K503" s="736"/>
      <c r="L503" s="736"/>
      <c r="M503" s="736"/>
      <c r="N503" s="736"/>
      <c r="O503" s="736"/>
      <c r="P503" s="736"/>
      <c r="Q503" s="736"/>
      <c r="R503" s="736"/>
      <c r="S503" s="736"/>
      <c r="T503" s="736"/>
      <c r="U503" s="736"/>
    </row>
    <row r="504">
      <c r="A504" s="736"/>
      <c r="B504" s="736"/>
      <c r="C504" s="747"/>
      <c r="D504" s="746"/>
      <c r="E504" s="747"/>
      <c r="F504" s="746"/>
      <c r="G504" s="746"/>
      <c r="H504" s="736"/>
      <c r="I504" s="736"/>
      <c r="J504" s="736"/>
      <c r="K504" s="736"/>
      <c r="L504" s="736"/>
      <c r="M504" s="736"/>
      <c r="N504" s="736"/>
      <c r="O504" s="736"/>
      <c r="P504" s="736"/>
      <c r="Q504" s="736"/>
      <c r="R504" s="736"/>
      <c r="S504" s="736"/>
      <c r="T504" s="736"/>
      <c r="U504" s="736"/>
    </row>
    <row r="505">
      <c r="A505" s="736"/>
      <c r="B505" s="736"/>
      <c r="C505" s="747"/>
      <c r="D505" s="746"/>
      <c r="E505" s="747"/>
      <c r="F505" s="746"/>
      <c r="G505" s="746"/>
      <c r="H505" s="736"/>
      <c r="I505" s="736"/>
      <c r="J505" s="736"/>
      <c r="K505" s="736"/>
      <c r="L505" s="736"/>
      <c r="M505" s="736"/>
      <c r="N505" s="736"/>
      <c r="O505" s="736"/>
      <c r="P505" s="736"/>
      <c r="Q505" s="736"/>
      <c r="R505" s="736"/>
      <c r="S505" s="736"/>
      <c r="T505" s="736"/>
      <c r="U505" s="736"/>
    </row>
    <row r="506">
      <c r="A506" s="736"/>
      <c r="B506" s="736"/>
      <c r="C506" s="747"/>
      <c r="D506" s="746"/>
      <c r="E506" s="747"/>
      <c r="F506" s="746"/>
      <c r="G506" s="746"/>
      <c r="H506" s="736"/>
      <c r="I506" s="736"/>
      <c r="J506" s="736"/>
      <c r="K506" s="736"/>
      <c r="L506" s="736"/>
      <c r="M506" s="736"/>
      <c r="N506" s="736"/>
      <c r="O506" s="736"/>
      <c r="P506" s="736"/>
      <c r="Q506" s="736"/>
      <c r="R506" s="736"/>
      <c r="S506" s="736"/>
      <c r="T506" s="736"/>
      <c r="U506" s="736"/>
    </row>
    <row r="507">
      <c r="A507" s="736"/>
      <c r="B507" s="736"/>
      <c r="C507" s="747"/>
      <c r="D507" s="746"/>
      <c r="E507" s="747"/>
      <c r="F507" s="746"/>
      <c r="G507" s="746"/>
      <c r="H507" s="736"/>
      <c r="I507" s="736"/>
      <c r="J507" s="736"/>
      <c r="K507" s="736"/>
      <c r="L507" s="736"/>
      <c r="M507" s="736"/>
      <c r="N507" s="736"/>
      <c r="O507" s="736"/>
      <c r="P507" s="736"/>
      <c r="Q507" s="736"/>
      <c r="R507" s="736"/>
      <c r="S507" s="736"/>
      <c r="T507" s="736"/>
      <c r="U507" s="736"/>
    </row>
    <row r="508">
      <c r="A508" s="736"/>
      <c r="B508" s="736"/>
      <c r="C508" s="747"/>
      <c r="D508" s="746"/>
      <c r="E508" s="747"/>
      <c r="F508" s="746"/>
      <c r="G508" s="746"/>
      <c r="H508" s="736"/>
      <c r="I508" s="736"/>
      <c r="J508" s="736"/>
      <c r="K508" s="736"/>
      <c r="L508" s="736"/>
      <c r="M508" s="736"/>
      <c r="N508" s="736"/>
      <c r="O508" s="736"/>
      <c r="P508" s="736"/>
      <c r="Q508" s="736"/>
      <c r="R508" s="736"/>
      <c r="S508" s="736"/>
      <c r="T508" s="736"/>
      <c r="U508" s="736"/>
    </row>
    <row r="509">
      <c r="A509" s="736"/>
      <c r="B509" s="736"/>
      <c r="C509" s="747"/>
      <c r="D509" s="746"/>
      <c r="E509" s="747"/>
      <c r="F509" s="746"/>
      <c r="G509" s="746"/>
      <c r="H509" s="736"/>
      <c r="I509" s="736"/>
      <c r="J509" s="736"/>
      <c r="K509" s="736"/>
      <c r="L509" s="736"/>
      <c r="M509" s="736"/>
      <c r="N509" s="736"/>
      <c r="O509" s="736"/>
      <c r="P509" s="736"/>
      <c r="Q509" s="736"/>
      <c r="R509" s="736"/>
      <c r="S509" s="736"/>
      <c r="T509" s="736"/>
      <c r="U509" s="736"/>
    </row>
    <row r="510">
      <c r="A510" s="736"/>
      <c r="B510" s="736"/>
      <c r="C510" s="747"/>
      <c r="D510" s="746"/>
      <c r="E510" s="747"/>
      <c r="F510" s="746"/>
      <c r="G510" s="746"/>
      <c r="H510" s="736"/>
      <c r="I510" s="736"/>
      <c r="J510" s="736"/>
      <c r="K510" s="736"/>
      <c r="L510" s="736"/>
      <c r="M510" s="736"/>
      <c r="N510" s="736"/>
      <c r="O510" s="736"/>
      <c r="P510" s="736"/>
      <c r="Q510" s="736"/>
      <c r="R510" s="736"/>
      <c r="S510" s="736"/>
      <c r="T510" s="736"/>
      <c r="U510" s="736"/>
    </row>
    <row r="511">
      <c r="A511" s="736"/>
      <c r="B511" s="736"/>
      <c r="C511" s="747"/>
      <c r="D511" s="746"/>
      <c r="E511" s="747"/>
      <c r="F511" s="746"/>
      <c r="G511" s="746"/>
      <c r="H511" s="736"/>
      <c r="I511" s="736"/>
      <c r="J511" s="736"/>
      <c r="K511" s="736"/>
      <c r="L511" s="736"/>
      <c r="M511" s="736"/>
      <c r="N511" s="736"/>
      <c r="O511" s="736"/>
      <c r="P511" s="736"/>
      <c r="Q511" s="736"/>
      <c r="R511" s="736"/>
      <c r="S511" s="736"/>
      <c r="T511" s="736"/>
      <c r="U511" s="736"/>
    </row>
    <row r="512">
      <c r="A512" s="736"/>
      <c r="B512" s="736"/>
      <c r="C512" s="747"/>
      <c r="D512" s="746"/>
      <c r="E512" s="747"/>
      <c r="F512" s="746"/>
      <c r="G512" s="746"/>
      <c r="H512" s="736"/>
      <c r="I512" s="736"/>
      <c r="J512" s="736"/>
      <c r="K512" s="736"/>
      <c r="L512" s="736"/>
      <c r="M512" s="736"/>
      <c r="N512" s="736"/>
      <c r="O512" s="736"/>
      <c r="P512" s="736"/>
      <c r="Q512" s="736"/>
      <c r="R512" s="736"/>
      <c r="S512" s="736"/>
      <c r="T512" s="736"/>
      <c r="U512" s="736"/>
    </row>
    <row r="513">
      <c r="A513" s="736"/>
      <c r="B513" s="736"/>
      <c r="C513" s="747"/>
      <c r="D513" s="746"/>
      <c r="E513" s="747"/>
      <c r="F513" s="746"/>
      <c r="G513" s="746"/>
      <c r="H513" s="736"/>
      <c r="I513" s="736"/>
      <c r="J513" s="736"/>
      <c r="K513" s="736"/>
      <c r="L513" s="736"/>
      <c r="M513" s="736"/>
      <c r="N513" s="736"/>
      <c r="O513" s="736"/>
      <c r="P513" s="736"/>
      <c r="Q513" s="736"/>
      <c r="R513" s="736"/>
      <c r="S513" s="736"/>
      <c r="T513" s="736"/>
      <c r="U513" s="736"/>
    </row>
    <row r="514">
      <c r="A514" s="736"/>
      <c r="B514" s="736"/>
      <c r="C514" s="747"/>
      <c r="D514" s="746"/>
      <c r="E514" s="747"/>
      <c r="F514" s="746"/>
      <c r="G514" s="746"/>
      <c r="H514" s="736"/>
      <c r="I514" s="736"/>
      <c r="J514" s="736"/>
      <c r="K514" s="736"/>
      <c r="L514" s="736"/>
      <c r="M514" s="736"/>
      <c r="N514" s="736"/>
      <c r="O514" s="736"/>
      <c r="P514" s="736"/>
      <c r="Q514" s="736"/>
      <c r="R514" s="736"/>
      <c r="S514" s="736"/>
      <c r="T514" s="736"/>
      <c r="U514" s="736"/>
    </row>
    <row r="515">
      <c r="A515" s="736"/>
      <c r="B515" s="736"/>
      <c r="C515" s="747"/>
      <c r="D515" s="746"/>
      <c r="E515" s="747"/>
      <c r="F515" s="746"/>
      <c r="G515" s="746"/>
      <c r="H515" s="736"/>
      <c r="I515" s="736"/>
      <c r="J515" s="736"/>
      <c r="K515" s="736"/>
      <c r="L515" s="736"/>
      <c r="M515" s="736"/>
      <c r="N515" s="736"/>
      <c r="O515" s="736"/>
      <c r="P515" s="736"/>
      <c r="Q515" s="736"/>
      <c r="R515" s="736"/>
      <c r="S515" s="736"/>
      <c r="T515" s="736"/>
      <c r="U515" s="736"/>
    </row>
    <row r="516">
      <c r="A516" s="736"/>
      <c r="B516" s="736"/>
      <c r="C516" s="747"/>
      <c r="D516" s="746"/>
      <c r="E516" s="747"/>
      <c r="F516" s="746"/>
      <c r="G516" s="746"/>
      <c r="H516" s="736"/>
      <c r="I516" s="736"/>
      <c r="J516" s="736"/>
      <c r="K516" s="736"/>
      <c r="L516" s="736"/>
      <c r="M516" s="736"/>
      <c r="N516" s="736"/>
      <c r="O516" s="736"/>
      <c r="P516" s="736"/>
      <c r="Q516" s="736"/>
      <c r="R516" s="736"/>
      <c r="S516" s="736"/>
      <c r="T516" s="736"/>
      <c r="U516" s="736"/>
    </row>
    <row r="517">
      <c r="A517" s="736"/>
      <c r="B517" s="736"/>
      <c r="C517" s="747"/>
      <c r="D517" s="746"/>
      <c r="E517" s="747"/>
      <c r="F517" s="746"/>
      <c r="G517" s="746"/>
      <c r="H517" s="736"/>
      <c r="I517" s="736"/>
      <c r="J517" s="736"/>
      <c r="K517" s="736"/>
      <c r="L517" s="736"/>
      <c r="M517" s="736"/>
      <c r="N517" s="736"/>
      <c r="O517" s="736"/>
      <c r="P517" s="736"/>
      <c r="Q517" s="736"/>
      <c r="R517" s="736"/>
      <c r="S517" s="736"/>
      <c r="T517" s="736"/>
      <c r="U517" s="736"/>
    </row>
    <row r="518">
      <c r="A518" s="736"/>
      <c r="B518" s="736"/>
      <c r="C518" s="747"/>
      <c r="D518" s="746"/>
      <c r="E518" s="747"/>
      <c r="F518" s="746"/>
      <c r="G518" s="746"/>
      <c r="H518" s="736"/>
      <c r="I518" s="736"/>
      <c r="J518" s="736"/>
      <c r="K518" s="736"/>
      <c r="L518" s="736"/>
      <c r="M518" s="736"/>
      <c r="N518" s="736"/>
      <c r="O518" s="736"/>
      <c r="P518" s="736"/>
      <c r="Q518" s="736"/>
      <c r="R518" s="736"/>
      <c r="S518" s="736"/>
      <c r="T518" s="736"/>
      <c r="U518" s="736"/>
    </row>
    <row r="519">
      <c r="A519" s="736"/>
      <c r="B519" s="736"/>
      <c r="C519" s="747"/>
      <c r="D519" s="746"/>
      <c r="E519" s="747"/>
      <c r="F519" s="746"/>
      <c r="G519" s="746"/>
      <c r="H519" s="736"/>
      <c r="I519" s="736"/>
      <c r="J519" s="736"/>
      <c r="K519" s="736"/>
      <c r="L519" s="736"/>
      <c r="M519" s="736"/>
      <c r="N519" s="736"/>
      <c r="O519" s="736"/>
      <c r="P519" s="736"/>
      <c r="Q519" s="736"/>
      <c r="R519" s="736"/>
      <c r="S519" s="736"/>
      <c r="T519" s="736"/>
      <c r="U519" s="736"/>
    </row>
    <row r="520">
      <c r="A520" s="736"/>
      <c r="B520" s="736"/>
      <c r="C520" s="747"/>
      <c r="D520" s="746"/>
      <c r="E520" s="747"/>
      <c r="F520" s="746"/>
      <c r="G520" s="746"/>
      <c r="H520" s="736"/>
      <c r="I520" s="736"/>
      <c r="J520" s="736"/>
      <c r="K520" s="736"/>
      <c r="L520" s="736"/>
      <c r="M520" s="736"/>
      <c r="N520" s="736"/>
      <c r="O520" s="736"/>
      <c r="P520" s="736"/>
      <c r="Q520" s="736"/>
      <c r="R520" s="736"/>
      <c r="S520" s="736"/>
      <c r="T520" s="736"/>
      <c r="U520" s="736"/>
    </row>
    <row r="521">
      <c r="A521" s="736"/>
      <c r="B521" s="736"/>
      <c r="C521" s="747"/>
      <c r="D521" s="746"/>
      <c r="E521" s="747"/>
      <c r="F521" s="746"/>
      <c r="G521" s="746"/>
      <c r="H521" s="736"/>
      <c r="I521" s="736"/>
      <c r="J521" s="736"/>
      <c r="K521" s="736"/>
      <c r="L521" s="736"/>
      <c r="M521" s="736"/>
      <c r="N521" s="736"/>
      <c r="O521" s="736"/>
      <c r="P521" s="736"/>
      <c r="Q521" s="736"/>
      <c r="R521" s="736"/>
      <c r="S521" s="736"/>
      <c r="T521" s="736"/>
      <c r="U521" s="736"/>
    </row>
    <row r="522">
      <c r="A522" s="736"/>
      <c r="B522" s="736"/>
      <c r="C522" s="747"/>
      <c r="D522" s="746"/>
      <c r="E522" s="747"/>
      <c r="F522" s="746"/>
      <c r="G522" s="746"/>
      <c r="H522" s="736"/>
      <c r="I522" s="736"/>
      <c r="J522" s="736"/>
      <c r="K522" s="736"/>
      <c r="L522" s="736"/>
      <c r="M522" s="736"/>
      <c r="N522" s="736"/>
      <c r="O522" s="736"/>
      <c r="P522" s="736"/>
      <c r="Q522" s="736"/>
      <c r="R522" s="736"/>
      <c r="S522" s="736"/>
      <c r="T522" s="736"/>
      <c r="U522" s="736"/>
    </row>
    <row r="523">
      <c r="A523" s="736"/>
      <c r="B523" s="736"/>
      <c r="C523" s="747"/>
      <c r="D523" s="746"/>
      <c r="E523" s="747"/>
      <c r="F523" s="746"/>
      <c r="G523" s="746"/>
      <c r="H523" s="736"/>
      <c r="I523" s="736"/>
      <c r="J523" s="736"/>
      <c r="K523" s="736"/>
      <c r="L523" s="736"/>
      <c r="M523" s="736"/>
      <c r="N523" s="736"/>
      <c r="O523" s="736"/>
      <c r="P523" s="736"/>
      <c r="Q523" s="736"/>
      <c r="R523" s="736"/>
      <c r="S523" s="736"/>
      <c r="T523" s="736"/>
      <c r="U523" s="736"/>
    </row>
    <row r="524">
      <c r="A524" s="736"/>
      <c r="B524" s="736"/>
      <c r="C524" s="747"/>
      <c r="D524" s="746"/>
      <c r="E524" s="747"/>
      <c r="F524" s="746"/>
      <c r="G524" s="746"/>
      <c r="H524" s="736"/>
      <c r="I524" s="736"/>
      <c r="J524" s="736"/>
      <c r="K524" s="736"/>
      <c r="L524" s="736"/>
      <c r="M524" s="736"/>
      <c r="N524" s="736"/>
      <c r="O524" s="736"/>
      <c r="P524" s="736"/>
      <c r="Q524" s="736"/>
      <c r="R524" s="736"/>
      <c r="S524" s="736"/>
      <c r="T524" s="736"/>
      <c r="U524" s="736"/>
    </row>
    <row r="525">
      <c r="A525" s="736"/>
      <c r="B525" s="736"/>
      <c r="C525" s="747"/>
      <c r="D525" s="746"/>
      <c r="E525" s="747"/>
      <c r="F525" s="746"/>
      <c r="G525" s="746"/>
      <c r="H525" s="736"/>
      <c r="I525" s="736"/>
      <c r="J525" s="736"/>
      <c r="K525" s="736"/>
      <c r="L525" s="736"/>
      <c r="M525" s="736"/>
      <c r="N525" s="736"/>
      <c r="O525" s="736"/>
      <c r="P525" s="736"/>
      <c r="Q525" s="736"/>
      <c r="R525" s="736"/>
      <c r="S525" s="736"/>
      <c r="T525" s="736"/>
      <c r="U525" s="736"/>
    </row>
    <row r="526">
      <c r="A526" s="736"/>
      <c r="B526" s="736"/>
      <c r="C526" s="747"/>
      <c r="D526" s="746"/>
      <c r="E526" s="747"/>
      <c r="F526" s="746"/>
      <c r="G526" s="746"/>
      <c r="H526" s="736"/>
      <c r="I526" s="736"/>
      <c r="J526" s="736"/>
      <c r="K526" s="736"/>
      <c r="L526" s="736"/>
      <c r="M526" s="736"/>
      <c r="N526" s="736"/>
      <c r="O526" s="736"/>
      <c r="P526" s="736"/>
      <c r="Q526" s="736"/>
      <c r="R526" s="736"/>
      <c r="S526" s="736"/>
      <c r="T526" s="736"/>
      <c r="U526" s="736"/>
    </row>
    <row r="527">
      <c r="A527" s="736"/>
      <c r="B527" s="736"/>
      <c r="C527" s="747"/>
      <c r="D527" s="746"/>
      <c r="E527" s="747"/>
      <c r="F527" s="746"/>
      <c r="G527" s="746"/>
      <c r="H527" s="736"/>
      <c r="I527" s="736"/>
      <c r="J527" s="736"/>
      <c r="K527" s="736"/>
      <c r="L527" s="736"/>
      <c r="M527" s="736"/>
      <c r="N527" s="736"/>
      <c r="O527" s="736"/>
      <c r="P527" s="736"/>
      <c r="Q527" s="736"/>
      <c r="R527" s="736"/>
      <c r="S527" s="736"/>
      <c r="T527" s="736"/>
      <c r="U527" s="736"/>
    </row>
    <row r="528">
      <c r="A528" s="736"/>
      <c r="B528" s="736"/>
      <c r="C528" s="747"/>
      <c r="D528" s="746"/>
      <c r="E528" s="747"/>
      <c r="F528" s="746"/>
      <c r="G528" s="746"/>
      <c r="H528" s="736"/>
      <c r="I528" s="736"/>
      <c r="J528" s="736"/>
      <c r="K528" s="736"/>
      <c r="L528" s="736"/>
      <c r="M528" s="736"/>
      <c r="N528" s="736"/>
      <c r="O528" s="736"/>
      <c r="P528" s="736"/>
      <c r="Q528" s="736"/>
      <c r="R528" s="736"/>
      <c r="S528" s="736"/>
      <c r="T528" s="736"/>
      <c r="U528" s="736"/>
    </row>
    <row r="529">
      <c r="A529" s="736"/>
      <c r="B529" s="736"/>
      <c r="C529" s="747"/>
      <c r="D529" s="746"/>
      <c r="E529" s="747"/>
      <c r="F529" s="746"/>
      <c r="G529" s="746"/>
      <c r="H529" s="736"/>
      <c r="I529" s="736"/>
      <c r="J529" s="736"/>
      <c r="K529" s="736"/>
      <c r="L529" s="736"/>
      <c r="M529" s="736"/>
      <c r="N529" s="736"/>
      <c r="O529" s="736"/>
      <c r="P529" s="736"/>
      <c r="Q529" s="736"/>
      <c r="R529" s="736"/>
      <c r="S529" s="736"/>
      <c r="T529" s="736"/>
      <c r="U529" s="736"/>
    </row>
    <row r="530">
      <c r="A530" s="736"/>
      <c r="B530" s="736"/>
      <c r="C530" s="747"/>
      <c r="D530" s="746"/>
      <c r="E530" s="747"/>
      <c r="F530" s="746"/>
      <c r="G530" s="746"/>
      <c r="H530" s="736"/>
      <c r="I530" s="736"/>
      <c r="J530" s="736"/>
      <c r="K530" s="736"/>
      <c r="L530" s="736"/>
      <c r="M530" s="736"/>
      <c r="N530" s="736"/>
      <c r="O530" s="736"/>
      <c r="P530" s="736"/>
      <c r="Q530" s="736"/>
      <c r="R530" s="736"/>
      <c r="S530" s="736"/>
      <c r="T530" s="736"/>
      <c r="U530" s="736"/>
    </row>
    <row r="531">
      <c r="A531" s="736"/>
      <c r="B531" s="736"/>
      <c r="C531" s="747"/>
      <c r="D531" s="746"/>
      <c r="E531" s="747"/>
      <c r="F531" s="746"/>
      <c r="G531" s="746"/>
      <c r="H531" s="736"/>
      <c r="I531" s="736"/>
      <c r="J531" s="736"/>
      <c r="K531" s="736"/>
      <c r="L531" s="736"/>
      <c r="M531" s="736"/>
      <c r="N531" s="736"/>
      <c r="O531" s="736"/>
      <c r="P531" s="736"/>
      <c r="Q531" s="736"/>
      <c r="R531" s="736"/>
      <c r="S531" s="736"/>
      <c r="T531" s="736"/>
      <c r="U531" s="736"/>
    </row>
    <row r="532">
      <c r="A532" s="736"/>
      <c r="B532" s="736"/>
      <c r="C532" s="747"/>
      <c r="D532" s="746"/>
      <c r="E532" s="747"/>
      <c r="F532" s="746"/>
      <c r="G532" s="746"/>
      <c r="H532" s="736"/>
      <c r="I532" s="736"/>
      <c r="J532" s="736"/>
      <c r="K532" s="736"/>
      <c r="L532" s="736"/>
      <c r="M532" s="736"/>
      <c r="N532" s="736"/>
      <c r="O532" s="736"/>
      <c r="P532" s="736"/>
      <c r="Q532" s="736"/>
      <c r="R532" s="736"/>
      <c r="S532" s="736"/>
      <c r="T532" s="736"/>
      <c r="U532" s="736"/>
    </row>
    <row r="533">
      <c r="A533" s="736"/>
      <c r="B533" s="736"/>
      <c r="C533" s="747"/>
      <c r="D533" s="746"/>
      <c r="E533" s="747"/>
      <c r="F533" s="746"/>
      <c r="G533" s="746"/>
      <c r="H533" s="736"/>
      <c r="I533" s="736"/>
      <c r="J533" s="736"/>
      <c r="K533" s="736"/>
      <c r="L533" s="736"/>
      <c r="M533" s="736"/>
      <c r="N533" s="736"/>
      <c r="O533" s="736"/>
      <c r="P533" s="736"/>
      <c r="Q533" s="736"/>
      <c r="R533" s="736"/>
      <c r="S533" s="736"/>
      <c r="T533" s="736"/>
      <c r="U533" s="736"/>
    </row>
    <row r="534">
      <c r="A534" s="736"/>
      <c r="B534" s="736"/>
      <c r="C534" s="747"/>
      <c r="D534" s="746"/>
      <c r="E534" s="747"/>
      <c r="F534" s="746"/>
      <c r="G534" s="746"/>
      <c r="H534" s="736"/>
      <c r="I534" s="736"/>
      <c r="J534" s="736"/>
      <c r="K534" s="736"/>
      <c r="L534" s="736"/>
      <c r="M534" s="736"/>
      <c r="N534" s="736"/>
      <c r="O534" s="736"/>
      <c r="P534" s="736"/>
      <c r="Q534" s="736"/>
      <c r="R534" s="736"/>
      <c r="S534" s="736"/>
      <c r="T534" s="736"/>
      <c r="U534" s="736"/>
    </row>
    <row r="535">
      <c r="A535" s="736"/>
      <c r="B535" s="736"/>
      <c r="C535" s="747"/>
      <c r="D535" s="746"/>
      <c r="E535" s="747"/>
      <c r="F535" s="746"/>
      <c r="G535" s="746"/>
      <c r="H535" s="736"/>
      <c r="I535" s="736"/>
      <c r="J535" s="736"/>
      <c r="K535" s="736"/>
      <c r="L535" s="736"/>
      <c r="M535" s="736"/>
      <c r="N535" s="736"/>
      <c r="O535" s="736"/>
      <c r="P535" s="736"/>
      <c r="Q535" s="736"/>
      <c r="R535" s="736"/>
      <c r="S535" s="736"/>
      <c r="T535" s="736"/>
      <c r="U535" s="736"/>
    </row>
    <row r="536">
      <c r="A536" s="736"/>
      <c r="B536" s="736"/>
      <c r="C536" s="747"/>
      <c r="D536" s="746"/>
      <c r="E536" s="747"/>
      <c r="F536" s="746"/>
      <c r="G536" s="746"/>
      <c r="H536" s="736"/>
      <c r="I536" s="736"/>
      <c r="J536" s="736"/>
      <c r="K536" s="736"/>
      <c r="L536" s="736"/>
      <c r="M536" s="736"/>
      <c r="N536" s="736"/>
      <c r="O536" s="736"/>
      <c r="P536" s="736"/>
      <c r="Q536" s="736"/>
      <c r="R536" s="736"/>
      <c r="S536" s="736"/>
      <c r="T536" s="736"/>
      <c r="U536" s="736"/>
    </row>
    <row r="537">
      <c r="A537" s="736"/>
      <c r="B537" s="736"/>
      <c r="C537" s="747"/>
      <c r="D537" s="746"/>
      <c r="E537" s="747"/>
      <c r="F537" s="746"/>
      <c r="G537" s="746"/>
      <c r="H537" s="736"/>
      <c r="I537" s="736"/>
      <c r="J537" s="736"/>
      <c r="K537" s="736"/>
      <c r="L537" s="736"/>
      <c r="M537" s="736"/>
      <c r="N537" s="736"/>
      <c r="O537" s="736"/>
      <c r="P537" s="736"/>
      <c r="Q537" s="736"/>
      <c r="R537" s="736"/>
      <c r="S537" s="736"/>
      <c r="T537" s="736"/>
      <c r="U537" s="736"/>
    </row>
    <row r="538">
      <c r="A538" s="736"/>
      <c r="B538" s="736"/>
      <c r="C538" s="747"/>
      <c r="D538" s="746"/>
      <c r="E538" s="747"/>
      <c r="F538" s="746"/>
      <c r="G538" s="746"/>
      <c r="H538" s="736"/>
      <c r="I538" s="736"/>
      <c r="J538" s="736"/>
      <c r="K538" s="736"/>
      <c r="L538" s="736"/>
      <c r="M538" s="736"/>
      <c r="N538" s="736"/>
      <c r="O538" s="736"/>
      <c r="P538" s="736"/>
      <c r="Q538" s="736"/>
      <c r="R538" s="736"/>
      <c r="S538" s="736"/>
      <c r="T538" s="736"/>
      <c r="U538" s="736"/>
    </row>
    <row r="539">
      <c r="A539" s="736"/>
      <c r="B539" s="736"/>
      <c r="C539" s="747"/>
      <c r="D539" s="746"/>
      <c r="E539" s="747"/>
      <c r="F539" s="746"/>
      <c r="G539" s="746"/>
      <c r="H539" s="736"/>
      <c r="I539" s="736"/>
      <c r="J539" s="736"/>
      <c r="K539" s="736"/>
      <c r="L539" s="736"/>
      <c r="M539" s="736"/>
      <c r="N539" s="736"/>
      <c r="O539" s="736"/>
      <c r="P539" s="736"/>
      <c r="Q539" s="736"/>
      <c r="R539" s="736"/>
      <c r="S539" s="736"/>
      <c r="T539" s="736"/>
      <c r="U539" s="736"/>
    </row>
    <row r="540">
      <c r="A540" s="736"/>
      <c r="B540" s="736"/>
      <c r="C540" s="747"/>
      <c r="D540" s="746"/>
      <c r="E540" s="747"/>
      <c r="F540" s="746"/>
      <c r="G540" s="746"/>
      <c r="H540" s="736"/>
      <c r="I540" s="736"/>
      <c r="J540" s="736"/>
      <c r="K540" s="736"/>
      <c r="L540" s="736"/>
      <c r="M540" s="736"/>
      <c r="N540" s="736"/>
      <c r="O540" s="736"/>
      <c r="P540" s="736"/>
      <c r="Q540" s="736"/>
      <c r="R540" s="736"/>
      <c r="S540" s="736"/>
      <c r="T540" s="736"/>
      <c r="U540" s="736"/>
    </row>
    <row r="541">
      <c r="A541" s="736"/>
      <c r="B541" s="736"/>
      <c r="C541" s="747"/>
      <c r="D541" s="746"/>
      <c r="E541" s="747"/>
      <c r="F541" s="746"/>
      <c r="G541" s="746"/>
      <c r="H541" s="736"/>
      <c r="I541" s="736"/>
      <c r="J541" s="736"/>
      <c r="K541" s="736"/>
      <c r="L541" s="736"/>
      <c r="M541" s="736"/>
      <c r="N541" s="736"/>
      <c r="O541" s="736"/>
      <c r="P541" s="736"/>
      <c r="Q541" s="736"/>
      <c r="R541" s="736"/>
      <c r="S541" s="736"/>
      <c r="T541" s="736"/>
      <c r="U541" s="736"/>
    </row>
    <row r="542">
      <c r="A542" s="736"/>
      <c r="B542" s="736"/>
      <c r="C542" s="747"/>
      <c r="D542" s="746"/>
      <c r="E542" s="747"/>
      <c r="F542" s="746"/>
      <c r="G542" s="746"/>
      <c r="H542" s="736"/>
      <c r="I542" s="736"/>
      <c r="J542" s="736"/>
      <c r="K542" s="736"/>
      <c r="L542" s="736"/>
      <c r="M542" s="736"/>
      <c r="N542" s="736"/>
      <c r="O542" s="736"/>
      <c r="P542" s="736"/>
      <c r="Q542" s="736"/>
      <c r="R542" s="736"/>
      <c r="S542" s="736"/>
      <c r="T542" s="736"/>
      <c r="U542" s="736"/>
    </row>
    <row r="543">
      <c r="A543" s="736"/>
      <c r="B543" s="736"/>
      <c r="C543" s="747"/>
      <c r="D543" s="746"/>
      <c r="E543" s="747"/>
      <c r="F543" s="746"/>
      <c r="G543" s="746"/>
      <c r="H543" s="736"/>
      <c r="I543" s="736"/>
      <c r="J543" s="736"/>
      <c r="K543" s="736"/>
      <c r="L543" s="736"/>
      <c r="M543" s="736"/>
      <c r="N543" s="736"/>
      <c r="O543" s="736"/>
      <c r="P543" s="736"/>
      <c r="Q543" s="736"/>
      <c r="R543" s="736"/>
      <c r="S543" s="736"/>
      <c r="T543" s="736"/>
      <c r="U543" s="736"/>
    </row>
    <row r="544">
      <c r="A544" s="736"/>
      <c r="B544" s="736"/>
      <c r="C544" s="747"/>
      <c r="D544" s="746"/>
      <c r="E544" s="747"/>
      <c r="F544" s="746"/>
      <c r="G544" s="746"/>
      <c r="H544" s="736"/>
      <c r="I544" s="736"/>
      <c r="J544" s="736"/>
      <c r="K544" s="736"/>
      <c r="L544" s="736"/>
      <c r="M544" s="736"/>
      <c r="N544" s="736"/>
      <c r="O544" s="736"/>
      <c r="P544" s="736"/>
      <c r="Q544" s="736"/>
      <c r="R544" s="736"/>
      <c r="S544" s="736"/>
      <c r="T544" s="736"/>
      <c r="U544" s="736"/>
    </row>
    <row r="545">
      <c r="A545" s="736"/>
      <c r="B545" s="736"/>
      <c r="C545" s="747"/>
      <c r="D545" s="746"/>
      <c r="E545" s="747"/>
      <c r="F545" s="746"/>
      <c r="G545" s="746"/>
      <c r="H545" s="736"/>
      <c r="I545" s="736"/>
      <c r="J545" s="736"/>
      <c r="K545" s="736"/>
      <c r="L545" s="736"/>
      <c r="M545" s="736"/>
      <c r="N545" s="736"/>
      <c r="O545" s="736"/>
      <c r="P545" s="736"/>
      <c r="Q545" s="736"/>
      <c r="R545" s="736"/>
      <c r="S545" s="736"/>
      <c r="T545" s="736"/>
      <c r="U545" s="736"/>
    </row>
    <row r="546">
      <c r="A546" s="736"/>
      <c r="B546" s="736"/>
      <c r="C546" s="747"/>
      <c r="D546" s="746"/>
      <c r="E546" s="747"/>
      <c r="F546" s="746"/>
      <c r="G546" s="746"/>
      <c r="H546" s="736"/>
      <c r="I546" s="736"/>
      <c r="J546" s="736"/>
      <c r="K546" s="736"/>
      <c r="L546" s="736"/>
      <c r="M546" s="736"/>
      <c r="N546" s="736"/>
      <c r="O546" s="736"/>
      <c r="P546" s="736"/>
      <c r="Q546" s="736"/>
      <c r="R546" s="736"/>
      <c r="S546" s="736"/>
      <c r="T546" s="736"/>
      <c r="U546" s="736"/>
    </row>
    <row r="547">
      <c r="A547" s="736"/>
      <c r="B547" s="736"/>
      <c r="C547" s="747"/>
      <c r="D547" s="746"/>
      <c r="E547" s="747"/>
      <c r="F547" s="746"/>
      <c r="G547" s="746"/>
      <c r="H547" s="736"/>
      <c r="I547" s="736"/>
      <c r="J547" s="736"/>
      <c r="K547" s="736"/>
      <c r="L547" s="736"/>
      <c r="M547" s="736"/>
      <c r="N547" s="736"/>
      <c r="O547" s="736"/>
      <c r="P547" s="736"/>
      <c r="Q547" s="736"/>
      <c r="R547" s="736"/>
      <c r="S547" s="736"/>
      <c r="T547" s="736"/>
      <c r="U547" s="736"/>
    </row>
    <row r="548">
      <c r="A548" s="736"/>
      <c r="B548" s="736"/>
      <c r="C548" s="747"/>
      <c r="D548" s="746"/>
      <c r="E548" s="747"/>
      <c r="F548" s="746"/>
      <c r="G548" s="746"/>
      <c r="H548" s="736"/>
      <c r="I548" s="736"/>
      <c r="J548" s="736"/>
      <c r="K548" s="736"/>
      <c r="L548" s="736"/>
      <c r="M548" s="736"/>
      <c r="N548" s="736"/>
      <c r="O548" s="736"/>
      <c r="P548" s="736"/>
      <c r="Q548" s="736"/>
      <c r="R548" s="736"/>
      <c r="S548" s="736"/>
      <c r="T548" s="736"/>
      <c r="U548" s="736"/>
    </row>
    <row r="549">
      <c r="A549" s="736"/>
      <c r="B549" s="736"/>
      <c r="C549" s="747"/>
      <c r="D549" s="746"/>
      <c r="E549" s="747"/>
      <c r="F549" s="746"/>
      <c r="G549" s="746"/>
      <c r="H549" s="736"/>
      <c r="I549" s="736"/>
      <c r="J549" s="736"/>
      <c r="K549" s="736"/>
      <c r="L549" s="736"/>
      <c r="M549" s="736"/>
      <c r="N549" s="736"/>
      <c r="O549" s="736"/>
      <c r="P549" s="736"/>
      <c r="Q549" s="736"/>
      <c r="R549" s="736"/>
      <c r="S549" s="736"/>
      <c r="T549" s="736"/>
      <c r="U549" s="736"/>
    </row>
    <row r="550">
      <c r="A550" s="736"/>
      <c r="B550" s="736"/>
      <c r="C550" s="747"/>
      <c r="D550" s="746"/>
      <c r="E550" s="747"/>
      <c r="F550" s="746"/>
      <c r="G550" s="746"/>
      <c r="H550" s="736"/>
      <c r="I550" s="736"/>
      <c r="J550" s="736"/>
      <c r="K550" s="736"/>
      <c r="L550" s="736"/>
      <c r="M550" s="736"/>
      <c r="N550" s="736"/>
      <c r="O550" s="736"/>
      <c r="P550" s="736"/>
      <c r="Q550" s="736"/>
      <c r="R550" s="736"/>
      <c r="S550" s="736"/>
      <c r="T550" s="736"/>
      <c r="U550" s="736"/>
    </row>
    <row r="551">
      <c r="A551" s="736"/>
      <c r="B551" s="736"/>
      <c r="C551" s="747"/>
      <c r="D551" s="746"/>
      <c r="E551" s="747"/>
      <c r="F551" s="746"/>
      <c r="G551" s="746"/>
      <c r="H551" s="736"/>
      <c r="I551" s="736"/>
      <c r="J551" s="736"/>
      <c r="K551" s="736"/>
      <c r="L551" s="736"/>
      <c r="M551" s="736"/>
      <c r="N551" s="736"/>
      <c r="O551" s="736"/>
      <c r="P551" s="736"/>
      <c r="Q551" s="736"/>
      <c r="R551" s="736"/>
      <c r="S551" s="736"/>
      <c r="T551" s="736"/>
      <c r="U551" s="736"/>
    </row>
    <row r="552">
      <c r="A552" s="736"/>
      <c r="B552" s="736"/>
      <c r="C552" s="747"/>
      <c r="D552" s="746"/>
      <c r="E552" s="747"/>
      <c r="F552" s="746"/>
      <c r="G552" s="746"/>
      <c r="H552" s="736"/>
      <c r="I552" s="736"/>
      <c r="J552" s="736"/>
      <c r="K552" s="736"/>
      <c r="L552" s="736"/>
      <c r="M552" s="736"/>
      <c r="N552" s="736"/>
      <c r="O552" s="736"/>
      <c r="P552" s="736"/>
      <c r="Q552" s="736"/>
      <c r="R552" s="736"/>
      <c r="S552" s="736"/>
      <c r="T552" s="736"/>
      <c r="U552" s="736"/>
    </row>
    <row r="553">
      <c r="A553" s="736"/>
      <c r="B553" s="736"/>
      <c r="C553" s="747"/>
      <c r="D553" s="746"/>
      <c r="E553" s="747"/>
      <c r="F553" s="746"/>
      <c r="G553" s="746"/>
      <c r="H553" s="736"/>
      <c r="I553" s="736"/>
      <c r="J553" s="736"/>
      <c r="K553" s="736"/>
      <c r="L553" s="736"/>
      <c r="M553" s="736"/>
      <c r="N553" s="736"/>
      <c r="O553" s="736"/>
      <c r="P553" s="736"/>
      <c r="Q553" s="736"/>
      <c r="R553" s="736"/>
      <c r="S553" s="736"/>
      <c r="T553" s="736"/>
      <c r="U553" s="736"/>
    </row>
    <row r="554">
      <c r="A554" s="736"/>
      <c r="B554" s="736"/>
      <c r="C554" s="747"/>
      <c r="D554" s="746"/>
      <c r="E554" s="747"/>
      <c r="F554" s="746"/>
      <c r="G554" s="746"/>
      <c r="H554" s="736"/>
      <c r="I554" s="736"/>
      <c r="J554" s="736"/>
      <c r="K554" s="736"/>
      <c r="L554" s="736"/>
      <c r="M554" s="736"/>
      <c r="N554" s="736"/>
      <c r="O554" s="736"/>
      <c r="P554" s="736"/>
      <c r="Q554" s="736"/>
      <c r="R554" s="736"/>
      <c r="S554" s="736"/>
      <c r="T554" s="736"/>
      <c r="U554" s="736"/>
    </row>
    <row r="555">
      <c r="A555" s="736"/>
      <c r="B555" s="736"/>
      <c r="C555" s="747"/>
      <c r="D555" s="746"/>
      <c r="E555" s="747"/>
      <c r="F555" s="746"/>
      <c r="G555" s="746"/>
      <c r="H555" s="736"/>
      <c r="I555" s="736"/>
      <c r="J555" s="736"/>
      <c r="K555" s="736"/>
      <c r="L555" s="736"/>
      <c r="M555" s="736"/>
      <c r="N555" s="736"/>
      <c r="O555" s="736"/>
      <c r="P555" s="736"/>
      <c r="Q555" s="736"/>
      <c r="R555" s="736"/>
      <c r="S555" s="736"/>
      <c r="T555" s="736"/>
      <c r="U555" s="736"/>
    </row>
    <row r="556">
      <c r="A556" s="736"/>
      <c r="B556" s="736"/>
      <c r="C556" s="747"/>
      <c r="D556" s="746"/>
      <c r="E556" s="747"/>
      <c r="F556" s="746"/>
      <c r="G556" s="746"/>
      <c r="H556" s="736"/>
      <c r="I556" s="736"/>
      <c r="J556" s="736"/>
      <c r="K556" s="736"/>
      <c r="L556" s="736"/>
      <c r="M556" s="736"/>
      <c r="N556" s="736"/>
      <c r="O556" s="736"/>
      <c r="P556" s="736"/>
      <c r="Q556" s="736"/>
      <c r="R556" s="736"/>
      <c r="S556" s="736"/>
      <c r="T556" s="736"/>
      <c r="U556" s="736"/>
    </row>
    <row r="557">
      <c r="A557" s="736"/>
      <c r="B557" s="736"/>
      <c r="C557" s="747"/>
      <c r="D557" s="746"/>
      <c r="E557" s="747"/>
      <c r="F557" s="746"/>
      <c r="G557" s="746"/>
      <c r="H557" s="736"/>
      <c r="I557" s="736"/>
      <c r="J557" s="736"/>
      <c r="K557" s="736"/>
      <c r="L557" s="736"/>
      <c r="M557" s="736"/>
      <c r="N557" s="736"/>
      <c r="O557" s="736"/>
      <c r="P557" s="736"/>
      <c r="Q557" s="736"/>
      <c r="R557" s="736"/>
      <c r="S557" s="736"/>
      <c r="T557" s="736"/>
      <c r="U557" s="736"/>
    </row>
    <row r="558">
      <c r="A558" s="736"/>
      <c r="B558" s="736"/>
      <c r="C558" s="747"/>
      <c r="D558" s="746"/>
      <c r="E558" s="747"/>
      <c r="F558" s="746"/>
      <c r="G558" s="746"/>
      <c r="H558" s="736"/>
      <c r="I558" s="736"/>
      <c r="J558" s="736"/>
      <c r="K558" s="736"/>
      <c r="L558" s="736"/>
      <c r="M558" s="736"/>
      <c r="N558" s="736"/>
      <c r="O558" s="736"/>
      <c r="P558" s="736"/>
      <c r="Q558" s="736"/>
      <c r="R558" s="736"/>
      <c r="S558" s="736"/>
      <c r="T558" s="736"/>
      <c r="U558" s="736"/>
    </row>
    <row r="559">
      <c r="A559" s="736"/>
      <c r="B559" s="736"/>
      <c r="C559" s="747"/>
      <c r="D559" s="746"/>
      <c r="E559" s="747"/>
      <c r="F559" s="746"/>
      <c r="G559" s="746"/>
      <c r="H559" s="736"/>
      <c r="I559" s="736"/>
      <c r="J559" s="736"/>
      <c r="K559" s="736"/>
      <c r="L559" s="736"/>
      <c r="M559" s="736"/>
      <c r="N559" s="736"/>
      <c r="O559" s="736"/>
      <c r="P559" s="736"/>
      <c r="Q559" s="736"/>
      <c r="R559" s="736"/>
      <c r="S559" s="736"/>
      <c r="T559" s="736"/>
      <c r="U559" s="736"/>
    </row>
    <row r="560">
      <c r="A560" s="736"/>
      <c r="B560" s="736"/>
      <c r="C560" s="747"/>
      <c r="D560" s="746"/>
      <c r="E560" s="747"/>
      <c r="F560" s="746"/>
      <c r="G560" s="746"/>
      <c r="H560" s="736"/>
      <c r="I560" s="736"/>
      <c r="J560" s="736"/>
      <c r="K560" s="736"/>
      <c r="L560" s="736"/>
      <c r="M560" s="736"/>
      <c r="N560" s="736"/>
      <c r="O560" s="736"/>
      <c r="P560" s="736"/>
      <c r="Q560" s="736"/>
      <c r="R560" s="736"/>
      <c r="S560" s="736"/>
      <c r="T560" s="736"/>
      <c r="U560" s="736"/>
    </row>
    <row r="561">
      <c r="A561" s="736"/>
      <c r="B561" s="736"/>
      <c r="C561" s="747"/>
      <c r="D561" s="746"/>
      <c r="E561" s="747"/>
      <c r="F561" s="746"/>
      <c r="G561" s="746"/>
      <c r="H561" s="736"/>
      <c r="I561" s="736"/>
      <c r="J561" s="736"/>
      <c r="K561" s="736"/>
      <c r="L561" s="736"/>
      <c r="M561" s="736"/>
      <c r="N561" s="736"/>
      <c r="O561" s="736"/>
      <c r="P561" s="736"/>
      <c r="Q561" s="736"/>
      <c r="R561" s="736"/>
      <c r="S561" s="736"/>
      <c r="T561" s="736"/>
      <c r="U561" s="736"/>
    </row>
    <row r="562">
      <c r="A562" s="736"/>
      <c r="B562" s="736"/>
      <c r="C562" s="747"/>
      <c r="D562" s="746"/>
      <c r="E562" s="747"/>
      <c r="F562" s="746"/>
      <c r="G562" s="746"/>
      <c r="H562" s="736"/>
      <c r="I562" s="736"/>
      <c r="J562" s="736"/>
      <c r="K562" s="736"/>
      <c r="L562" s="736"/>
      <c r="M562" s="736"/>
      <c r="N562" s="736"/>
      <c r="O562" s="736"/>
      <c r="P562" s="736"/>
      <c r="Q562" s="736"/>
      <c r="R562" s="736"/>
      <c r="S562" s="736"/>
      <c r="T562" s="736"/>
      <c r="U562" s="736"/>
    </row>
    <row r="563">
      <c r="A563" s="736"/>
      <c r="B563" s="736"/>
      <c r="C563" s="747"/>
      <c r="D563" s="746"/>
      <c r="E563" s="747"/>
      <c r="F563" s="746"/>
      <c r="G563" s="746"/>
      <c r="H563" s="736"/>
      <c r="I563" s="736"/>
      <c r="J563" s="736"/>
      <c r="K563" s="736"/>
      <c r="L563" s="736"/>
      <c r="M563" s="736"/>
      <c r="N563" s="736"/>
      <c r="O563" s="736"/>
      <c r="P563" s="736"/>
      <c r="Q563" s="736"/>
      <c r="R563" s="736"/>
      <c r="S563" s="736"/>
      <c r="T563" s="736"/>
      <c r="U563" s="736"/>
    </row>
    <row r="564">
      <c r="A564" s="736"/>
      <c r="B564" s="736"/>
      <c r="C564" s="747"/>
      <c r="D564" s="746"/>
      <c r="E564" s="747"/>
      <c r="F564" s="746"/>
      <c r="G564" s="746"/>
      <c r="H564" s="736"/>
      <c r="I564" s="736"/>
      <c r="J564" s="736"/>
      <c r="K564" s="736"/>
      <c r="L564" s="736"/>
      <c r="M564" s="736"/>
      <c r="N564" s="736"/>
      <c r="O564" s="736"/>
      <c r="P564" s="736"/>
      <c r="Q564" s="736"/>
      <c r="R564" s="736"/>
      <c r="S564" s="736"/>
      <c r="T564" s="736"/>
      <c r="U564" s="736"/>
    </row>
    <row r="565">
      <c r="A565" s="736"/>
      <c r="B565" s="736"/>
      <c r="C565" s="747"/>
      <c r="D565" s="746"/>
      <c r="E565" s="747"/>
      <c r="F565" s="746"/>
      <c r="G565" s="746"/>
      <c r="H565" s="736"/>
      <c r="I565" s="736"/>
      <c r="J565" s="736"/>
      <c r="K565" s="736"/>
      <c r="L565" s="736"/>
      <c r="M565" s="736"/>
      <c r="N565" s="736"/>
      <c r="O565" s="736"/>
      <c r="P565" s="736"/>
      <c r="Q565" s="736"/>
      <c r="R565" s="736"/>
      <c r="S565" s="736"/>
      <c r="T565" s="736"/>
      <c r="U565" s="736"/>
    </row>
    <row r="566">
      <c r="A566" s="736"/>
      <c r="B566" s="736"/>
      <c r="C566" s="747"/>
      <c r="D566" s="746"/>
      <c r="E566" s="747"/>
      <c r="F566" s="746"/>
      <c r="G566" s="746"/>
      <c r="H566" s="736"/>
      <c r="I566" s="736"/>
      <c r="J566" s="736"/>
      <c r="K566" s="736"/>
      <c r="L566" s="736"/>
      <c r="M566" s="736"/>
      <c r="N566" s="736"/>
      <c r="O566" s="736"/>
      <c r="P566" s="736"/>
      <c r="Q566" s="736"/>
      <c r="R566" s="736"/>
      <c r="S566" s="736"/>
      <c r="T566" s="736"/>
      <c r="U566" s="736"/>
    </row>
    <row r="567">
      <c r="A567" s="736"/>
      <c r="B567" s="736"/>
      <c r="C567" s="747"/>
      <c r="D567" s="746"/>
      <c r="E567" s="747"/>
      <c r="F567" s="746"/>
      <c r="G567" s="746"/>
      <c r="H567" s="736"/>
      <c r="I567" s="736"/>
      <c r="J567" s="736"/>
      <c r="K567" s="736"/>
      <c r="L567" s="736"/>
      <c r="M567" s="736"/>
      <c r="N567" s="736"/>
      <c r="O567" s="736"/>
      <c r="P567" s="736"/>
      <c r="Q567" s="736"/>
      <c r="R567" s="736"/>
      <c r="S567" s="736"/>
      <c r="T567" s="736"/>
      <c r="U567" s="736"/>
    </row>
    <row r="568">
      <c r="A568" s="736"/>
      <c r="B568" s="736"/>
      <c r="C568" s="747"/>
      <c r="D568" s="746"/>
      <c r="E568" s="747"/>
      <c r="F568" s="746"/>
      <c r="G568" s="746"/>
      <c r="H568" s="736"/>
      <c r="I568" s="736"/>
      <c r="J568" s="736"/>
      <c r="K568" s="736"/>
      <c r="L568" s="736"/>
      <c r="M568" s="736"/>
      <c r="N568" s="736"/>
      <c r="O568" s="736"/>
      <c r="P568" s="736"/>
      <c r="Q568" s="736"/>
      <c r="R568" s="736"/>
      <c r="S568" s="736"/>
      <c r="T568" s="736"/>
      <c r="U568" s="736"/>
    </row>
    <row r="569">
      <c r="A569" s="736"/>
      <c r="B569" s="736"/>
      <c r="C569" s="747"/>
      <c r="D569" s="746"/>
      <c r="E569" s="747"/>
      <c r="F569" s="746"/>
      <c r="G569" s="746"/>
      <c r="H569" s="736"/>
      <c r="I569" s="736"/>
      <c r="J569" s="736"/>
      <c r="K569" s="736"/>
      <c r="L569" s="736"/>
      <c r="M569" s="736"/>
      <c r="N569" s="736"/>
      <c r="O569" s="736"/>
      <c r="P569" s="736"/>
      <c r="Q569" s="736"/>
      <c r="R569" s="736"/>
      <c r="S569" s="736"/>
      <c r="T569" s="736"/>
      <c r="U569" s="736"/>
    </row>
    <row r="570">
      <c r="A570" s="736"/>
      <c r="B570" s="736"/>
      <c r="C570" s="747"/>
      <c r="D570" s="746"/>
      <c r="E570" s="747"/>
      <c r="F570" s="746"/>
      <c r="G570" s="746"/>
      <c r="H570" s="736"/>
      <c r="I570" s="736"/>
      <c r="J570" s="736"/>
      <c r="K570" s="736"/>
      <c r="L570" s="736"/>
      <c r="M570" s="736"/>
      <c r="N570" s="736"/>
      <c r="O570" s="736"/>
      <c r="P570" s="736"/>
      <c r="Q570" s="736"/>
      <c r="R570" s="736"/>
      <c r="S570" s="736"/>
      <c r="T570" s="736"/>
      <c r="U570" s="736"/>
    </row>
    <row r="571">
      <c r="A571" s="736"/>
      <c r="B571" s="736"/>
      <c r="C571" s="747"/>
      <c r="D571" s="746"/>
      <c r="E571" s="747"/>
      <c r="F571" s="746"/>
      <c r="G571" s="746"/>
      <c r="H571" s="736"/>
      <c r="I571" s="736"/>
      <c r="J571" s="736"/>
      <c r="K571" s="736"/>
      <c r="L571" s="736"/>
      <c r="M571" s="736"/>
      <c r="N571" s="736"/>
      <c r="O571" s="736"/>
      <c r="P571" s="736"/>
      <c r="Q571" s="736"/>
      <c r="R571" s="736"/>
      <c r="S571" s="736"/>
      <c r="T571" s="736"/>
      <c r="U571" s="736"/>
    </row>
    <row r="572">
      <c r="A572" s="736"/>
      <c r="B572" s="736"/>
      <c r="C572" s="747"/>
      <c r="D572" s="746"/>
      <c r="E572" s="747"/>
      <c r="F572" s="746"/>
      <c r="G572" s="746"/>
      <c r="H572" s="736"/>
      <c r="I572" s="736"/>
      <c r="J572" s="736"/>
      <c r="K572" s="736"/>
      <c r="L572" s="736"/>
      <c r="M572" s="736"/>
      <c r="N572" s="736"/>
      <c r="O572" s="736"/>
      <c r="P572" s="736"/>
      <c r="Q572" s="736"/>
      <c r="R572" s="736"/>
      <c r="S572" s="736"/>
      <c r="T572" s="736"/>
      <c r="U572" s="736"/>
    </row>
    <row r="573">
      <c r="A573" s="736"/>
      <c r="B573" s="736"/>
      <c r="C573" s="747"/>
      <c r="D573" s="746"/>
      <c r="E573" s="747"/>
      <c r="F573" s="746"/>
      <c r="G573" s="746"/>
      <c r="H573" s="736"/>
      <c r="I573" s="736"/>
      <c r="J573" s="736"/>
      <c r="K573" s="736"/>
      <c r="L573" s="736"/>
      <c r="M573" s="736"/>
      <c r="N573" s="736"/>
      <c r="O573" s="736"/>
      <c r="P573" s="736"/>
      <c r="Q573" s="736"/>
      <c r="R573" s="736"/>
      <c r="S573" s="736"/>
      <c r="T573" s="736"/>
      <c r="U573" s="736"/>
    </row>
    <row r="574">
      <c r="A574" s="736"/>
      <c r="B574" s="736"/>
      <c r="C574" s="747"/>
      <c r="D574" s="746"/>
      <c r="E574" s="747"/>
      <c r="F574" s="746"/>
      <c r="G574" s="746"/>
      <c r="H574" s="736"/>
      <c r="I574" s="736"/>
      <c r="J574" s="736"/>
      <c r="K574" s="736"/>
      <c r="L574" s="736"/>
      <c r="M574" s="736"/>
      <c r="N574" s="736"/>
      <c r="O574" s="736"/>
      <c r="P574" s="736"/>
      <c r="Q574" s="736"/>
      <c r="R574" s="736"/>
      <c r="S574" s="736"/>
      <c r="T574" s="736"/>
      <c r="U574" s="736"/>
    </row>
    <row r="575">
      <c r="A575" s="736"/>
      <c r="B575" s="736"/>
      <c r="C575" s="747"/>
      <c r="D575" s="746"/>
      <c r="E575" s="747"/>
      <c r="F575" s="746"/>
      <c r="G575" s="746"/>
      <c r="H575" s="736"/>
      <c r="I575" s="736"/>
      <c r="J575" s="736"/>
      <c r="K575" s="736"/>
      <c r="L575" s="736"/>
      <c r="M575" s="736"/>
      <c r="N575" s="736"/>
      <c r="O575" s="736"/>
      <c r="P575" s="736"/>
      <c r="Q575" s="736"/>
      <c r="R575" s="736"/>
      <c r="S575" s="736"/>
      <c r="T575" s="736"/>
      <c r="U575" s="736"/>
    </row>
    <row r="576">
      <c r="A576" s="736"/>
      <c r="B576" s="736"/>
      <c r="C576" s="747"/>
      <c r="D576" s="746"/>
      <c r="E576" s="747"/>
      <c r="F576" s="746"/>
      <c r="G576" s="746"/>
      <c r="H576" s="736"/>
      <c r="I576" s="736"/>
      <c r="J576" s="736"/>
      <c r="K576" s="736"/>
      <c r="L576" s="736"/>
      <c r="M576" s="736"/>
      <c r="N576" s="736"/>
      <c r="O576" s="736"/>
      <c r="P576" s="736"/>
      <c r="Q576" s="736"/>
      <c r="R576" s="736"/>
      <c r="S576" s="736"/>
      <c r="T576" s="736"/>
      <c r="U576" s="736"/>
    </row>
    <row r="577">
      <c r="A577" s="736"/>
      <c r="B577" s="736"/>
      <c r="C577" s="747"/>
      <c r="D577" s="746"/>
      <c r="E577" s="747"/>
      <c r="F577" s="746"/>
      <c r="G577" s="746"/>
      <c r="H577" s="736"/>
      <c r="I577" s="736"/>
      <c r="J577" s="736"/>
      <c r="K577" s="736"/>
      <c r="L577" s="736"/>
      <c r="M577" s="736"/>
      <c r="N577" s="736"/>
      <c r="O577" s="736"/>
      <c r="P577" s="736"/>
      <c r="Q577" s="736"/>
      <c r="R577" s="736"/>
      <c r="S577" s="736"/>
      <c r="T577" s="736"/>
      <c r="U577" s="736"/>
    </row>
    <row r="578">
      <c r="A578" s="736"/>
      <c r="B578" s="736"/>
      <c r="C578" s="747"/>
      <c r="D578" s="746"/>
      <c r="E578" s="747"/>
      <c r="F578" s="746"/>
      <c r="G578" s="746"/>
      <c r="H578" s="736"/>
      <c r="I578" s="736"/>
      <c r="J578" s="736"/>
      <c r="K578" s="736"/>
      <c r="L578" s="736"/>
      <c r="M578" s="736"/>
      <c r="N578" s="736"/>
      <c r="O578" s="736"/>
      <c r="P578" s="736"/>
      <c r="Q578" s="736"/>
      <c r="R578" s="736"/>
      <c r="S578" s="736"/>
      <c r="T578" s="736"/>
      <c r="U578" s="736"/>
    </row>
    <row r="579">
      <c r="A579" s="736"/>
      <c r="B579" s="736"/>
      <c r="C579" s="747"/>
      <c r="D579" s="746"/>
      <c r="E579" s="747"/>
      <c r="F579" s="746"/>
      <c r="G579" s="746"/>
      <c r="H579" s="736"/>
      <c r="I579" s="736"/>
      <c r="J579" s="736"/>
      <c r="K579" s="736"/>
      <c r="L579" s="736"/>
      <c r="M579" s="736"/>
      <c r="N579" s="736"/>
      <c r="O579" s="736"/>
      <c r="P579" s="736"/>
      <c r="Q579" s="736"/>
      <c r="R579" s="736"/>
      <c r="S579" s="736"/>
      <c r="T579" s="736"/>
      <c r="U579" s="736"/>
    </row>
    <row r="580">
      <c r="A580" s="736"/>
      <c r="B580" s="736"/>
      <c r="C580" s="747"/>
      <c r="D580" s="746"/>
      <c r="E580" s="747"/>
      <c r="F580" s="746"/>
      <c r="G580" s="746"/>
      <c r="H580" s="736"/>
      <c r="I580" s="736"/>
      <c r="J580" s="736"/>
      <c r="K580" s="736"/>
      <c r="L580" s="736"/>
      <c r="M580" s="736"/>
      <c r="N580" s="736"/>
      <c r="O580" s="736"/>
      <c r="P580" s="736"/>
      <c r="Q580" s="736"/>
      <c r="R580" s="736"/>
      <c r="S580" s="736"/>
      <c r="T580" s="736"/>
      <c r="U580" s="736"/>
    </row>
    <row r="581">
      <c r="A581" s="736"/>
      <c r="B581" s="736"/>
      <c r="C581" s="747"/>
      <c r="D581" s="746"/>
      <c r="E581" s="747"/>
      <c r="F581" s="746"/>
      <c r="G581" s="746"/>
      <c r="H581" s="736"/>
      <c r="I581" s="736"/>
      <c r="J581" s="736"/>
      <c r="K581" s="736"/>
      <c r="L581" s="736"/>
      <c r="M581" s="736"/>
      <c r="N581" s="736"/>
      <c r="O581" s="736"/>
      <c r="P581" s="736"/>
      <c r="Q581" s="736"/>
      <c r="R581" s="736"/>
      <c r="S581" s="736"/>
      <c r="T581" s="736"/>
      <c r="U581" s="736"/>
    </row>
    <row r="582">
      <c r="A582" s="736"/>
      <c r="B582" s="736"/>
      <c r="C582" s="747"/>
      <c r="D582" s="746"/>
      <c r="E582" s="747"/>
      <c r="F582" s="746"/>
      <c r="G582" s="746"/>
      <c r="H582" s="736"/>
      <c r="I582" s="736"/>
      <c r="J582" s="736"/>
      <c r="K582" s="736"/>
      <c r="L582" s="736"/>
      <c r="M582" s="736"/>
      <c r="N582" s="736"/>
      <c r="O582" s="736"/>
      <c r="P582" s="736"/>
      <c r="Q582" s="736"/>
      <c r="R582" s="736"/>
      <c r="S582" s="736"/>
      <c r="T582" s="736"/>
      <c r="U582" s="736"/>
    </row>
    <row r="583">
      <c r="A583" s="736"/>
      <c r="B583" s="736"/>
      <c r="C583" s="747"/>
      <c r="D583" s="746"/>
      <c r="E583" s="747"/>
      <c r="F583" s="746"/>
      <c r="G583" s="746"/>
      <c r="H583" s="736"/>
      <c r="I583" s="736"/>
      <c r="J583" s="736"/>
      <c r="K583" s="736"/>
      <c r="L583" s="736"/>
      <c r="M583" s="736"/>
      <c r="N583" s="736"/>
      <c r="O583" s="736"/>
      <c r="P583" s="736"/>
      <c r="Q583" s="736"/>
      <c r="R583" s="736"/>
      <c r="S583" s="736"/>
      <c r="T583" s="736"/>
      <c r="U583" s="736"/>
    </row>
    <row r="584">
      <c r="A584" s="736"/>
      <c r="B584" s="736"/>
      <c r="C584" s="747"/>
      <c r="D584" s="746"/>
      <c r="E584" s="747"/>
      <c r="F584" s="746"/>
      <c r="G584" s="746"/>
      <c r="H584" s="736"/>
      <c r="I584" s="736"/>
      <c r="J584" s="736"/>
      <c r="K584" s="736"/>
      <c r="L584" s="736"/>
      <c r="M584" s="736"/>
      <c r="N584" s="736"/>
      <c r="O584" s="736"/>
      <c r="P584" s="736"/>
      <c r="Q584" s="736"/>
      <c r="R584" s="736"/>
      <c r="S584" s="736"/>
      <c r="T584" s="736"/>
      <c r="U584" s="736"/>
    </row>
    <row r="585">
      <c r="A585" s="736"/>
      <c r="B585" s="736"/>
      <c r="C585" s="747"/>
      <c r="D585" s="746"/>
      <c r="E585" s="747"/>
      <c r="F585" s="746"/>
      <c r="G585" s="746"/>
      <c r="H585" s="736"/>
      <c r="I585" s="736"/>
      <c r="J585" s="736"/>
      <c r="K585" s="736"/>
      <c r="L585" s="736"/>
      <c r="M585" s="736"/>
      <c r="N585" s="736"/>
      <c r="O585" s="736"/>
      <c r="P585" s="736"/>
      <c r="Q585" s="736"/>
      <c r="R585" s="736"/>
      <c r="S585" s="736"/>
      <c r="T585" s="736"/>
      <c r="U585" s="736"/>
    </row>
    <row r="586">
      <c r="A586" s="736"/>
      <c r="B586" s="736"/>
      <c r="C586" s="747"/>
      <c r="D586" s="746"/>
      <c r="E586" s="747"/>
      <c r="F586" s="746"/>
      <c r="G586" s="746"/>
      <c r="H586" s="736"/>
      <c r="I586" s="736"/>
      <c r="J586" s="736"/>
      <c r="K586" s="736"/>
      <c r="L586" s="736"/>
      <c r="M586" s="736"/>
      <c r="N586" s="736"/>
      <c r="O586" s="736"/>
      <c r="P586" s="736"/>
      <c r="Q586" s="736"/>
      <c r="R586" s="736"/>
      <c r="S586" s="736"/>
      <c r="T586" s="736"/>
      <c r="U586" s="736"/>
    </row>
    <row r="587">
      <c r="A587" s="736"/>
      <c r="B587" s="736"/>
      <c r="C587" s="747"/>
      <c r="D587" s="746"/>
      <c r="E587" s="747"/>
      <c r="F587" s="746"/>
      <c r="G587" s="746"/>
      <c r="H587" s="736"/>
      <c r="I587" s="736"/>
      <c r="J587" s="736"/>
      <c r="K587" s="736"/>
      <c r="L587" s="736"/>
      <c r="M587" s="736"/>
      <c r="N587" s="736"/>
      <c r="O587" s="736"/>
      <c r="P587" s="736"/>
      <c r="Q587" s="736"/>
      <c r="R587" s="736"/>
      <c r="S587" s="736"/>
      <c r="T587" s="736"/>
      <c r="U587" s="736"/>
    </row>
    <row r="588">
      <c r="A588" s="736"/>
      <c r="B588" s="736"/>
      <c r="C588" s="747"/>
      <c r="D588" s="746"/>
      <c r="E588" s="747"/>
      <c r="F588" s="746"/>
      <c r="G588" s="746"/>
      <c r="H588" s="736"/>
      <c r="I588" s="736"/>
      <c r="J588" s="736"/>
      <c r="K588" s="736"/>
      <c r="L588" s="736"/>
      <c r="M588" s="736"/>
      <c r="N588" s="736"/>
      <c r="O588" s="736"/>
      <c r="P588" s="736"/>
      <c r="Q588" s="736"/>
      <c r="R588" s="736"/>
      <c r="S588" s="736"/>
      <c r="T588" s="736"/>
      <c r="U588" s="736"/>
    </row>
    <row r="589">
      <c r="A589" s="736"/>
      <c r="B589" s="736"/>
      <c r="C589" s="747"/>
      <c r="D589" s="746"/>
      <c r="E589" s="747"/>
      <c r="F589" s="746"/>
      <c r="G589" s="746"/>
      <c r="H589" s="736"/>
      <c r="I589" s="736"/>
      <c r="J589" s="736"/>
      <c r="K589" s="736"/>
      <c r="L589" s="736"/>
      <c r="M589" s="736"/>
      <c r="N589" s="736"/>
      <c r="O589" s="736"/>
      <c r="P589" s="736"/>
      <c r="Q589" s="736"/>
      <c r="R589" s="736"/>
      <c r="S589" s="736"/>
      <c r="T589" s="736"/>
      <c r="U589" s="736"/>
    </row>
    <row r="590">
      <c r="A590" s="736"/>
      <c r="B590" s="736"/>
      <c r="C590" s="747"/>
      <c r="D590" s="746"/>
      <c r="E590" s="747"/>
      <c r="F590" s="746"/>
      <c r="G590" s="746"/>
      <c r="H590" s="736"/>
      <c r="I590" s="736"/>
      <c r="J590" s="736"/>
      <c r="K590" s="736"/>
      <c r="L590" s="736"/>
      <c r="M590" s="736"/>
      <c r="N590" s="736"/>
      <c r="O590" s="736"/>
      <c r="P590" s="736"/>
      <c r="Q590" s="736"/>
      <c r="R590" s="736"/>
      <c r="S590" s="736"/>
      <c r="T590" s="736"/>
      <c r="U590" s="736"/>
    </row>
    <row r="591">
      <c r="A591" s="736"/>
      <c r="B591" s="736"/>
      <c r="C591" s="747"/>
      <c r="D591" s="746"/>
      <c r="E591" s="747"/>
      <c r="F591" s="746"/>
      <c r="G591" s="746"/>
      <c r="H591" s="736"/>
      <c r="I591" s="736"/>
      <c r="J591" s="736"/>
      <c r="K591" s="736"/>
      <c r="L591" s="736"/>
      <c r="M591" s="736"/>
      <c r="N591" s="736"/>
      <c r="O591" s="736"/>
      <c r="P591" s="736"/>
      <c r="Q591" s="736"/>
      <c r="R591" s="736"/>
      <c r="S591" s="736"/>
      <c r="T591" s="736"/>
      <c r="U591" s="736"/>
    </row>
    <row r="592">
      <c r="A592" s="736"/>
      <c r="B592" s="736"/>
      <c r="C592" s="747"/>
      <c r="D592" s="746"/>
      <c r="E592" s="747"/>
      <c r="F592" s="746"/>
      <c r="G592" s="746"/>
      <c r="H592" s="736"/>
      <c r="I592" s="736"/>
      <c r="J592" s="736"/>
      <c r="K592" s="736"/>
      <c r="L592" s="736"/>
      <c r="M592" s="736"/>
      <c r="N592" s="736"/>
      <c r="O592" s="736"/>
      <c r="P592" s="736"/>
      <c r="Q592" s="736"/>
      <c r="R592" s="736"/>
      <c r="S592" s="736"/>
      <c r="T592" s="736"/>
      <c r="U592" s="736"/>
    </row>
    <row r="593">
      <c r="A593" s="736"/>
      <c r="B593" s="736"/>
      <c r="C593" s="747"/>
      <c r="D593" s="746"/>
      <c r="E593" s="747"/>
      <c r="F593" s="746"/>
      <c r="G593" s="746"/>
      <c r="H593" s="736"/>
      <c r="I593" s="736"/>
      <c r="J593" s="736"/>
      <c r="K593" s="736"/>
      <c r="L593" s="736"/>
      <c r="M593" s="736"/>
      <c r="N593" s="736"/>
      <c r="O593" s="736"/>
      <c r="P593" s="736"/>
      <c r="Q593" s="736"/>
      <c r="R593" s="736"/>
      <c r="S593" s="736"/>
      <c r="T593" s="736"/>
      <c r="U593" s="736"/>
    </row>
    <row r="594">
      <c r="A594" s="736"/>
      <c r="B594" s="736"/>
      <c r="C594" s="747"/>
      <c r="D594" s="746"/>
      <c r="E594" s="747"/>
      <c r="F594" s="746"/>
      <c r="G594" s="746"/>
      <c r="H594" s="736"/>
      <c r="I594" s="736"/>
      <c r="J594" s="736"/>
      <c r="K594" s="736"/>
      <c r="L594" s="736"/>
      <c r="M594" s="736"/>
      <c r="N594" s="736"/>
      <c r="O594" s="736"/>
      <c r="P594" s="736"/>
      <c r="Q594" s="736"/>
      <c r="R594" s="736"/>
      <c r="S594" s="736"/>
      <c r="T594" s="736"/>
      <c r="U594" s="736"/>
    </row>
    <row r="595">
      <c r="A595" s="736"/>
      <c r="B595" s="736"/>
      <c r="C595" s="747"/>
      <c r="D595" s="746"/>
      <c r="E595" s="747"/>
      <c r="F595" s="746"/>
      <c r="G595" s="746"/>
      <c r="H595" s="736"/>
      <c r="I595" s="736"/>
      <c r="J595" s="736"/>
      <c r="K595" s="736"/>
      <c r="L595" s="736"/>
      <c r="M595" s="736"/>
      <c r="N595" s="736"/>
      <c r="O595" s="736"/>
      <c r="P595" s="736"/>
      <c r="Q595" s="736"/>
      <c r="R595" s="736"/>
      <c r="S595" s="736"/>
      <c r="T595" s="736"/>
      <c r="U595" s="736"/>
    </row>
    <row r="596">
      <c r="A596" s="736"/>
      <c r="B596" s="736"/>
      <c r="C596" s="747"/>
      <c r="D596" s="746"/>
      <c r="E596" s="747"/>
      <c r="F596" s="746"/>
      <c r="G596" s="746"/>
      <c r="H596" s="736"/>
      <c r="I596" s="736"/>
      <c r="J596" s="736"/>
      <c r="K596" s="736"/>
      <c r="L596" s="736"/>
      <c r="M596" s="736"/>
      <c r="N596" s="736"/>
      <c r="O596" s="736"/>
      <c r="P596" s="736"/>
      <c r="Q596" s="736"/>
      <c r="R596" s="736"/>
      <c r="S596" s="736"/>
      <c r="T596" s="736"/>
      <c r="U596" s="736"/>
    </row>
    <row r="597">
      <c r="A597" s="736"/>
      <c r="B597" s="736"/>
      <c r="C597" s="747"/>
      <c r="D597" s="746"/>
      <c r="E597" s="747"/>
      <c r="F597" s="746"/>
      <c r="G597" s="746"/>
      <c r="H597" s="736"/>
      <c r="I597" s="736"/>
      <c r="J597" s="736"/>
      <c r="K597" s="736"/>
      <c r="L597" s="736"/>
      <c r="M597" s="736"/>
      <c r="N597" s="736"/>
      <c r="O597" s="736"/>
      <c r="P597" s="736"/>
      <c r="Q597" s="736"/>
      <c r="R597" s="736"/>
      <c r="S597" s="736"/>
      <c r="T597" s="736"/>
      <c r="U597" s="736"/>
    </row>
    <row r="598">
      <c r="A598" s="736"/>
      <c r="B598" s="736"/>
      <c r="C598" s="747"/>
      <c r="D598" s="746"/>
      <c r="E598" s="747"/>
      <c r="F598" s="746"/>
      <c r="G598" s="746"/>
      <c r="H598" s="736"/>
      <c r="I598" s="736"/>
      <c r="J598" s="736"/>
      <c r="K598" s="736"/>
      <c r="L598" s="736"/>
      <c r="M598" s="736"/>
      <c r="N598" s="736"/>
      <c r="O598" s="736"/>
      <c r="P598" s="736"/>
      <c r="Q598" s="736"/>
      <c r="R598" s="736"/>
      <c r="S598" s="736"/>
      <c r="T598" s="736"/>
      <c r="U598" s="736"/>
    </row>
    <row r="599">
      <c r="A599" s="736"/>
      <c r="B599" s="736"/>
      <c r="C599" s="747"/>
      <c r="D599" s="746"/>
      <c r="E599" s="747"/>
      <c r="F599" s="746"/>
      <c r="G599" s="746"/>
      <c r="H599" s="736"/>
      <c r="I599" s="736"/>
      <c r="J599" s="736"/>
      <c r="K599" s="736"/>
      <c r="L599" s="736"/>
      <c r="M599" s="736"/>
      <c r="N599" s="736"/>
      <c r="O599" s="736"/>
      <c r="P599" s="736"/>
      <c r="Q599" s="736"/>
      <c r="R599" s="736"/>
      <c r="S599" s="736"/>
      <c r="T599" s="736"/>
      <c r="U599" s="736"/>
    </row>
    <row r="600">
      <c r="A600" s="736"/>
      <c r="B600" s="736"/>
      <c r="C600" s="747"/>
      <c r="D600" s="746"/>
      <c r="E600" s="747"/>
      <c r="F600" s="746"/>
      <c r="G600" s="746"/>
      <c r="H600" s="736"/>
      <c r="I600" s="736"/>
      <c r="J600" s="736"/>
      <c r="K600" s="736"/>
      <c r="L600" s="736"/>
      <c r="M600" s="736"/>
      <c r="N600" s="736"/>
      <c r="O600" s="736"/>
      <c r="P600" s="736"/>
      <c r="Q600" s="736"/>
      <c r="R600" s="736"/>
      <c r="S600" s="736"/>
      <c r="T600" s="736"/>
      <c r="U600" s="736"/>
    </row>
    <row r="601">
      <c r="A601" s="736"/>
      <c r="B601" s="736"/>
      <c r="C601" s="747"/>
      <c r="D601" s="746"/>
      <c r="E601" s="747"/>
      <c r="F601" s="746"/>
      <c r="G601" s="746"/>
      <c r="H601" s="736"/>
      <c r="I601" s="736"/>
      <c r="J601" s="736"/>
      <c r="K601" s="736"/>
      <c r="L601" s="736"/>
      <c r="M601" s="736"/>
      <c r="N601" s="736"/>
      <c r="O601" s="736"/>
      <c r="P601" s="736"/>
      <c r="Q601" s="736"/>
      <c r="R601" s="736"/>
      <c r="S601" s="736"/>
      <c r="T601" s="736"/>
      <c r="U601" s="736"/>
    </row>
    <row r="602">
      <c r="A602" s="736"/>
      <c r="B602" s="736"/>
      <c r="C602" s="747"/>
      <c r="D602" s="746"/>
      <c r="E602" s="747"/>
      <c r="F602" s="746"/>
      <c r="G602" s="746"/>
      <c r="H602" s="736"/>
      <c r="I602" s="736"/>
      <c r="J602" s="736"/>
      <c r="K602" s="736"/>
      <c r="L602" s="736"/>
      <c r="M602" s="736"/>
      <c r="N602" s="736"/>
      <c r="O602" s="736"/>
      <c r="P602" s="736"/>
      <c r="Q602" s="736"/>
      <c r="R602" s="736"/>
      <c r="S602" s="736"/>
      <c r="T602" s="736"/>
      <c r="U602" s="736"/>
    </row>
    <row r="603">
      <c r="A603" s="736"/>
      <c r="B603" s="736"/>
      <c r="C603" s="747"/>
      <c r="D603" s="746"/>
      <c r="E603" s="747"/>
      <c r="F603" s="746"/>
      <c r="G603" s="746"/>
      <c r="H603" s="736"/>
      <c r="I603" s="736"/>
      <c r="J603" s="736"/>
      <c r="K603" s="736"/>
      <c r="L603" s="736"/>
      <c r="M603" s="736"/>
      <c r="N603" s="736"/>
      <c r="O603" s="736"/>
      <c r="P603" s="736"/>
      <c r="Q603" s="736"/>
      <c r="R603" s="736"/>
      <c r="S603" s="736"/>
      <c r="T603" s="736"/>
      <c r="U603" s="736"/>
    </row>
    <row r="604">
      <c r="A604" s="736"/>
      <c r="B604" s="736"/>
      <c r="C604" s="747"/>
      <c r="D604" s="746"/>
      <c r="E604" s="747"/>
      <c r="F604" s="746"/>
      <c r="G604" s="746"/>
      <c r="H604" s="736"/>
      <c r="I604" s="736"/>
      <c r="J604" s="736"/>
      <c r="K604" s="736"/>
      <c r="L604" s="736"/>
      <c r="M604" s="736"/>
      <c r="N604" s="736"/>
      <c r="O604" s="736"/>
      <c r="P604" s="736"/>
      <c r="Q604" s="736"/>
      <c r="R604" s="736"/>
      <c r="S604" s="736"/>
      <c r="T604" s="736"/>
      <c r="U604" s="736"/>
    </row>
    <row r="605">
      <c r="A605" s="736"/>
      <c r="B605" s="736"/>
      <c r="C605" s="747"/>
      <c r="D605" s="746"/>
      <c r="E605" s="747"/>
      <c r="F605" s="746"/>
      <c r="G605" s="746"/>
      <c r="H605" s="736"/>
      <c r="I605" s="736"/>
      <c r="J605" s="736"/>
      <c r="K605" s="736"/>
      <c r="L605" s="736"/>
      <c r="M605" s="736"/>
      <c r="N605" s="736"/>
      <c r="O605" s="736"/>
      <c r="P605" s="736"/>
      <c r="Q605" s="736"/>
      <c r="R605" s="736"/>
      <c r="S605" s="736"/>
      <c r="T605" s="736"/>
      <c r="U605" s="736"/>
    </row>
    <row r="606">
      <c r="A606" s="736"/>
      <c r="B606" s="736"/>
      <c r="C606" s="747"/>
      <c r="D606" s="746"/>
      <c r="E606" s="747"/>
      <c r="F606" s="746"/>
      <c r="G606" s="746"/>
      <c r="H606" s="736"/>
      <c r="I606" s="736"/>
      <c r="J606" s="736"/>
      <c r="K606" s="736"/>
      <c r="L606" s="736"/>
      <c r="M606" s="736"/>
      <c r="N606" s="736"/>
      <c r="O606" s="736"/>
      <c r="P606" s="736"/>
      <c r="Q606" s="736"/>
      <c r="R606" s="736"/>
      <c r="S606" s="736"/>
      <c r="T606" s="736"/>
      <c r="U606" s="736"/>
    </row>
    <row r="607">
      <c r="A607" s="736"/>
      <c r="B607" s="736"/>
      <c r="C607" s="747"/>
      <c r="D607" s="746"/>
      <c r="E607" s="747"/>
      <c r="F607" s="746"/>
      <c r="G607" s="746"/>
      <c r="H607" s="736"/>
      <c r="I607" s="736"/>
      <c r="J607" s="736"/>
      <c r="K607" s="736"/>
      <c r="L607" s="736"/>
      <c r="M607" s="736"/>
      <c r="N607" s="736"/>
      <c r="O607" s="736"/>
      <c r="P607" s="736"/>
      <c r="Q607" s="736"/>
      <c r="R607" s="736"/>
      <c r="S607" s="736"/>
      <c r="T607" s="736"/>
      <c r="U607" s="736"/>
    </row>
    <row r="608">
      <c r="A608" s="736"/>
      <c r="B608" s="736"/>
      <c r="C608" s="747"/>
      <c r="D608" s="746"/>
      <c r="E608" s="747"/>
      <c r="F608" s="746"/>
      <c r="G608" s="746"/>
      <c r="H608" s="736"/>
      <c r="I608" s="736"/>
      <c r="J608" s="736"/>
      <c r="K608" s="736"/>
      <c r="L608" s="736"/>
      <c r="M608" s="736"/>
      <c r="N608" s="736"/>
      <c r="O608" s="736"/>
      <c r="P608" s="736"/>
      <c r="Q608" s="736"/>
      <c r="R608" s="736"/>
      <c r="S608" s="736"/>
      <c r="T608" s="736"/>
      <c r="U608" s="736"/>
    </row>
    <row r="609">
      <c r="A609" s="736"/>
      <c r="B609" s="736"/>
      <c r="C609" s="747"/>
      <c r="D609" s="746"/>
      <c r="E609" s="747"/>
      <c r="F609" s="746"/>
      <c r="G609" s="746"/>
      <c r="H609" s="736"/>
      <c r="I609" s="736"/>
      <c r="J609" s="736"/>
      <c r="K609" s="736"/>
      <c r="L609" s="736"/>
      <c r="M609" s="736"/>
      <c r="N609" s="736"/>
      <c r="O609" s="736"/>
      <c r="P609" s="736"/>
      <c r="Q609" s="736"/>
      <c r="R609" s="736"/>
      <c r="S609" s="736"/>
      <c r="T609" s="736"/>
      <c r="U609" s="736"/>
    </row>
    <row r="610">
      <c r="A610" s="736"/>
      <c r="B610" s="736"/>
      <c r="C610" s="747"/>
      <c r="D610" s="746"/>
      <c r="E610" s="747"/>
      <c r="F610" s="746"/>
      <c r="G610" s="746"/>
      <c r="H610" s="736"/>
      <c r="I610" s="736"/>
      <c r="J610" s="736"/>
      <c r="K610" s="736"/>
      <c r="L610" s="736"/>
      <c r="M610" s="736"/>
      <c r="N610" s="736"/>
      <c r="O610" s="736"/>
      <c r="P610" s="736"/>
      <c r="Q610" s="736"/>
      <c r="R610" s="736"/>
      <c r="S610" s="736"/>
      <c r="T610" s="736"/>
      <c r="U610" s="736"/>
    </row>
    <row r="611">
      <c r="A611" s="736"/>
      <c r="B611" s="736"/>
      <c r="C611" s="747"/>
      <c r="D611" s="746"/>
      <c r="E611" s="747"/>
      <c r="F611" s="746"/>
      <c r="G611" s="746"/>
      <c r="H611" s="736"/>
      <c r="I611" s="736"/>
      <c r="J611" s="736"/>
      <c r="K611" s="736"/>
      <c r="L611" s="736"/>
      <c r="M611" s="736"/>
      <c r="N611" s="736"/>
      <c r="O611" s="736"/>
      <c r="P611" s="736"/>
      <c r="Q611" s="736"/>
      <c r="R611" s="736"/>
      <c r="S611" s="736"/>
      <c r="T611" s="736"/>
      <c r="U611" s="736"/>
    </row>
    <row r="612">
      <c r="A612" s="736"/>
      <c r="B612" s="736"/>
      <c r="C612" s="747"/>
      <c r="D612" s="746"/>
      <c r="E612" s="747"/>
      <c r="F612" s="746"/>
      <c r="G612" s="746"/>
      <c r="H612" s="736"/>
      <c r="I612" s="736"/>
      <c r="J612" s="736"/>
      <c r="K612" s="736"/>
      <c r="L612" s="736"/>
      <c r="M612" s="736"/>
      <c r="N612" s="736"/>
      <c r="O612" s="736"/>
      <c r="P612" s="736"/>
      <c r="Q612" s="736"/>
      <c r="R612" s="736"/>
      <c r="S612" s="736"/>
      <c r="T612" s="736"/>
      <c r="U612" s="736"/>
    </row>
    <row r="613">
      <c r="A613" s="736"/>
      <c r="B613" s="736"/>
      <c r="C613" s="747"/>
      <c r="D613" s="746"/>
      <c r="E613" s="747"/>
      <c r="F613" s="746"/>
      <c r="G613" s="746"/>
      <c r="H613" s="736"/>
      <c r="I613" s="736"/>
      <c r="J613" s="736"/>
      <c r="K613" s="736"/>
      <c r="L613" s="736"/>
      <c r="M613" s="736"/>
      <c r="N613" s="736"/>
      <c r="O613" s="736"/>
      <c r="P613" s="736"/>
      <c r="Q613" s="736"/>
      <c r="R613" s="736"/>
      <c r="S613" s="736"/>
      <c r="T613" s="736"/>
      <c r="U613" s="736"/>
    </row>
    <row r="614">
      <c r="A614" s="736"/>
      <c r="B614" s="736"/>
      <c r="C614" s="747"/>
      <c r="D614" s="746"/>
      <c r="E614" s="747"/>
      <c r="F614" s="746"/>
      <c r="G614" s="746"/>
      <c r="H614" s="736"/>
      <c r="I614" s="736"/>
      <c r="J614" s="736"/>
      <c r="K614" s="736"/>
      <c r="L614" s="736"/>
      <c r="M614" s="736"/>
      <c r="N614" s="736"/>
      <c r="O614" s="736"/>
      <c r="P614" s="736"/>
      <c r="Q614" s="736"/>
      <c r="R614" s="736"/>
      <c r="S614" s="736"/>
      <c r="T614" s="736"/>
      <c r="U614" s="736"/>
    </row>
    <row r="615">
      <c r="A615" s="736"/>
      <c r="B615" s="736"/>
      <c r="C615" s="747"/>
      <c r="D615" s="746"/>
      <c r="E615" s="747"/>
      <c r="F615" s="746"/>
      <c r="G615" s="746"/>
      <c r="H615" s="736"/>
      <c r="I615" s="736"/>
      <c r="J615" s="736"/>
      <c r="K615" s="736"/>
      <c r="L615" s="736"/>
      <c r="M615" s="736"/>
      <c r="N615" s="736"/>
      <c r="O615" s="736"/>
      <c r="P615" s="736"/>
      <c r="Q615" s="736"/>
      <c r="R615" s="736"/>
      <c r="S615" s="736"/>
      <c r="T615" s="736"/>
      <c r="U615" s="736"/>
    </row>
    <row r="616">
      <c r="A616" s="736"/>
      <c r="B616" s="736"/>
      <c r="C616" s="747"/>
      <c r="D616" s="746"/>
      <c r="E616" s="747"/>
      <c r="F616" s="746"/>
      <c r="G616" s="746"/>
      <c r="H616" s="736"/>
      <c r="I616" s="736"/>
      <c r="J616" s="736"/>
      <c r="K616" s="736"/>
      <c r="L616" s="736"/>
      <c r="M616" s="736"/>
      <c r="N616" s="736"/>
      <c r="O616" s="736"/>
      <c r="P616" s="736"/>
      <c r="Q616" s="736"/>
      <c r="R616" s="736"/>
      <c r="S616" s="736"/>
      <c r="T616" s="736"/>
      <c r="U616" s="736"/>
    </row>
    <row r="617">
      <c r="A617" s="736"/>
      <c r="B617" s="736"/>
      <c r="C617" s="747"/>
      <c r="D617" s="746"/>
      <c r="E617" s="747"/>
      <c r="F617" s="746"/>
      <c r="G617" s="746"/>
      <c r="H617" s="736"/>
      <c r="I617" s="736"/>
      <c r="J617" s="736"/>
      <c r="K617" s="736"/>
      <c r="L617" s="736"/>
      <c r="M617" s="736"/>
      <c r="N617" s="736"/>
      <c r="O617" s="736"/>
      <c r="P617" s="736"/>
      <c r="Q617" s="736"/>
      <c r="R617" s="736"/>
      <c r="S617" s="736"/>
      <c r="T617" s="736"/>
      <c r="U617" s="736"/>
    </row>
    <row r="618">
      <c r="A618" s="736"/>
      <c r="B618" s="736"/>
      <c r="C618" s="747"/>
      <c r="D618" s="746"/>
      <c r="E618" s="747"/>
      <c r="F618" s="746"/>
      <c r="G618" s="746"/>
      <c r="H618" s="736"/>
      <c r="I618" s="736"/>
      <c r="J618" s="736"/>
      <c r="K618" s="736"/>
      <c r="L618" s="736"/>
      <c r="M618" s="736"/>
      <c r="N618" s="736"/>
      <c r="O618" s="736"/>
      <c r="P618" s="736"/>
      <c r="Q618" s="736"/>
      <c r="R618" s="736"/>
      <c r="S618" s="736"/>
      <c r="T618" s="736"/>
      <c r="U618" s="736"/>
    </row>
    <row r="619">
      <c r="A619" s="736"/>
      <c r="B619" s="736"/>
      <c r="C619" s="747"/>
      <c r="D619" s="746"/>
      <c r="E619" s="747"/>
      <c r="F619" s="746"/>
      <c r="G619" s="746"/>
      <c r="H619" s="736"/>
      <c r="I619" s="736"/>
      <c r="J619" s="736"/>
      <c r="K619" s="736"/>
      <c r="L619" s="736"/>
      <c r="M619" s="736"/>
      <c r="N619" s="736"/>
      <c r="O619" s="736"/>
      <c r="P619" s="736"/>
      <c r="Q619" s="736"/>
      <c r="R619" s="736"/>
      <c r="S619" s="736"/>
      <c r="T619" s="736"/>
      <c r="U619" s="736"/>
    </row>
    <row r="620">
      <c r="A620" s="736"/>
      <c r="B620" s="736"/>
      <c r="C620" s="747"/>
      <c r="D620" s="746"/>
      <c r="E620" s="747"/>
      <c r="F620" s="746"/>
      <c r="G620" s="746"/>
      <c r="H620" s="736"/>
      <c r="I620" s="736"/>
      <c r="J620" s="736"/>
      <c r="K620" s="736"/>
      <c r="L620" s="736"/>
      <c r="M620" s="736"/>
      <c r="N620" s="736"/>
      <c r="O620" s="736"/>
      <c r="P620" s="736"/>
      <c r="Q620" s="736"/>
      <c r="R620" s="736"/>
      <c r="S620" s="736"/>
      <c r="T620" s="736"/>
      <c r="U620" s="736"/>
    </row>
    <row r="621">
      <c r="A621" s="736"/>
      <c r="B621" s="736"/>
      <c r="C621" s="747"/>
      <c r="D621" s="746"/>
      <c r="E621" s="747"/>
      <c r="F621" s="746"/>
      <c r="G621" s="746"/>
      <c r="H621" s="736"/>
      <c r="I621" s="736"/>
      <c r="J621" s="736"/>
      <c r="K621" s="736"/>
      <c r="L621" s="736"/>
      <c r="M621" s="736"/>
      <c r="N621" s="736"/>
      <c r="O621" s="736"/>
      <c r="P621" s="736"/>
      <c r="Q621" s="736"/>
      <c r="R621" s="736"/>
      <c r="S621" s="736"/>
      <c r="T621" s="736"/>
      <c r="U621" s="736"/>
    </row>
    <row r="622">
      <c r="A622" s="736"/>
      <c r="B622" s="736"/>
      <c r="C622" s="747"/>
      <c r="D622" s="746"/>
      <c r="E622" s="747"/>
      <c r="F622" s="746"/>
      <c r="G622" s="746"/>
      <c r="H622" s="736"/>
      <c r="I622" s="736"/>
      <c r="J622" s="736"/>
      <c r="K622" s="736"/>
      <c r="L622" s="736"/>
      <c r="M622" s="736"/>
      <c r="N622" s="736"/>
      <c r="O622" s="736"/>
      <c r="P622" s="736"/>
      <c r="Q622" s="736"/>
      <c r="R622" s="736"/>
      <c r="S622" s="736"/>
      <c r="T622" s="736"/>
      <c r="U622" s="736"/>
    </row>
    <row r="623">
      <c r="A623" s="736"/>
      <c r="B623" s="736"/>
      <c r="C623" s="747"/>
      <c r="D623" s="746"/>
      <c r="E623" s="747"/>
      <c r="F623" s="746"/>
      <c r="G623" s="746"/>
      <c r="H623" s="736"/>
      <c r="I623" s="736"/>
      <c r="J623" s="736"/>
      <c r="K623" s="736"/>
      <c r="L623" s="736"/>
      <c r="M623" s="736"/>
      <c r="N623" s="736"/>
      <c r="O623" s="736"/>
      <c r="P623" s="736"/>
      <c r="Q623" s="736"/>
      <c r="R623" s="736"/>
      <c r="S623" s="736"/>
      <c r="T623" s="736"/>
      <c r="U623" s="736"/>
    </row>
    <row r="624">
      <c r="A624" s="736"/>
      <c r="B624" s="736"/>
      <c r="C624" s="747"/>
      <c r="D624" s="746"/>
      <c r="E624" s="747"/>
      <c r="F624" s="746"/>
      <c r="G624" s="746"/>
      <c r="H624" s="736"/>
      <c r="I624" s="736"/>
      <c r="J624" s="736"/>
      <c r="K624" s="736"/>
      <c r="L624" s="736"/>
      <c r="M624" s="736"/>
      <c r="N624" s="736"/>
      <c r="O624" s="736"/>
      <c r="P624" s="736"/>
      <c r="Q624" s="736"/>
      <c r="R624" s="736"/>
      <c r="S624" s="736"/>
      <c r="T624" s="736"/>
      <c r="U624" s="736"/>
    </row>
    <row r="625">
      <c r="A625" s="736"/>
      <c r="B625" s="736"/>
      <c r="C625" s="747"/>
      <c r="D625" s="746"/>
      <c r="E625" s="747"/>
      <c r="F625" s="746"/>
      <c r="G625" s="746"/>
      <c r="H625" s="736"/>
      <c r="I625" s="736"/>
      <c r="J625" s="736"/>
      <c r="K625" s="736"/>
      <c r="L625" s="736"/>
      <c r="M625" s="736"/>
      <c r="N625" s="736"/>
      <c r="O625" s="736"/>
      <c r="P625" s="736"/>
      <c r="Q625" s="736"/>
      <c r="R625" s="736"/>
      <c r="S625" s="736"/>
      <c r="T625" s="736"/>
      <c r="U625" s="736"/>
    </row>
    <row r="626">
      <c r="A626" s="736"/>
      <c r="B626" s="736"/>
      <c r="C626" s="747"/>
      <c r="D626" s="746"/>
      <c r="E626" s="747"/>
      <c r="F626" s="746"/>
      <c r="G626" s="746"/>
      <c r="H626" s="736"/>
      <c r="I626" s="736"/>
      <c r="J626" s="736"/>
      <c r="K626" s="736"/>
      <c r="L626" s="736"/>
      <c r="M626" s="736"/>
      <c r="N626" s="736"/>
      <c r="O626" s="736"/>
      <c r="P626" s="736"/>
      <c r="Q626" s="736"/>
      <c r="R626" s="736"/>
      <c r="S626" s="736"/>
      <c r="T626" s="736"/>
      <c r="U626" s="736"/>
    </row>
    <row r="627">
      <c r="A627" s="736"/>
      <c r="B627" s="736"/>
      <c r="C627" s="747"/>
      <c r="D627" s="746"/>
      <c r="E627" s="747"/>
      <c r="F627" s="746"/>
      <c r="G627" s="746"/>
      <c r="H627" s="736"/>
      <c r="I627" s="736"/>
      <c r="J627" s="736"/>
      <c r="K627" s="736"/>
      <c r="L627" s="736"/>
      <c r="M627" s="736"/>
      <c r="N627" s="736"/>
      <c r="O627" s="736"/>
      <c r="P627" s="736"/>
      <c r="Q627" s="736"/>
      <c r="R627" s="736"/>
      <c r="S627" s="736"/>
      <c r="T627" s="736"/>
      <c r="U627" s="736"/>
    </row>
    <row r="628">
      <c r="A628" s="736"/>
      <c r="B628" s="736"/>
      <c r="C628" s="747"/>
      <c r="D628" s="746"/>
      <c r="E628" s="747"/>
      <c r="F628" s="746"/>
      <c r="G628" s="746"/>
      <c r="H628" s="736"/>
      <c r="I628" s="736"/>
      <c r="J628" s="736"/>
      <c r="K628" s="736"/>
      <c r="L628" s="736"/>
      <c r="M628" s="736"/>
      <c r="N628" s="736"/>
      <c r="O628" s="736"/>
      <c r="P628" s="736"/>
      <c r="Q628" s="736"/>
      <c r="R628" s="736"/>
      <c r="S628" s="736"/>
      <c r="T628" s="736"/>
      <c r="U628" s="736"/>
    </row>
    <row r="629">
      <c r="A629" s="736"/>
      <c r="B629" s="736"/>
      <c r="C629" s="747"/>
      <c r="D629" s="746"/>
      <c r="E629" s="747"/>
      <c r="F629" s="746"/>
      <c r="G629" s="746"/>
      <c r="H629" s="736"/>
      <c r="I629" s="736"/>
      <c r="J629" s="736"/>
      <c r="K629" s="736"/>
      <c r="L629" s="736"/>
      <c r="M629" s="736"/>
      <c r="N629" s="736"/>
      <c r="O629" s="736"/>
      <c r="P629" s="736"/>
      <c r="Q629" s="736"/>
      <c r="R629" s="736"/>
      <c r="S629" s="736"/>
      <c r="T629" s="736"/>
      <c r="U629" s="736"/>
    </row>
    <row r="630">
      <c r="A630" s="736"/>
      <c r="B630" s="736"/>
      <c r="C630" s="747"/>
      <c r="D630" s="746"/>
      <c r="E630" s="747"/>
      <c r="F630" s="746"/>
      <c r="G630" s="746"/>
      <c r="H630" s="736"/>
      <c r="I630" s="736"/>
      <c r="J630" s="736"/>
      <c r="K630" s="736"/>
      <c r="L630" s="736"/>
      <c r="M630" s="736"/>
      <c r="N630" s="736"/>
      <c r="O630" s="736"/>
      <c r="P630" s="736"/>
      <c r="Q630" s="736"/>
      <c r="R630" s="736"/>
      <c r="S630" s="736"/>
      <c r="T630" s="736"/>
      <c r="U630" s="736"/>
    </row>
    <row r="631">
      <c r="A631" s="736"/>
      <c r="B631" s="736"/>
      <c r="C631" s="747"/>
      <c r="D631" s="746"/>
      <c r="E631" s="747"/>
      <c r="F631" s="746"/>
      <c r="G631" s="746"/>
      <c r="H631" s="736"/>
      <c r="I631" s="736"/>
      <c r="J631" s="736"/>
      <c r="K631" s="736"/>
      <c r="L631" s="736"/>
      <c r="M631" s="736"/>
      <c r="N631" s="736"/>
      <c r="O631" s="736"/>
      <c r="P631" s="736"/>
      <c r="Q631" s="736"/>
      <c r="R631" s="736"/>
      <c r="S631" s="736"/>
      <c r="T631" s="736"/>
      <c r="U631" s="736"/>
    </row>
    <row r="632">
      <c r="A632" s="736"/>
      <c r="B632" s="736"/>
      <c r="C632" s="747"/>
      <c r="D632" s="746"/>
      <c r="E632" s="747"/>
      <c r="F632" s="746"/>
      <c r="G632" s="746"/>
      <c r="H632" s="736"/>
      <c r="I632" s="736"/>
      <c r="J632" s="736"/>
      <c r="K632" s="736"/>
      <c r="L632" s="736"/>
      <c r="M632" s="736"/>
      <c r="N632" s="736"/>
      <c r="O632" s="736"/>
      <c r="P632" s="736"/>
      <c r="Q632" s="736"/>
      <c r="R632" s="736"/>
      <c r="S632" s="736"/>
      <c r="T632" s="736"/>
      <c r="U632" s="736"/>
    </row>
    <row r="633">
      <c r="A633" s="736"/>
      <c r="B633" s="736"/>
      <c r="C633" s="747"/>
      <c r="D633" s="746"/>
      <c r="E633" s="747"/>
      <c r="F633" s="746"/>
      <c r="G633" s="746"/>
      <c r="H633" s="736"/>
      <c r="I633" s="736"/>
      <c r="J633" s="736"/>
      <c r="K633" s="736"/>
      <c r="L633" s="736"/>
      <c r="M633" s="736"/>
      <c r="N633" s="736"/>
      <c r="O633" s="736"/>
      <c r="P633" s="736"/>
      <c r="Q633" s="736"/>
      <c r="R633" s="736"/>
      <c r="S633" s="736"/>
      <c r="T633" s="736"/>
      <c r="U633" s="736"/>
    </row>
    <row r="634">
      <c r="A634" s="736"/>
      <c r="B634" s="736"/>
      <c r="C634" s="747"/>
      <c r="D634" s="746"/>
      <c r="E634" s="747"/>
      <c r="F634" s="746"/>
      <c r="G634" s="746"/>
      <c r="H634" s="736"/>
      <c r="I634" s="736"/>
      <c r="J634" s="736"/>
      <c r="K634" s="736"/>
      <c r="L634" s="736"/>
      <c r="M634" s="736"/>
      <c r="N634" s="736"/>
      <c r="O634" s="736"/>
      <c r="P634" s="736"/>
      <c r="Q634" s="736"/>
      <c r="R634" s="736"/>
      <c r="S634" s="736"/>
      <c r="T634" s="736"/>
      <c r="U634" s="736"/>
    </row>
    <row r="635">
      <c r="A635" s="736"/>
      <c r="B635" s="736"/>
      <c r="C635" s="747"/>
      <c r="D635" s="746"/>
      <c r="E635" s="747"/>
      <c r="F635" s="746"/>
      <c r="G635" s="746"/>
      <c r="H635" s="736"/>
      <c r="I635" s="736"/>
      <c r="J635" s="736"/>
      <c r="K635" s="736"/>
      <c r="L635" s="736"/>
      <c r="M635" s="736"/>
      <c r="N635" s="736"/>
      <c r="O635" s="736"/>
      <c r="P635" s="736"/>
      <c r="Q635" s="736"/>
      <c r="R635" s="736"/>
      <c r="S635" s="736"/>
      <c r="T635" s="736"/>
      <c r="U635" s="736"/>
    </row>
    <row r="636">
      <c r="A636" s="736"/>
      <c r="B636" s="736"/>
      <c r="C636" s="747"/>
      <c r="D636" s="746"/>
      <c r="E636" s="747"/>
      <c r="F636" s="746"/>
      <c r="G636" s="746"/>
      <c r="H636" s="736"/>
      <c r="I636" s="736"/>
      <c r="J636" s="736"/>
      <c r="K636" s="736"/>
      <c r="L636" s="736"/>
      <c r="M636" s="736"/>
      <c r="N636" s="736"/>
      <c r="O636" s="736"/>
      <c r="P636" s="736"/>
      <c r="Q636" s="736"/>
      <c r="R636" s="736"/>
      <c r="S636" s="736"/>
      <c r="T636" s="736"/>
      <c r="U636" s="736"/>
    </row>
    <row r="637">
      <c r="A637" s="736"/>
      <c r="B637" s="736"/>
      <c r="C637" s="747"/>
      <c r="D637" s="746"/>
      <c r="E637" s="747"/>
      <c r="F637" s="746"/>
      <c r="G637" s="746"/>
      <c r="H637" s="736"/>
      <c r="I637" s="736"/>
      <c r="J637" s="736"/>
      <c r="K637" s="736"/>
      <c r="L637" s="736"/>
      <c r="M637" s="736"/>
      <c r="N637" s="736"/>
      <c r="O637" s="736"/>
      <c r="P637" s="736"/>
      <c r="Q637" s="736"/>
      <c r="R637" s="736"/>
      <c r="S637" s="736"/>
      <c r="T637" s="736"/>
      <c r="U637" s="736"/>
    </row>
    <row r="638">
      <c r="A638" s="736"/>
      <c r="B638" s="736"/>
      <c r="C638" s="747"/>
      <c r="D638" s="746"/>
      <c r="E638" s="747"/>
      <c r="F638" s="746"/>
      <c r="G638" s="746"/>
      <c r="H638" s="736"/>
      <c r="I638" s="736"/>
      <c r="J638" s="736"/>
      <c r="K638" s="736"/>
      <c r="L638" s="736"/>
      <c r="M638" s="736"/>
      <c r="N638" s="736"/>
      <c r="O638" s="736"/>
      <c r="P638" s="736"/>
      <c r="Q638" s="736"/>
      <c r="R638" s="736"/>
      <c r="S638" s="736"/>
      <c r="T638" s="736"/>
      <c r="U638" s="736"/>
    </row>
    <row r="639">
      <c r="A639" s="736"/>
      <c r="B639" s="736"/>
      <c r="C639" s="747"/>
      <c r="D639" s="746"/>
      <c r="E639" s="747"/>
      <c r="F639" s="746"/>
      <c r="G639" s="746"/>
      <c r="H639" s="736"/>
      <c r="I639" s="736"/>
      <c r="J639" s="736"/>
      <c r="K639" s="736"/>
      <c r="L639" s="736"/>
      <c r="M639" s="736"/>
      <c r="N639" s="736"/>
      <c r="O639" s="736"/>
      <c r="P639" s="736"/>
      <c r="Q639" s="736"/>
      <c r="R639" s="736"/>
      <c r="S639" s="736"/>
      <c r="T639" s="736"/>
      <c r="U639" s="736"/>
    </row>
    <row r="640">
      <c r="A640" s="736"/>
      <c r="B640" s="736"/>
      <c r="C640" s="747"/>
      <c r="D640" s="746"/>
      <c r="E640" s="747"/>
      <c r="F640" s="746"/>
      <c r="G640" s="746"/>
      <c r="H640" s="736"/>
      <c r="I640" s="736"/>
      <c r="J640" s="736"/>
      <c r="K640" s="736"/>
      <c r="L640" s="736"/>
      <c r="M640" s="736"/>
      <c r="N640" s="736"/>
      <c r="O640" s="736"/>
      <c r="P640" s="736"/>
      <c r="Q640" s="736"/>
      <c r="R640" s="736"/>
      <c r="S640" s="736"/>
      <c r="T640" s="736"/>
      <c r="U640" s="736"/>
    </row>
    <row r="641">
      <c r="A641" s="736"/>
      <c r="B641" s="736"/>
      <c r="C641" s="747"/>
      <c r="D641" s="746"/>
      <c r="E641" s="747"/>
      <c r="F641" s="746"/>
      <c r="G641" s="746"/>
      <c r="H641" s="736"/>
      <c r="I641" s="736"/>
      <c r="J641" s="736"/>
      <c r="K641" s="736"/>
      <c r="L641" s="736"/>
      <c r="M641" s="736"/>
      <c r="N641" s="736"/>
      <c r="O641" s="736"/>
      <c r="P641" s="736"/>
      <c r="Q641" s="736"/>
      <c r="R641" s="736"/>
      <c r="S641" s="736"/>
      <c r="T641" s="736"/>
      <c r="U641" s="736"/>
    </row>
    <row r="642">
      <c r="A642" s="736"/>
      <c r="B642" s="736"/>
      <c r="C642" s="747"/>
      <c r="D642" s="746"/>
      <c r="E642" s="747"/>
      <c r="F642" s="746"/>
      <c r="G642" s="746"/>
      <c r="H642" s="736"/>
      <c r="I642" s="736"/>
      <c r="J642" s="736"/>
      <c r="K642" s="736"/>
      <c r="L642" s="736"/>
      <c r="M642" s="736"/>
      <c r="N642" s="736"/>
      <c r="O642" s="736"/>
      <c r="P642" s="736"/>
      <c r="Q642" s="736"/>
      <c r="R642" s="736"/>
      <c r="S642" s="736"/>
      <c r="T642" s="736"/>
      <c r="U642" s="736"/>
    </row>
    <row r="643">
      <c r="A643" s="736"/>
      <c r="B643" s="736"/>
      <c r="C643" s="747"/>
      <c r="D643" s="746"/>
      <c r="E643" s="747"/>
      <c r="F643" s="746"/>
      <c r="G643" s="746"/>
      <c r="H643" s="736"/>
      <c r="I643" s="736"/>
      <c r="J643" s="736"/>
      <c r="K643" s="736"/>
      <c r="L643" s="736"/>
      <c r="M643" s="736"/>
      <c r="N643" s="736"/>
      <c r="O643" s="736"/>
      <c r="P643" s="736"/>
      <c r="Q643" s="736"/>
      <c r="R643" s="736"/>
      <c r="S643" s="736"/>
      <c r="T643" s="736"/>
      <c r="U643" s="736"/>
    </row>
    <row r="644">
      <c r="A644" s="736"/>
      <c r="B644" s="736"/>
      <c r="C644" s="747"/>
      <c r="D644" s="746"/>
      <c r="E644" s="747"/>
      <c r="F644" s="746"/>
      <c r="G644" s="746"/>
      <c r="H644" s="736"/>
      <c r="I644" s="736"/>
      <c r="J644" s="736"/>
      <c r="K644" s="736"/>
      <c r="L644" s="736"/>
      <c r="M644" s="736"/>
      <c r="N644" s="736"/>
      <c r="O644" s="736"/>
      <c r="P644" s="736"/>
      <c r="Q644" s="736"/>
      <c r="R644" s="736"/>
      <c r="S644" s="736"/>
      <c r="T644" s="736"/>
      <c r="U644" s="736"/>
    </row>
    <row r="645">
      <c r="A645" s="736"/>
      <c r="B645" s="736"/>
      <c r="C645" s="747"/>
      <c r="D645" s="746"/>
      <c r="E645" s="747"/>
      <c r="F645" s="746"/>
      <c r="G645" s="746"/>
      <c r="H645" s="736"/>
      <c r="I645" s="736"/>
      <c r="J645" s="736"/>
      <c r="K645" s="736"/>
      <c r="L645" s="736"/>
      <c r="M645" s="736"/>
      <c r="N645" s="736"/>
      <c r="O645" s="736"/>
      <c r="P645" s="736"/>
      <c r="Q645" s="736"/>
      <c r="R645" s="736"/>
      <c r="S645" s="736"/>
      <c r="T645" s="736"/>
      <c r="U645" s="736"/>
    </row>
    <row r="646">
      <c r="A646" s="736"/>
      <c r="B646" s="736"/>
      <c r="C646" s="747"/>
      <c r="D646" s="746"/>
      <c r="E646" s="747"/>
      <c r="F646" s="746"/>
      <c r="G646" s="746"/>
      <c r="H646" s="736"/>
      <c r="I646" s="736"/>
      <c r="J646" s="736"/>
      <c r="K646" s="736"/>
      <c r="L646" s="736"/>
      <c r="M646" s="736"/>
      <c r="N646" s="736"/>
      <c r="O646" s="736"/>
      <c r="P646" s="736"/>
      <c r="Q646" s="736"/>
      <c r="R646" s="736"/>
      <c r="S646" s="736"/>
      <c r="T646" s="736"/>
      <c r="U646" s="736"/>
    </row>
    <row r="647">
      <c r="A647" s="736"/>
      <c r="B647" s="736"/>
      <c r="C647" s="747"/>
      <c r="D647" s="746"/>
      <c r="E647" s="747"/>
      <c r="F647" s="746"/>
      <c r="G647" s="746"/>
      <c r="H647" s="736"/>
      <c r="I647" s="736"/>
      <c r="J647" s="736"/>
      <c r="K647" s="736"/>
      <c r="L647" s="736"/>
      <c r="M647" s="736"/>
      <c r="N647" s="736"/>
      <c r="O647" s="736"/>
      <c r="P647" s="736"/>
      <c r="Q647" s="736"/>
      <c r="R647" s="736"/>
      <c r="S647" s="736"/>
      <c r="T647" s="736"/>
      <c r="U647" s="736"/>
    </row>
    <row r="648">
      <c r="A648" s="736"/>
      <c r="B648" s="736"/>
      <c r="C648" s="747"/>
      <c r="D648" s="746"/>
      <c r="E648" s="747"/>
      <c r="F648" s="746"/>
      <c r="G648" s="746"/>
      <c r="H648" s="736"/>
      <c r="I648" s="736"/>
      <c r="J648" s="736"/>
      <c r="K648" s="736"/>
      <c r="L648" s="736"/>
      <c r="M648" s="736"/>
      <c r="N648" s="736"/>
      <c r="O648" s="736"/>
      <c r="P648" s="736"/>
      <c r="Q648" s="736"/>
      <c r="R648" s="736"/>
      <c r="S648" s="736"/>
      <c r="T648" s="736"/>
      <c r="U648" s="736"/>
    </row>
    <row r="649">
      <c r="A649" s="736"/>
      <c r="B649" s="736"/>
      <c r="C649" s="747"/>
      <c r="D649" s="746"/>
      <c r="E649" s="747"/>
      <c r="F649" s="746"/>
      <c r="G649" s="746"/>
      <c r="H649" s="736"/>
      <c r="I649" s="736"/>
      <c r="J649" s="736"/>
      <c r="K649" s="736"/>
      <c r="L649" s="736"/>
      <c r="M649" s="736"/>
      <c r="N649" s="736"/>
      <c r="O649" s="736"/>
      <c r="P649" s="736"/>
      <c r="Q649" s="736"/>
      <c r="R649" s="736"/>
      <c r="S649" s="736"/>
      <c r="T649" s="736"/>
      <c r="U649" s="736"/>
    </row>
    <row r="650">
      <c r="A650" s="736"/>
      <c r="B650" s="736"/>
      <c r="C650" s="747"/>
      <c r="D650" s="746"/>
      <c r="E650" s="747"/>
      <c r="F650" s="746"/>
      <c r="G650" s="746"/>
      <c r="H650" s="736"/>
      <c r="I650" s="736"/>
      <c r="J650" s="736"/>
      <c r="K650" s="736"/>
      <c r="L650" s="736"/>
      <c r="M650" s="736"/>
      <c r="N650" s="736"/>
      <c r="O650" s="736"/>
      <c r="P650" s="736"/>
      <c r="Q650" s="736"/>
      <c r="R650" s="736"/>
      <c r="S650" s="736"/>
      <c r="T650" s="736"/>
      <c r="U650" s="736"/>
    </row>
    <row r="651">
      <c r="A651" s="736"/>
      <c r="B651" s="736"/>
      <c r="C651" s="747"/>
      <c r="D651" s="746"/>
      <c r="E651" s="747"/>
      <c r="F651" s="746"/>
      <c r="G651" s="746"/>
      <c r="H651" s="736"/>
      <c r="I651" s="736"/>
      <c r="J651" s="736"/>
      <c r="K651" s="736"/>
      <c r="L651" s="736"/>
      <c r="M651" s="736"/>
      <c r="N651" s="736"/>
      <c r="O651" s="736"/>
      <c r="P651" s="736"/>
      <c r="Q651" s="736"/>
      <c r="R651" s="736"/>
      <c r="S651" s="736"/>
      <c r="T651" s="736"/>
      <c r="U651" s="736"/>
    </row>
    <row r="652">
      <c r="A652" s="736"/>
      <c r="B652" s="736"/>
      <c r="C652" s="747"/>
      <c r="D652" s="746"/>
      <c r="E652" s="747"/>
      <c r="F652" s="746"/>
      <c r="G652" s="746"/>
      <c r="H652" s="736"/>
      <c r="I652" s="736"/>
      <c r="J652" s="736"/>
      <c r="K652" s="736"/>
      <c r="L652" s="736"/>
      <c r="M652" s="736"/>
      <c r="N652" s="736"/>
      <c r="O652" s="736"/>
      <c r="P652" s="736"/>
      <c r="Q652" s="736"/>
      <c r="R652" s="736"/>
      <c r="S652" s="736"/>
      <c r="T652" s="736"/>
      <c r="U652" s="736"/>
    </row>
    <row r="653">
      <c r="A653" s="736"/>
      <c r="B653" s="736"/>
      <c r="C653" s="747"/>
      <c r="D653" s="746"/>
      <c r="E653" s="747"/>
      <c r="F653" s="746"/>
      <c r="G653" s="746"/>
      <c r="H653" s="736"/>
      <c r="I653" s="736"/>
      <c r="J653" s="736"/>
      <c r="K653" s="736"/>
      <c r="L653" s="736"/>
      <c r="M653" s="736"/>
      <c r="N653" s="736"/>
      <c r="O653" s="736"/>
      <c r="P653" s="736"/>
      <c r="Q653" s="736"/>
      <c r="R653" s="736"/>
      <c r="S653" s="736"/>
      <c r="T653" s="736"/>
      <c r="U653" s="736"/>
    </row>
    <row r="654">
      <c r="A654" s="736"/>
      <c r="B654" s="736"/>
      <c r="C654" s="747"/>
      <c r="D654" s="746"/>
      <c r="E654" s="747"/>
      <c r="F654" s="746"/>
      <c r="G654" s="746"/>
      <c r="H654" s="736"/>
      <c r="I654" s="736"/>
      <c r="J654" s="736"/>
      <c r="K654" s="736"/>
      <c r="L654" s="736"/>
      <c r="M654" s="736"/>
      <c r="N654" s="736"/>
      <c r="O654" s="736"/>
      <c r="P654" s="736"/>
      <c r="Q654" s="736"/>
      <c r="R654" s="736"/>
      <c r="S654" s="736"/>
      <c r="T654" s="736"/>
      <c r="U654" s="736"/>
    </row>
    <row r="655">
      <c r="A655" s="736"/>
      <c r="B655" s="736"/>
      <c r="C655" s="747"/>
      <c r="D655" s="746"/>
      <c r="E655" s="747"/>
      <c r="F655" s="746"/>
      <c r="G655" s="746"/>
      <c r="H655" s="736"/>
      <c r="I655" s="736"/>
      <c r="J655" s="736"/>
      <c r="K655" s="736"/>
      <c r="L655" s="736"/>
      <c r="M655" s="736"/>
      <c r="N655" s="736"/>
      <c r="O655" s="736"/>
      <c r="P655" s="736"/>
      <c r="Q655" s="736"/>
      <c r="R655" s="736"/>
      <c r="S655" s="736"/>
      <c r="T655" s="736"/>
      <c r="U655" s="736"/>
    </row>
    <row r="656">
      <c r="A656" s="736"/>
      <c r="B656" s="736"/>
      <c r="C656" s="747"/>
      <c r="D656" s="746"/>
      <c r="E656" s="747"/>
      <c r="F656" s="746"/>
      <c r="G656" s="746"/>
      <c r="H656" s="736"/>
      <c r="I656" s="736"/>
      <c r="J656" s="736"/>
      <c r="K656" s="736"/>
      <c r="L656" s="736"/>
      <c r="M656" s="736"/>
      <c r="N656" s="736"/>
      <c r="O656" s="736"/>
      <c r="P656" s="736"/>
      <c r="Q656" s="736"/>
      <c r="R656" s="736"/>
      <c r="S656" s="736"/>
      <c r="T656" s="736"/>
      <c r="U656" s="736"/>
    </row>
    <row r="657">
      <c r="A657" s="736"/>
      <c r="B657" s="736"/>
      <c r="C657" s="747"/>
      <c r="D657" s="746"/>
      <c r="E657" s="747"/>
      <c r="F657" s="746"/>
      <c r="G657" s="746"/>
      <c r="H657" s="736"/>
      <c r="I657" s="736"/>
      <c r="J657" s="736"/>
      <c r="K657" s="736"/>
      <c r="L657" s="736"/>
      <c r="M657" s="736"/>
      <c r="N657" s="736"/>
      <c r="O657" s="736"/>
      <c r="P657" s="736"/>
      <c r="Q657" s="736"/>
      <c r="R657" s="736"/>
      <c r="S657" s="736"/>
      <c r="T657" s="736"/>
      <c r="U657" s="736"/>
    </row>
    <row r="658">
      <c r="A658" s="736"/>
      <c r="B658" s="736"/>
      <c r="C658" s="747"/>
      <c r="D658" s="746"/>
      <c r="E658" s="747"/>
      <c r="F658" s="746"/>
      <c r="G658" s="746"/>
      <c r="H658" s="736"/>
      <c r="I658" s="736"/>
      <c r="J658" s="736"/>
      <c r="K658" s="736"/>
      <c r="L658" s="736"/>
      <c r="M658" s="736"/>
      <c r="N658" s="736"/>
      <c r="O658" s="736"/>
      <c r="P658" s="736"/>
      <c r="Q658" s="736"/>
      <c r="R658" s="736"/>
      <c r="S658" s="736"/>
      <c r="T658" s="736"/>
      <c r="U658" s="736"/>
    </row>
    <row r="659">
      <c r="A659" s="736"/>
      <c r="B659" s="736"/>
      <c r="C659" s="747"/>
      <c r="D659" s="746"/>
      <c r="E659" s="747"/>
      <c r="F659" s="746"/>
      <c r="G659" s="746"/>
      <c r="H659" s="736"/>
      <c r="I659" s="736"/>
      <c r="J659" s="736"/>
      <c r="K659" s="736"/>
      <c r="L659" s="736"/>
      <c r="M659" s="736"/>
      <c r="N659" s="736"/>
      <c r="O659" s="736"/>
      <c r="P659" s="736"/>
      <c r="Q659" s="736"/>
      <c r="R659" s="736"/>
      <c r="S659" s="736"/>
      <c r="T659" s="736"/>
      <c r="U659" s="736"/>
    </row>
    <row r="660">
      <c r="A660" s="736"/>
      <c r="B660" s="736"/>
      <c r="C660" s="747"/>
      <c r="D660" s="746"/>
      <c r="E660" s="747"/>
      <c r="F660" s="746"/>
      <c r="G660" s="746"/>
      <c r="H660" s="736"/>
      <c r="I660" s="736"/>
      <c r="J660" s="736"/>
      <c r="K660" s="736"/>
      <c r="L660" s="736"/>
      <c r="M660" s="736"/>
      <c r="N660" s="736"/>
      <c r="O660" s="736"/>
      <c r="P660" s="736"/>
      <c r="Q660" s="736"/>
      <c r="R660" s="736"/>
      <c r="S660" s="736"/>
      <c r="T660" s="736"/>
      <c r="U660" s="736"/>
    </row>
    <row r="661">
      <c r="A661" s="736"/>
      <c r="B661" s="736"/>
      <c r="C661" s="747"/>
      <c r="D661" s="746"/>
      <c r="E661" s="747"/>
      <c r="F661" s="746"/>
      <c r="G661" s="746"/>
      <c r="H661" s="736"/>
      <c r="I661" s="736"/>
      <c r="J661" s="736"/>
      <c r="K661" s="736"/>
      <c r="L661" s="736"/>
      <c r="M661" s="736"/>
      <c r="N661" s="736"/>
      <c r="O661" s="736"/>
      <c r="P661" s="736"/>
      <c r="Q661" s="736"/>
      <c r="R661" s="736"/>
      <c r="S661" s="736"/>
      <c r="T661" s="736"/>
      <c r="U661" s="736"/>
    </row>
    <row r="662">
      <c r="A662" s="736"/>
      <c r="B662" s="736"/>
      <c r="C662" s="747"/>
      <c r="D662" s="746"/>
      <c r="E662" s="747"/>
      <c r="F662" s="746"/>
      <c r="G662" s="746"/>
      <c r="H662" s="736"/>
      <c r="I662" s="736"/>
      <c r="J662" s="736"/>
      <c r="K662" s="736"/>
      <c r="L662" s="736"/>
      <c r="M662" s="736"/>
      <c r="N662" s="736"/>
      <c r="O662" s="736"/>
      <c r="P662" s="736"/>
      <c r="Q662" s="736"/>
      <c r="R662" s="736"/>
      <c r="S662" s="736"/>
      <c r="T662" s="736"/>
      <c r="U662" s="736"/>
    </row>
    <row r="663">
      <c r="A663" s="736"/>
      <c r="B663" s="736"/>
      <c r="C663" s="747"/>
      <c r="D663" s="746"/>
      <c r="E663" s="747"/>
      <c r="F663" s="746"/>
      <c r="G663" s="746"/>
      <c r="H663" s="736"/>
      <c r="I663" s="736"/>
      <c r="J663" s="736"/>
      <c r="K663" s="736"/>
      <c r="L663" s="736"/>
      <c r="M663" s="736"/>
      <c r="N663" s="736"/>
      <c r="O663" s="736"/>
      <c r="P663" s="736"/>
      <c r="Q663" s="736"/>
      <c r="R663" s="736"/>
      <c r="S663" s="736"/>
      <c r="T663" s="736"/>
      <c r="U663" s="736"/>
    </row>
    <row r="664">
      <c r="A664" s="736"/>
      <c r="B664" s="736"/>
      <c r="C664" s="747"/>
      <c r="D664" s="746"/>
      <c r="E664" s="747"/>
      <c r="F664" s="746"/>
      <c r="G664" s="746"/>
      <c r="H664" s="736"/>
      <c r="I664" s="736"/>
      <c r="J664" s="736"/>
      <c r="K664" s="736"/>
      <c r="L664" s="736"/>
      <c r="M664" s="736"/>
      <c r="N664" s="736"/>
      <c r="O664" s="736"/>
      <c r="P664" s="736"/>
      <c r="Q664" s="736"/>
      <c r="R664" s="736"/>
      <c r="S664" s="736"/>
      <c r="T664" s="736"/>
      <c r="U664" s="736"/>
    </row>
    <row r="665">
      <c r="A665" s="736"/>
      <c r="B665" s="736"/>
      <c r="C665" s="747"/>
      <c r="D665" s="746"/>
      <c r="E665" s="747"/>
      <c r="F665" s="746"/>
      <c r="G665" s="746"/>
      <c r="H665" s="736"/>
      <c r="I665" s="736"/>
      <c r="J665" s="736"/>
      <c r="K665" s="736"/>
      <c r="L665" s="736"/>
      <c r="M665" s="736"/>
      <c r="N665" s="736"/>
      <c r="O665" s="736"/>
      <c r="P665" s="736"/>
      <c r="Q665" s="736"/>
      <c r="R665" s="736"/>
      <c r="S665" s="736"/>
      <c r="T665" s="736"/>
      <c r="U665" s="736"/>
    </row>
    <row r="666">
      <c r="A666" s="736"/>
      <c r="B666" s="736"/>
      <c r="C666" s="747"/>
      <c r="D666" s="746"/>
      <c r="E666" s="747"/>
      <c r="F666" s="746"/>
      <c r="G666" s="746"/>
      <c r="H666" s="736"/>
      <c r="I666" s="736"/>
      <c r="J666" s="736"/>
      <c r="K666" s="736"/>
      <c r="L666" s="736"/>
      <c r="M666" s="736"/>
      <c r="N666" s="736"/>
      <c r="O666" s="736"/>
      <c r="P666" s="736"/>
      <c r="Q666" s="736"/>
      <c r="R666" s="736"/>
      <c r="S666" s="736"/>
      <c r="T666" s="736"/>
      <c r="U666" s="736"/>
    </row>
    <row r="667">
      <c r="A667" s="736"/>
      <c r="B667" s="736"/>
      <c r="C667" s="747"/>
      <c r="D667" s="746"/>
      <c r="E667" s="747"/>
      <c r="F667" s="746"/>
      <c r="G667" s="746"/>
      <c r="H667" s="736"/>
      <c r="I667" s="736"/>
      <c r="J667" s="736"/>
      <c r="K667" s="736"/>
      <c r="L667" s="736"/>
      <c r="M667" s="736"/>
      <c r="N667" s="736"/>
      <c r="O667" s="736"/>
      <c r="P667" s="736"/>
      <c r="Q667" s="736"/>
      <c r="R667" s="736"/>
      <c r="S667" s="736"/>
      <c r="T667" s="736"/>
      <c r="U667" s="736"/>
    </row>
    <row r="668">
      <c r="A668" s="736"/>
      <c r="B668" s="736"/>
      <c r="C668" s="747"/>
      <c r="D668" s="746"/>
      <c r="E668" s="747"/>
      <c r="F668" s="746"/>
      <c r="G668" s="746"/>
      <c r="H668" s="736"/>
      <c r="I668" s="736"/>
      <c r="J668" s="736"/>
      <c r="K668" s="736"/>
      <c r="L668" s="736"/>
      <c r="M668" s="736"/>
      <c r="N668" s="736"/>
      <c r="O668" s="736"/>
      <c r="P668" s="736"/>
      <c r="Q668" s="736"/>
      <c r="R668" s="736"/>
      <c r="S668" s="736"/>
      <c r="T668" s="736"/>
      <c r="U668" s="736"/>
    </row>
    <row r="669">
      <c r="A669" s="736"/>
      <c r="B669" s="736"/>
      <c r="C669" s="747"/>
      <c r="D669" s="746"/>
      <c r="E669" s="747"/>
      <c r="F669" s="746"/>
      <c r="G669" s="746"/>
      <c r="H669" s="736"/>
      <c r="I669" s="736"/>
      <c r="J669" s="736"/>
      <c r="K669" s="736"/>
      <c r="L669" s="736"/>
      <c r="M669" s="736"/>
      <c r="N669" s="736"/>
      <c r="O669" s="736"/>
      <c r="P669" s="736"/>
      <c r="Q669" s="736"/>
      <c r="R669" s="736"/>
      <c r="S669" s="736"/>
      <c r="T669" s="736"/>
      <c r="U669" s="736"/>
    </row>
    <row r="670">
      <c r="A670" s="736"/>
      <c r="B670" s="736"/>
      <c r="C670" s="747"/>
      <c r="D670" s="746"/>
      <c r="E670" s="747"/>
      <c r="F670" s="746"/>
      <c r="G670" s="746"/>
      <c r="H670" s="736"/>
      <c r="I670" s="736"/>
      <c r="J670" s="736"/>
      <c r="K670" s="736"/>
      <c r="L670" s="736"/>
      <c r="M670" s="736"/>
      <c r="N670" s="736"/>
      <c r="O670" s="736"/>
      <c r="P670" s="736"/>
      <c r="Q670" s="736"/>
      <c r="R670" s="736"/>
      <c r="S670" s="736"/>
      <c r="T670" s="736"/>
      <c r="U670" s="736"/>
    </row>
    <row r="671">
      <c r="A671" s="736"/>
      <c r="B671" s="736"/>
      <c r="C671" s="747"/>
      <c r="D671" s="746"/>
      <c r="E671" s="747"/>
      <c r="F671" s="746"/>
      <c r="G671" s="746"/>
      <c r="H671" s="736"/>
      <c r="I671" s="736"/>
      <c r="J671" s="736"/>
      <c r="K671" s="736"/>
      <c r="L671" s="736"/>
      <c r="M671" s="736"/>
      <c r="N671" s="736"/>
      <c r="O671" s="736"/>
      <c r="P671" s="736"/>
      <c r="Q671" s="736"/>
      <c r="R671" s="736"/>
      <c r="S671" s="736"/>
      <c r="T671" s="736"/>
      <c r="U671" s="736"/>
    </row>
    <row r="672">
      <c r="A672" s="736"/>
      <c r="B672" s="736"/>
      <c r="C672" s="747"/>
      <c r="D672" s="746"/>
      <c r="E672" s="747"/>
      <c r="F672" s="746"/>
      <c r="G672" s="746"/>
      <c r="H672" s="736"/>
      <c r="I672" s="736"/>
      <c r="J672" s="736"/>
      <c r="K672" s="736"/>
      <c r="L672" s="736"/>
      <c r="M672" s="736"/>
      <c r="N672" s="736"/>
      <c r="O672" s="736"/>
      <c r="P672" s="736"/>
      <c r="Q672" s="736"/>
      <c r="R672" s="736"/>
      <c r="S672" s="736"/>
      <c r="T672" s="736"/>
      <c r="U672" s="736"/>
    </row>
    <row r="673">
      <c r="A673" s="736"/>
      <c r="B673" s="736"/>
      <c r="C673" s="747"/>
      <c r="D673" s="746"/>
      <c r="E673" s="747"/>
      <c r="F673" s="746"/>
      <c r="G673" s="746"/>
      <c r="H673" s="736"/>
      <c r="I673" s="736"/>
      <c r="J673" s="736"/>
      <c r="K673" s="736"/>
      <c r="L673" s="736"/>
      <c r="M673" s="736"/>
      <c r="N673" s="736"/>
      <c r="O673" s="736"/>
      <c r="P673" s="736"/>
      <c r="Q673" s="736"/>
      <c r="R673" s="736"/>
      <c r="S673" s="736"/>
      <c r="T673" s="736"/>
      <c r="U673" s="736"/>
    </row>
    <row r="674">
      <c r="A674" s="736"/>
      <c r="B674" s="736"/>
      <c r="C674" s="747"/>
      <c r="D674" s="746"/>
      <c r="E674" s="747"/>
      <c r="F674" s="746"/>
      <c r="G674" s="746"/>
      <c r="H674" s="736"/>
      <c r="I674" s="736"/>
      <c r="J674" s="736"/>
      <c r="K674" s="736"/>
      <c r="L674" s="736"/>
      <c r="M674" s="736"/>
      <c r="N674" s="736"/>
      <c r="O674" s="736"/>
      <c r="P674" s="736"/>
      <c r="Q674" s="736"/>
      <c r="R674" s="736"/>
      <c r="S674" s="736"/>
      <c r="T674" s="736"/>
      <c r="U674" s="736"/>
    </row>
    <row r="675">
      <c r="A675" s="736"/>
      <c r="B675" s="736"/>
      <c r="C675" s="747"/>
      <c r="D675" s="746"/>
      <c r="E675" s="747"/>
      <c r="F675" s="746"/>
      <c r="G675" s="746"/>
      <c r="H675" s="736"/>
      <c r="I675" s="736"/>
      <c r="J675" s="736"/>
      <c r="K675" s="736"/>
      <c r="L675" s="736"/>
      <c r="M675" s="736"/>
      <c r="N675" s="736"/>
      <c r="O675" s="736"/>
      <c r="P675" s="736"/>
      <c r="Q675" s="736"/>
      <c r="R675" s="736"/>
      <c r="S675" s="736"/>
      <c r="T675" s="736"/>
      <c r="U675" s="736"/>
    </row>
    <row r="676">
      <c r="A676" s="736"/>
      <c r="B676" s="736"/>
      <c r="C676" s="747"/>
      <c r="D676" s="746"/>
      <c r="E676" s="747"/>
      <c r="F676" s="746"/>
      <c r="G676" s="746"/>
      <c r="H676" s="736"/>
      <c r="I676" s="736"/>
      <c r="J676" s="736"/>
      <c r="K676" s="736"/>
      <c r="L676" s="736"/>
      <c r="M676" s="736"/>
      <c r="N676" s="736"/>
      <c r="O676" s="736"/>
      <c r="P676" s="736"/>
      <c r="Q676" s="736"/>
      <c r="R676" s="736"/>
      <c r="S676" s="736"/>
      <c r="T676" s="736"/>
      <c r="U676" s="736"/>
    </row>
    <row r="677">
      <c r="A677" s="736"/>
      <c r="B677" s="736"/>
      <c r="C677" s="747"/>
      <c r="D677" s="746"/>
      <c r="E677" s="747"/>
      <c r="F677" s="746"/>
      <c r="G677" s="746"/>
      <c r="H677" s="736"/>
      <c r="I677" s="736"/>
      <c r="J677" s="736"/>
      <c r="K677" s="736"/>
      <c r="L677" s="736"/>
      <c r="M677" s="736"/>
      <c r="N677" s="736"/>
      <c r="O677" s="736"/>
      <c r="P677" s="736"/>
      <c r="Q677" s="736"/>
      <c r="R677" s="736"/>
      <c r="S677" s="736"/>
      <c r="T677" s="736"/>
      <c r="U677" s="736"/>
    </row>
    <row r="678">
      <c r="A678" s="736"/>
      <c r="B678" s="736"/>
      <c r="C678" s="747"/>
      <c r="D678" s="746"/>
      <c r="E678" s="747"/>
      <c r="F678" s="746"/>
      <c r="G678" s="746"/>
      <c r="H678" s="736"/>
      <c r="I678" s="736"/>
      <c r="J678" s="736"/>
      <c r="K678" s="736"/>
      <c r="L678" s="736"/>
      <c r="M678" s="736"/>
      <c r="N678" s="736"/>
      <c r="O678" s="736"/>
      <c r="P678" s="736"/>
      <c r="Q678" s="736"/>
      <c r="R678" s="736"/>
      <c r="S678" s="736"/>
      <c r="T678" s="736"/>
      <c r="U678" s="736"/>
    </row>
    <row r="679">
      <c r="A679" s="736"/>
      <c r="B679" s="736"/>
      <c r="C679" s="747"/>
      <c r="D679" s="746"/>
      <c r="E679" s="747"/>
      <c r="F679" s="746"/>
      <c r="G679" s="746"/>
      <c r="H679" s="736"/>
      <c r="I679" s="736"/>
      <c r="J679" s="736"/>
      <c r="K679" s="736"/>
      <c r="L679" s="736"/>
      <c r="M679" s="736"/>
      <c r="N679" s="736"/>
      <c r="O679" s="736"/>
      <c r="P679" s="736"/>
      <c r="Q679" s="736"/>
      <c r="R679" s="736"/>
      <c r="S679" s="736"/>
      <c r="T679" s="736"/>
      <c r="U679" s="736"/>
    </row>
    <row r="680">
      <c r="A680" s="736"/>
      <c r="B680" s="736"/>
      <c r="C680" s="747"/>
      <c r="D680" s="746"/>
      <c r="E680" s="747"/>
      <c r="F680" s="746"/>
      <c r="G680" s="746"/>
      <c r="H680" s="736"/>
      <c r="I680" s="736"/>
      <c r="J680" s="736"/>
      <c r="K680" s="736"/>
      <c r="L680" s="736"/>
      <c r="M680" s="736"/>
      <c r="N680" s="736"/>
      <c r="O680" s="736"/>
      <c r="P680" s="736"/>
      <c r="Q680" s="736"/>
      <c r="R680" s="736"/>
      <c r="S680" s="736"/>
      <c r="T680" s="736"/>
      <c r="U680" s="736"/>
    </row>
    <row r="681">
      <c r="A681" s="736"/>
      <c r="B681" s="736"/>
      <c r="C681" s="747"/>
      <c r="D681" s="746"/>
      <c r="E681" s="747"/>
      <c r="F681" s="746"/>
      <c r="G681" s="746"/>
      <c r="H681" s="736"/>
      <c r="I681" s="736"/>
      <c r="J681" s="736"/>
      <c r="K681" s="736"/>
      <c r="L681" s="736"/>
      <c r="M681" s="736"/>
      <c r="N681" s="736"/>
      <c r="O681" s="736"/>
      <c r="P681" s="736"/>
      <c r="Q681" s="736"/>
      <c r="R681" s="736"/>
      <c r="S681" s="736"/>
      <c r="T681" s="736"/>
      <c r="U681" s="736"/>
    </row>
    <row r="682">
      <c r="A682" s="736"/>
      <c r="B682" s="736"/>
      <c r="C682" s="747"/>
      <c r="D682" s="746"/>
      <c r="E682" s="747"/>
      <c r="F682" s="746"/>
      <c r="G682" s="746"/>
      <c r="H682" s="736"/>
      <c r="I682" s="736"/>
      <c r="J682" s="736"/>
      <c r="K682" s="736"/>
      <c r="L682" s="736"/>
      <c r="M682" s="736"/>
      <c r="N682" s="736"/>
      <c r="O682" s="736"/>
      <c r="P682" s="736"/>
      <c r="Q682" s="736"/>
      <c r="R682" s="736"/>
      <c r="S682" s="736"/>
      <c r="T682" s="736"/>
      <c r="U682" s="736"/>
    </row>
    <row r="683">
      <c r="A683" s="736"/>
      <c r="B683" s="736"/>
      <c r="C683" s="747"/>
      <c r="D683" s="746"/>
      <c r="E683" s="747"/>
      <c r="F683" s="746"/>
      <c r="G683" s="746"/>
      <c r="H683" s="736"/>
      <c r="I683" s="736"/>
      <c r="J683" s="736"/>
      <c r="K683" s="736"/>
      <c r="L683" s="736"/>
      <c r="M683" s="736"/>
      <c r="N683" s="736"/>
      <c r="O683" s="736"/>
      <c r="P683" s="736"/>
      <c r="Q683" s="736"/>
      <c r="R683" s="736"/>
      <c r="S683" s="736"/>
      <c r="T683" s="736"/>
      <c r="U683" s="736"/>
    </row>
    <row r="684">
      <c r="A684" s="736"/>
      <c r="B684" s="736"/>
      <c r="C684" s="747"/>
      <c r="D684" s="746"/>
      <c r="E684" s="747"/>
      <c r="F684" s="746"/>
      <c r="G684" s="746"/>
      <c r="H684" s="736"/>
      <c r="I684" s="736"/>
      <c r="J684" s="736"/>
      <c r="K684" s="736"/>
      <c r="L684" s="736"/>
      <c r="M684" s="736"/>
      <c r="N684" s="736"/>
      <c r="O684" s="736"/>
      <c r="P684" s="736"/>
      <c r="Q684" s="736"/>
      <c r="R684" s="736"/>
      <c r="S684" s="736"/>
      <c r="T684" s="736"/>
      <c r="U684" s="736"/>
    </row>
    <row r="685">
      <c r="A685" s="736"/>
      <c r="B685" s="736"/>
      <c r="C685" s="747"/>
      <c r="D685" s="746"/>
      <c r="E685" s="747"/>
      <c r="F685" s="746"/>
      <c r="G685" s="746"/>
      <c r="H685" s="736"/>
      <c r="I685" s="736"/>
      <c r="J685" s="736"/>
      <c r="K685" s="736"/>
      <c r="L685" s="736"/>
      <c r="M685" s="736"/>
      <c r="N685" s="736"/>
      <c r="O685" s="736"/>
      <c r="P685" s="736"/>
      <c r="Q685" s="736"/>
      <c r="R685" s="736"/>
      <c r="S685" s="736"/>
      <c r="T685" s="736"/>
      <c r="U685" s="736"/>
    </row>
    <row r="686">
      <c r="A686" s="736"/>
      <c r="B686" s="736"/>
      <c r="C686" s="747"/>
      <c r="D686" s="746"/>
      <c r="E686" s="747"/>
      <c r="F686" s="746"/>
      <c r="G686" s="746"/>
      <c r="H686" s="736"/>
      <c r="I686" s="736"/>
      <c r="J686" s="736"/>
      <c r="K686" s="736"/>
      <c r="L686" s="736"/>
      <c r="M686" s="736"/>
      <c r="N686" s="736"/>
      <c r="O686" s="736"/>
      <c r="P686" s="736"/>
      <c r="Q686" s="736"/>
      <c r="R686" s="736"/>
      <c r="S686" s="736"/>
      <c r="T686" s="736"/>
      <c r="U686" s="736"/>
    </row>
    <row r="687">
      <c r="A687" s="736"/>
      <c r="B687" s="736"/>
      <c r="C687" s="747"/>
      <c r="D687" s="746"/>
      <c r="E687" s="747"/>
      <c r="F687" s="746"/>
      <c r="G687" s="746"/>
      <c r="H687" s="736"/>
      <c r="I687" s="736"/>
      <c r="J687" s="736"/>
      <c r="K687" s="736"/>
      <c r="L687" s="736"/>
      <c r="M687" s="736"/>
      <c r="N687" s="736"/>
      <c r="O687" s="736"/>
      <c r="P687" s="736"/>
      <c r="Q687" s="736"/>
      <c r="R687" s="736"/>
      <c r="S687" s="736"/>
      <c r="T687" s="736"/>
      <c r="U687" s="736"/>
    </row>
    <row r="688">
      <c r="A688" s="736"/>
      <c r="B688" s="736"/>
      <c r="C688" s="747"/>
      <c r="D688" s="746"/>
      <c r="E688" s="747"/>
      <c r="F688" s="746"/>
      <c r="G688" s="746"/>
      <c r="H688" s="736"/>
      <c r="I688" s="736"/>
      <c r="J688" s="736"/>
      <c r="K688" s="736"/>
      <c r="L688" s="736"/>
      <c r="M688" s="736"/>
      <c r="N688" s="736"/>
      <c r="O688" s="736"/>
      <c r="P688" s="736"/>
      <c r="Q688" s="736"/>
      <c r="R688" s="736"/>
      <c r="S688" s="736"/>
      <c r="T688" s="736"/>
      <c r="U688" s="736"/>
    </row>
    <row r="689">
      <c r="A689" s="736"/>
      <c r="B689" s="736"/>
      <c r="C689" s="747"/>
      <c r="D689" s="746"/>
      <c r="E689" s="747"/>
      <c r="F689" s="746"/>
      <c r="G689" s="746"/>
      <c r="H689" s="736"/>
      <c r="I689" s="736"/>
      <c r="J689" s="736"/>
      <c r="K689" s="736"/>
      <c r="L689" s="736"/>
      <c r="M689" s="736"/>
      <c r="N689" s="736"/>
      <c r="O689" s="736"/>
      <c r="P689" s="736"/>
      <c r="Q689" s="736"/>
      <c r="R689" s="736"/>
      <c r="S689" s="736"/>
      <c r="T689" s="736"/>
      <c r="U689" s="736"/>
    </row>
    <row r="690">
      <c r="A690" s="736"/>
      <c r="B690" s="736"/>
      <c r="C690" s="747"/>
      <c r="D690" s="746"/>
      <c r="E690" s="747"/>
      <c r="F690" s="746"/>
      <c r="G690" s="746"/>
      <c r="H690" s="736"/>
      <c r="I690" s="736"/>
      <c r="J690" s="736"/>
      <c r="K690" s="736"/>
      <c r="L690" s="736"/>
      <c r="M690" s="736"/>
      <c r="N690" s="736"/>
      <c r="O690" s="736"/>
      <c r="P690" s="736"/>
      <c r="Q690" s="736"/>
      <c r="R690" s="736"/>
      <c r="S690" s="736"/>
      <c r="T690" s="736"/>
      <c r="U690" s="736"/>
    </row>
    <row r="691">
      <c r="A691" s="736"/>
      <c r="B691" s="736"/>
      <c r="C691" s="747"/>
      <c r="D691" s="746"/>
      <c r="E691" s="747"/>
      <c r="F691" s="746"/>
      <c r="G691" s="746"/>
      <c r="H691" s="736"/>
      <c r="I691" s="736"/>
      <c r="J691" s="736"/>
      <c r="K691" s="736"/>
      <c r="L691" s="736"/>
      <c r="M691" s="736"/>
      <c r="N691" s="736"/>
      <c r="O691" s="736"/>
      <c r="P691" s="736"/>
      <c r="Q691" s="736"/>
      <c r="R691" s="736"/>
      <c r="S691" s="736"/>
      <c r="T691" s="736"/>
      <c r="U691" s="736"/>
    </row>
    <row r="692">
      <c r="A692" s="736"/>
      <c r="B692" s="736"/>
      <c r="C692" s="747"/>
      <c r="D692" s="746"/>
      <c r="E692" s="747"/>
      <c r="F692" s="746"/>
      <c r="G692" s="746"/>
      <c r="H692" s="736"/>
      <c r="I692" s="736"/>
      <c r="J692" s="736"/>
      <c r="K692" s="736"/>
      <c r="L692" s="736"/>
      <c r="M692" s="736"/>
      <c r="N692" s="736"/>
      <c r="O692" s="736"/>
      <c r="P692" s="736"/>
      <c r="Q692" s="736"/>
      <c r="R692" s="736"/>
      <c r="S692" s="736"/>
      <c r="T692" s="736"/>
      <c r="U692" s="736"/>
    </row>
    <row r="693">
      <c r="A693" s="736"/>
      <c r="B693" s="736"/>
      <c r="C693" s="747"/>
      <c r="D693" s="746"/>
      <c r="E693" s="747"/>
      <c r="F693" s="746"/>
      <c r="G693" s="746"/>
      <c r="H693" s="736"/>
      <c r="I693" s="736"/>
      <c r="J693" s="736"/>
      <c r="K693" s="736"/>
      <c r="L693" s="736"/>
      <c r="M693" s="736"/>
      <c r="N693" s="736"/>
      <c r="O693" s="736"/>
      <c r="P693" s="736"/>
      <c r="Q693" s="736"/>
      <c r="R693" s="736"/>
      <c r="S693" s="736"/>
      <c r="T693" s="736"/>
      <c r="U693" s="736"/>
    </row>
    <row r="694">
      <c r="A694" s="736"/>
      <c r="B694" s="736"/>
      <c r="C694" s="747"/>
      <c r="D694" s="746"/>
      <c r="E694" s="747"/>
      <c r="F694" s="746"/>
      <c r="G694" s="746"/>
      <c r="H694" s="736"/>
      <c r="I694" s="736"/>
      <c r="J694" s="736"/>
      <c r="K694" s="736"/>
      <c r="L694" s="736"/>
      <c r="M694" s="736"/>
      <c r="N694" s="736"/>
      <c r="O694" s="736"/>
      <c r="P694" s="736"/>
      <c r="Q694" s="736"/>
      <c r="R694" s="736"/>
      <c r="S694" s="736"/>
      <c r="T694" s="736"/>
      <c r="U694" s="736"/>
    </row>
    <row r="695">
      <c r="A695" s="736"/>
      <c r="B695" s="736"/>
      <c r="C695" s="747"/>
      <c r="D695" s="746"/>
      <c r="E695" s="747"/>
      <c r="F695" s="746"/>
      <c r="G695" s="746"/>
      <c r="H695" s="736"/>
      <c r="I695" s="736"/>
      <c r="J695" s="736"/>
      <c r="K695" s="736"/>
      <c r="L695" s="736"/>
      <c r="M695" s="736"/>
      <c r="N695" s="736"/>
      <c r="O695" s="736"/>
      <c r="P695" s="736"/>
      <c r="Q695" s="736"/>
      <c r="R695" s="736"/>
      <c r="S695" s="736"/>
      <c r="T695" s="736"/>
      <c r="U695" s="736"/>
    </row>
    <row r="696">
      <c r="A696" s="736"/>
      <c r="B696" s="736"/>
      <c r="C696" s="747"/>
      <c r="D696" s="746"/>
      <c r="E696" s="747"/>
      <c r="F696" s="746"/>
      <c r="G696" s="746"/>
      <c r="H696" s="736"/>
      <c r="I696" s="736"/>
      <c r="J696" s="736"/>
      <c r="K696" s="736"/>
      <c r="L696" s="736"/>
      <c r="M696" s="736"/>
      <c r="N696" s="736"/>
      <c r="O696" s="736"/>
      <c r="P696" s="736"/>
      <c r="Q696" s="736"/>
      <c r="R696" s="736"/>
      <c r="S696" s="736"/>
      <c r="T696" s="736"/>
      <c r="U696" s="736"/>
    </row>
    <row r="697">
      <c r="A697" s="736"/>
      <c r="B697" s="736"/>
      <c r="C697" s="747"/>
      <c r="D697" s="746"/>
      <c r="E697" s="747"/>
      <c r="F697" s="746"/>
      <c r="G697" s="746"/>
      <c r="H697" s="736"/>
      <c r="I697" s="736"/>
      <c r="J697" s="736"/>
      <c r="K697" s="736"/>
      <c r="L697" s="736"/>
      <c r="M697" s="736"/>
      <c r="N697" s="736"/>
      <c r="O697" s="736"/>
      <c r="P697" s="736"/>
      <c r="Q697" s="736"/>
      <c r="R697" s="736"/>
      <c r="S697" s="736"/>
      <c r="T697" s="736"/>
      <c r="U697" s="736"/>
    </row>
    <row r="698">
      <c r="A698" s="736"/>
      <c r="B698" s="736"/>
      <c r="C698" s="747"/>
      <c r="D698" s="746"/>
      <c r="E698" s="747"/>
      <c r="F698" s="746"/>
      <c r="G698" s="746"/>
      <c r="H698" s="736"/>
      <c r="I698" s="736"/>
      <c r="J698" s="736"/>
      <c r="K698" s="736"/>
      <c r="L698" s="736"/>
      <c r="M698" s="736"/>
      <c r="N698" s="736"/>
      <c r="O698" s="736"/>
      <c r="P698" s="736"/>
      <c r="Q698" s="736"/>
      <c r="R698" s="736"/>
      <c r="S698" s="736"/>
      <c r="T698" s="736"/>
      <c r="U698" s="736"/>
    </row>
    <row r="699">
      <c r="A699" s="736"/>
      <c r="B699" s="736"/>
      <c r="C699" s="747"/>
      <c r="D699" s="746"/>
      <c r="E699" s="747"/>
      <c r="F699" s="746"/>
      <c r="G699" s="746"/>
      <c r="H699" s="736"/>
      <c r="I699" s="736"/>
      <c r="J699" s="736"/>
      <c r="K699" s="736"/>
      <c r="L699" s="736"/>
      <c r="M699" s="736"/>
      <c r="N699" s="736"/>
      <c r="O699" s="736"/>
      <c r="P699" s="736"/>
      <c r="Q699" s="736"/>
      <c r="R699" s="736"/>
      <c r="S699" s="736"/>
      <c r="T699" s="736"/>
      <c r="U699" s="736"/>
    </row>
    <row r="700">
      <c r="A700" s="736"/>
      <c r="B700" s="736"/>
      <c r="C700" s="747"/>
      <c r="D700" s="746"/>
      <c r="E700" s="747"/>
      <c r="F700" s="746"/>
      <c r="G700" s="746"/>
      <c r="H700" s="736"/>
      <c r="I700" s="736"/>
      <c r="J700" s="736"/>
      <c r="K700" s="736"/>
      <c r="L700" s="736"/>
      <c r="M700" s="736"/>
      <c r="N700" s="736"/>
      <c r="O700" s="736"/>
      <c r="P700" s="736"/>
      <c r="Q700" s="736"/>
      <c r="R700" s="736"/>
      <c r="S700" s="736"/>
      <c r="T700" s="736"/>
      <c r="U700" s="736"/>
    </row>
    <row r="701">
      <c r="A701" s="736"/>
      <c r="B701" s="736"/>
      <c r="C701" s="747"/>
      <c r="D701" s="746"/>
      <c r="E701" s="747"/>
      <c r="F701" s="746"/>
      <c r="G701" s="746"/>
      <c r="H701" s="736"/>
      <c r="I701" s="736"/>
      <c r="J701" s="736"/>
      <c r="K701" s="736"/>
      <c r="L701" s="736"/>
      <c r="M701" s="736"/>
      <c r="N701" s="736"/>
      <c r="O701" s="736"/>
      <c r="P701" s="736"/>
      <c r="Q701" s="736"/>
      <c r="R701" s="736"/>
      <c r="S701" s="736"/>
      <c r="T701" s="736"/>
      <c r="U701" s="736"/>
    </row>
    <row r="702">
      <c r="A702" s="736"/>
      <c r="B702" s="736"/>
      <c r="C702" s="747"/>
      <c r="D702" s="746"/>
      <c r="E702" s="747"/>
      <c r="F702" s="746"/>
      <c r="G702" s="746"/>
      <c r="H702" s="736"/>
      <c r="I702" s="736"/>
      <c r="J702" s="736"/>
      <c r="K702" s="736"/>
      <c r="L702" s="736"/>
      <c r="M702" s="736"/>
      <c r="N702" s="736"/>
      <c r="O702" s="736"/>
      <c r="P702" s="736"/>
      <c r="Q702" s="736"/>
      <c r="R702" s="736"/>
      <c r="S702" s="736"/>
      <c r="T702" s="736"/>
      <c r="U702" s="736"/>
    </row>
    <row r="703">
      <c r="A703" s="736"/>
      <c r="B703" s="736"/>
      <c r="C703" s="747"/>
      <c r="D703" s="746"/>
      <c r="E703" s="747"/>
      <c r="F703" s="746"/>
      <c r="G703" s="746"/>
      <c r="H703" s="736"/>
      <c r="I703" s="736"/>
      <c r="J703" s="736"/>
      <c r="K703" s="736"/>
      <c r="L703" s="736"/>
      <c r="M703" s="736"/>
      <c r="N703" s="736"/>
      <c r="O703" s="736"/>
      <c r="P703" s="736"/>
      <c r="Q703" s="736"/>
      <c r="R703" s="736"/>
      <c r="S703" s="736"/>
      <c r="T703" s="736"/>
      <c r="U703" s="736"/>
    </row>
    <row r="704">
      <c r="A704" s="736"/>
      <c r="B704" s="736"/>
      <c r="C704" s="747"/>
      <c r="D704" s="746"/>
      <c r="E704" s="747"/>
      <c r="F704" s="746"/>
      <c r="G704" s="746"/>
      <c r="H704" s="736"/>
      <c r="I704" s="736"/>
      <c r="J704" s="736"/>
      <c r="K704" s="736"/>
      <c r="L704" s="736"/>
      <c r="M704" s="736"/>
      <c r="N704" s="736"/>
      <c r="O704" s="736"/>
      <c r="P704" s="736"/>
      <c r="Q704" s="736"/>
      <c r="R704" s="736"/>
      <c r="S704" s="736"/>
      <c r="T704" s="736"/>
      <c r="U704" s="736"/>
    </row>
    <row r="705">
      <c r="A705" s="736"/>
      <c r="B705" s="736"/>
      <c r="C705" s="747"/>
      <c r="D705" s="746"/>
      <c r="E705" s="747"/>
      <c r="F705" s="746"/>
      <c r="G705" s="746"/>
      <c r="H705" s="736"/>
      <c r="I705" s="736"/>
      <c r="J705" s="736"/>
      <c r="K705" s="736"/>
      <c r="L705" s="736"/>
      <c r="M705" s="736"/>
      <c r="N705" s="736"/>
      <c r="O705" s="736"/>
      <c r="P705" s="736"/>
      <c r="Q705" s="736"/>
      <c r="R705" s="736"/>
      <c r="S705" s="736"/>
      <c r="T705" s="736"/>
      <c r="U705" s="736"/>
    </row>
    <row r="706">
      <c r="A706" s="736"/>
      <c r="B706" s="736"/>
      <c r="C706" s="747"/>
      <c r="D706" s="746"/>
      <c r="E706" s="747"/>
      <c r="F706" s="746"/>
      <c r="G706" s="746"/>
      <c r="H706" s="736"/>
      <c r="I706" s="736"/>
      <c r="J706" s="736"/>
      <c r="K706" s="736"/>
      <c r="L706" s="736"/>
      <c r="M706" s="736"/>
      <c r="N706" s="736"/>
      <c r="O706" s="736"/>
      <c r="P706" s="736"/>
      <c r="Q706" s="736"/>
      <c r="R706" s="736"/>
      <c r="S706" s="736"/>
      <c r="T706" s="736"/>
      <c r="U706" s="736"/>
    </row>
    <row r="707">
      <c r="A707" s="736"/>
      <c r="B707" s="736"/>
      <c r="C707" s="747"/>
      <c r="D707" s="746"/>
      <c r="E707" s="747"/>
      <c r="F707" s="746"/>
      <c r="G707" s="746"/>
      <c r="H707" s="736"/>
      <c r="I707" s="736"/>
      <c r="J707" s="736"/>
      <c r="K707" s="736"/>
      <c r="L707" s="736"/>
      <c r="M707" s="736"/>
      <c r="N707" s="736"/>
      <c r="O707" s="736"/>
      <c r="P707" s="736"/>
      <c r="Q707" s="736"/>
      <c r="R707" s="736"/>
      <c r="S707" s="736"/>
      <c r="T707" s="736"/>
      <c r="U707" s="736"/>
    </row>
    <row r="708">
      <c r="A708" s="736"/>
      <c r="B708" s="736"/>
      <c r="C708" s="747"/>
      <c r="D708" s="746"/>
      <c r="E708" s="747"/>
      <c r="F708" s="746"/>
      <c r="G708" s="746"/>
      <c r="H708" s="736"/>
      <c r="I708" s="736"/>
      <c r="J708" s="736"/>
      <c r="K708" s="736"/>
      <c r="L708" s="736"/>
      <c r="M708" s="736"/>
      <c r="N708" s="736"/>
      <c r="O708" s="736"/>
      <c r="P708" s="736"/>
      <c r="Q708" s="736"/>
      <c r="R708" s="736"/>
      <c r="S708" s="736"/>
      <c r="T708" s="736"/>
      <c r="U708" s="736"/>
    </row>
    <row r="709">
      <c r="A709" s="736"/>
      <c r="B709" s="736"/>
      <c r="C709" s="747"/>
      <c r="D709" s="746"/>
      <c r="E709" s="747"/>
      <c r="F709" s="746"/>
      <c r="G709" s="746"/>
      <c r="H709" s="736"/>
      <c r="I709" s="736"/>
      <c r="J709" s="736"/>
      <c r="K709" s="736"/>
      <c r="L709" s="736"/>
      <c r="M709" s="736"/>
      <c r="N709" s="736"/>
      <c r="O709" s="736"/>
      <c r="P709" s="736"/>
      <c r="Q709" s="736"/>
      <c r="R709" s="736"/>
      <c r="S709" s="736"/>
      <c r="T709" s="736"/>
      <c r="U709" s="736"/>
    </row>
    <row r="710">
      <c r="A710" s="736"/>
      <c r="B710" s="736"/>
      <c r="C710" s="747"/>
      <c r="D710" s="746"/>
      <c r="E710" s="747"/>
      <c r="F710" s="746"/>
      <c r="G710" s="746"/>
      <c r="H710" s="736"/>
      <c r="I710" s="736"/>
      <c r="J710" s="736"/>
      <c r="K710" s="736"/>
      <c r="L710" s="736"/>
      <c r="M710" s="736"/>
      <c r="N710" s="736"/>
      <c r="O710" s="736"/>
      <c r="P710" s="736"/>
      <c r="Q710" s="736"/>
      <c r="R710" s="736"/>
      <c r="S710" s="736"/>
      <c r="T710" s="736"/>
      <c r="U710" s="736"/>
    </row>
    <row r="711">
      <c r="A711" s="736"/>
      <c r="B711" s="736"/>
      <c r="C711" s="747"/>
      <c r="D711" s="746"/>
      <c r="E711" s="747"/>
      <c r="F711" s="746"/>
      <c r="G711" s="746"/>
      <c r="H711" s="736"/>
      <c r="I711" s="736"/>
      <c r="J711" s="736"/>
      <c r="K711" s="736"/>
      <c r="L711" s="736"/>
      <c r="M711" s="736"/>
      <c r="N711" s="736"/>
      <c r="O711" s="736"/>
      <c r="P711" s="736"/>
      <c r="Q711" s="736"/>
      <c r="R711" s="736"/>
      <c r="S711" s="736"/>
      <c r="T711" s="736"/>
      <c r="U711" s="736"/>
    </row>
    <row r="712">
      <c r="A712" s="736"/>
      <c r="B712" s="736"/>
      <c r="C712" s="747"/>
      <c r="D712" s="746"/>
      <c r="E712" s="747"/>
      <c r="F712" s="746"/>
      <c r="G712" s="746"/>
      <c r="H712" s="736"/>
      <c r="I712" s="736"/>
      <c r="J712" s="736"/>
      <c r="K712" s="736"/>
      <c r="L712" s="736"/>
      <c r="M712" s="736"/>
      <c r="N712" s="736"/>
      <c r="O712" s="736"/>
      <c r="P712" s="736"/>
      <c r="Q712" s="736"/>
      <c r="R712" s="736"/>
      <c r="S712" s="736"/>
      <c r="T712" s="736"/>
      <c r="U712" s="736"/>
    </row>
    <row r="713">
      <c r="A713" s="736"/>
      <c r="B713" s="736"/>
      <c r="C713" s="747"/>
      <c r="D713" s="746"/>
      <c r="E713" s="747"/>
      <c r="F713" s="746"/>
      <c r="G713" s="746"/>
      <c r="H713" s="736"/>
      <c r="I713" s="736"/>
      <c r="J713" s="736"/>
      <c r="K713" s="736"/>
      <c r="L713" s="736"/>
      <c r="M713" s="736"/>
      <c r="N713" s="736"/>
      <c r="O713" s="736"/>
      <c r="P713" s="736"/>
      <c r="Q713" s="736"/>
      <c r="R713" s="736"/>
      <c r="S713" s="736"/>
      <c r="T713" s="736"/>
      <c r="U713" s="736"/>
    </row>
    <row r="714">
      <c r="A714" s="736"/>
      <c r="B714" s="736"/>
      <c r="C714" s="747"/>
      <c r="D714" s="746"/>
      <c r="E714" s="747"/>
      <c r="F714" s="746"/>
      <c r="G714" s="746"/>
      <c r="H714" s="736"/>
      <c r="I714" s="736"/>
      <c r="J714" s="736"/>
      <c r="K714" s="736"/>
      <c r="L714" s="736"/>
      <c r="M714" s="736"/>
      <c r="N714" s="736"/>
      <c r="O714" s="736"/>
      <c r="P714" s="736"/>
      <c r="Q714" s="736"/>
      <c r="R714" s="736"/>
      <c r="S714" s="736"/>
      <c r="T714" s="736"/>
      <c r="U714" s="736"/>
    </row>
    <row r="715">
      <c r="A715" s="736"/>
      <c r="B715" s="736"/>
      <c r="C715" s="747"/>
      <c r="D715" s="746"/>
      <c r="E715" s="747"/>
      <c r="F715" s="746"/>
      <c r="G715" s="746"/>
      <c r="H715" s="736"/>
      <c r="I715" s="736"/>
      <c r="J715" s="736"/>
      <c r="K715" s="736"/>
      <c r="L715" s="736"/>
      <c r="M715" s="736"/>
      <c r="N715" s="736"/>
      <c r="O715" s="736"/>
      <c r="P715" s="736"/>
      <c r="Q715" s="736"/>
      <c r="R715" s="736"/>
      <c r="S715" s="736"/>
      <c r="T715" s="736"/>
      <c r="U715" s="736"/>
    </row>
    <row r="716">
      <c r="A716" s="736"/>
      <c r="B716" s="736"/>
      <c r="C716" s="747"/>
      <c r="D716" s="746"/>
      <c r="E716" s="747"/>
      <c r="F716" s="746"/>
      <c r="G716" s="746"/>
      <c r="H716" s="736"/>
      <c r="I716" s="736"/>
      <c r="J716" s="736"/>
      <c r="K716" s="736"/>
      <c r="L716" s="736"/>
      <c r="M716" s="736"/>
      <c r="N716" s="736"/>
      <c r="O716" s="736"/>
      <c r="P716" s="736"/>
      <c r="Q716" s="736"/>
      <c r="R716" s="736"/>
      <c r="S716" s="736"/>
      <c r="T716" s="736"/>
      <c r="U716" s="736"/>
    </row>
    <row r="717">
      <c r="A717" s="736"/>
      <c r="B717" s="736"/>
      <c r="C717" s="747"/>
      <c r="D717" s="746"/>
      <c r="E717" s="747"/>
      <c r="F717" s="746"/>
      <c r="G717" s="746"/>
      <c r="H717" s="736"/>
      <c r="I717" s="736"/>
      <c r="J717" s="736"/>
      <c r="K717" s="736"/>
      <c r="L717" s="736"/>
      <c r="M717" s="736"/>
      <c r="N717" s="736"/>
      <c r="O717" s="736"/>
      <c r="P717" s="736"/>
      <c r="Q717" s="736"/>
      <c r="R717" s="736"/>
      <c r="S717" s="736"/>
      <c r="T717" s="736"/>
      <c r="U717" s="736"/>
    </row>
    <row r="718">
      <c r="A718" s="736"/>
      <c r="B718" s="736"/>
      <c r="C718" s="747"/>
      <c r="D718" s="746"/>
      <c r="E718" s="747"/>
      <c r="F718" s="746"/>
      <c r="G718" s="746"/>
      <c r="H718" s="736"/>
      <c r="I718" s="736"/>
      <c r="J718" s="736"/>
      <c r="K718" s="736"/>
      <c r="L718" s="736"/>
      <c r="M718" s="736"/>
      <c r="N718" s="736"/>
      <c r="O718" s="736"/>
      <c r="P718" s="736"/>
      <c r="Q718" s="736"/>
      <c r="R718" s="736"/>
      <c r="S718" s="736"/>
      <c r="T718" s="736"/>
      <c r="U718" s="736"/>
    </row>
    <row r="719">
      <c r="A719" s="736"/>
      <c r="B719" s="736"/>
      <c r="C719" s="747"/>
      <c r="D719" s="746"/>
      <c r="E719" s="747"/>
      <c r="F719" s="746"/>
      <c r="G719" s="746"/>
      <c r="H719" s="736"/>
      <c r="I719" s="736"/>
      <c r="J719" s="736"/>
      <c r="K719" s="736"/>
      <c r="L719" s="736"/>
      <c r="M719" s="736"/>
      <c r="N719" s="736"/>
      <c r="O719" s="736"/>
      <c r="P719" s="736"/>
      <c r="Q719" s="736"/>
      <c r="R719" s="736"/>
      <c r="S719" s="736"/>
      <c r="T719" s="736"/>
      <c r="U719" s="736"/>
    </row>
    <row r="720">
      <c r="A720" s="736"/>
      <c r="B720" s="736"/>
      <c r="C720" s="747"/>
      <c r="D720" s="746"/>
      <c r="E720" s="747"/>
      <c r="F720" s="746"/>
      <c r="G720" s="746"/>
      <c r="H720" s="736"/>
      <c r="I720" s="736"/>
      <c r="J720" s="736"/>
      <c r="K720" s="736"/>
      <c r="L720" s="736"/>
      <c r="M720" s="736"/>
      <c r="N720" s="736"/>
      <c r="O720" s="736"/>
      <c r="P720" s="736"/>
      <c r="Q720" s="736"/>
      <c r="R720" s="736"/>
      <c r="S720" s="736"/>
      <c r="T720" s="736"/>
      <c r="U720" s="736"/>
    </row>
    <row r="721">
      <c r="A721" s="736"/>
      <c r="B721" s="736"/>
      <c r="C721" s="747"/>
      <c r="D721" s="746"/>
      <c r="E721" s="747"/>
      <c r="F721" s="746"/>
      <c r="G721" s="746"/>
      <c r="H721" s="736"/>
      <c r="I721" s="736"/>
      <c r="J721" s="736"/>
      <c r="K721" s="736"/>
      <c r="L721" s="736"/>
      <c r="M721" s="736"/>
      <c r="N721" s="736"/>
      <c r="O721" s="736"/>
      <c r="P721" s="736"/>
      <c r="Q721" s="736"/>
      <c r="R721" s="736"/>
      <c r="S721" s="736"/>
      <c r="T721" s="736"/>
      <c r="U721" s="736"/>
    </row>
    <row r="722">
      <c r="A722" s="736"/>
      <c r="B722" s="736"/>
      <c r="C722" s="747"/>
      <c r="D722" s="746"/>
      <c r="E722" s="747"/>
      <c r="F722" s="746"/>
      <c r="G722" s="746"/>
      <c r="H722" s="736"/>
      <c r="I722" s="736"/>
      <c r="J722" s="736"/>
      <c r="K722" s="736"/>
      <c r="L722" s="736"/>
      <c r="M722" s="736"/>
      <c r="N722" s="736"/>
      <c r="O722" s="736"/>
      <c r="P722" s="736"/>
      <c r="Q722" s="736"/>
      <c r="R722" s="736"/>
      <c r="S722" s="736"/>
      <c r="T722" s="736"/>
      <c r="U722" s="736"/>
    </row>
    <row r="723">
      <c r="A723" s="736"/>
      <c r="B723" s="736"/>
      <c r="C723" s="747"/>
      <c r="D723" s="746"/>
      <c r="E723" s="747"/>
      <c r="F723" s="746"/>
      <c r="G723" s="746"/>
      <c r="H723" s="736"/>
      <c r="I723" s="736"/>
      <c r="J723" s="736"/>
      <c r="K723" s="736"/>
      <c r="L723" s="736"/>
      <c r="M723" s="736"/>
      <c r="N723" s="736"/>
      <c r="O723" s="736"/>
      <c r="P723" s="736"/>
      <c r="Q723" s="736"/>
      <c r="R723" s="736"/>
      <c r="S723" s="736"/>
      <c r="T723" s="736"/>
      <c r="U723" s="736"/>
    </row>
    <row r="724">
      <c r="A724" s="736"/>
      <c r="B724" s="736"/>
      <c r="C724" s="747"/>
      <c r="D724" s="746"/>
      <c r="E724" s="747"/>
      <c r="F724" s="746"/>
      <c r="G724" s="746"/>
      <c r="H724" s="736"/>
      <c r="I724" s="736"/>
      <c r="J724" s="736"/>
      <c r="K724" s="736"/>
      <c r="L724" s="736"/>
      <c r="M724" s="736"/>
      <c r="N724" s="736"/>
      <c r="O724" s="736"/>
      <c r="P724" s="736"/>
      <c r="Q724" s="736"/>
      <c r="R724" s="736"/>
      <c r="S724" s="736"/>
      <c r="T724" s="736"/>
      <c r="U724" s="736"/>
    </row>
    <row r="725">
      <c r="A725" s="736"/>
      <c r="B725" s="736"/>
      <c r="C725" s="747"/>
      <c r="D725" s="746"/>
      <c r="E725" s="747"/>
      <c r="F725" s="746"/>
      <c r="G725" s="746"/>
      <c r="H725" s="736"/>
      <c r="I725" s="736"/>
      <c r="J725" s="736"/>
      <c r="K725" s="736"/>
      <c r="L725" s="736"/>
      <c r="M725" s="736"/>
      <c r="N725" s="736"/>
      <c r="O725" s="736"/>
      <c r="P725" s="736"/>
      <c r="Q725" s="736"/>
      <c r="R725" s="736"/>
      <c r="S725" s="736"/>
      <c r="T725" s="736"/>
      <c r="U725" s="736"/>
    </row>
    <row r="726">
      <c r="A726" s="736"/>
      <c r="B726" s="736"/>
      <c r="C726" s="747"/>
      <c r="D726" s="746"/>
      <c r="E726" s="747"/>
      <c r="F726" s="746"/>
      <c r="G726" s="746"/>
      <c r="H726" s="736"/>
      <c r="I726" s="736"/>
      <c r="J726" s="736"/>
      <c r="K726" s="736"/>
      <c r="L726" s="736"/>
      <c r="M726" s="736"/>
      <c r="N726" s="736"/>
      <c r="O726" s="736"/>
      <c r="P726" s="736"/>
      <c r="Q726" s="736"/>
      <c r="R726" s="736"/>
      <c r="S726" s="736"/>
      <c r="T726" s="736"/>
      <c r="U726" s="736"/>
    </row>
    <row r="727">
      <c r="A727" s="736"/>
      <c r="B727" s="736"/>
      <c r="C727" s="747"/>
      <c r="D727" s="746"/>
      <c r="E727" s="747"/>
      <c r="F727" s="746"/>
      <c r="G727" s="746"/>
      <c r="H727" s="736"/>
      <c r="I727" s="736"/>
      <c r="J727" s="736"/>
      <c r="K727" s="736"/>
      <c r="L727" s="736"/>
      <c r="M727" s="736"/>
      <c r="N727" s="736"/>
      <c r="O727" s="736"/>
      <c r="P727" s="736"/>
      <c r="Q727" s="736"/>
      <c r="R727" s="736"/>
      <c r="S727" s="736"/>
      <c r="T727" s="736"/>
      <c r="U727" s="736"/>
    </row>
    <row r="728">
      <c r="A728" s="736"/>
      <c r="B728" s="736"/>
      <c r="C728" s="747"/>
      <c r="D728" s="746"/>
      <c r="E728" s="747"/>
      <c r="F728" s="746"/>
      <c r="G728" s="746"/>
      <c r="H728" s="736"/>
      <c r="I728" s="736"/>
      <c r="J728" s="736"/>
      <c r="K728" s="736"/>
      <c r="L728" s="736"/>
      <c r="M728" s="736"/>
      <c r="N728" s="736"/>
      <c r="O728" s="736"/>
      <c r="P728" s="736"/>
      <c r="Q728" s="736"/>
      <c r="R728" s="736"/>
      <c r="S728" s="736"/>
      <c r="T728" s="736"/>
      <c r="U728" s="736"/>
    </row>
    <row r="729">
      <c r="A729" s="736"/>
      <c r="B729" s="736"/>
      <c r="C729" s="747"/>
      <c r="D729" s="746"/>
      <c r="E729" s="747"/>
      <c r="F729" s="746"/>
      <c r="G729" s="746"/>
      <c r="H729" s="736"/>
      <c r="I729" s="736"/>
      <c r="J729" s="736"/>
      <c r="K729" s="736"/>
      <c r="L729" s="736"/>
      <c r="M729" s="736"/>
      <c r="N729" s="736"/>
      <c r="O729" s="736"/>
      <c r="P729" s="736"/>
      <c r="Q729" s="736"/>
      <c r="R729" s="736"/>
      <c r="S729" s="736"/>
      <c r="T729" s="736"/>
      <c r="U729" s="736"/>
    </row>
    <row r="730">
      <c r="A730" s="736"/>
      <c r="B730" s="736"/>
      <c r="C730" s="747"/>
      <c r="D730" s="746"/>
      <c r="E730" s="747"/>
      <c r="F730" s="746"/>
      <c r="G730" s="746"/>
      <c r="H730" s="736"/>
      <c r="I730" s="736"/>
      <c r="J730" s="736"/>
      <c r="K730" s="736"/>
      <c r="L730" s="736"/>
      <c r="M730" s="736"/>
      <c r="N730" s="736"/>
      <c r="O730" s="736"/>
      <c r="P730" s="736"/>
      <c r="Q730" s="736"/>
      <c r="R730" s="736"/>
      <c r="S730" s="736"/>
      <c r="T730" s="736"/>
      <c r="U730" s="736"/>
    </row>
    <row r="731">
      <c r="A731" s="736"/>
      <c r="B731" s="736"/>
      <c r="C731" s="747"/>
      <c r="D731" s="746"/>
      <c r="E731" s="747"/>
      <c r="F731" s="746"/>
      <c r="G731" s="746"/>
      <c r="H731" s="736"/>
      <c r="I731" s="736"/>
      <c r="J731" s="736"/>
      <c r="K731" s="736"/>
      <c r="L731" s="736"/>
      <c r="M731" s="736"/>
      <c r="N731" s="736"/>
      <c r="O731" s="736"/>
      <c r="P731" s="736"/>
      <c r="Q731" s="736"/>
      <c r="R731" s="736"/>
      <c r="S731" s="736"/>
      <c r="T731" s="736"/>
      <c r="U731" s="736"/>
    </row>
    <row r="732">
      <c r="A732" s="736"/>
      <c r="B732" s="736"/>
      <c r="C732" s="747"/>
      <c r="D732" s="746"/>
      <c r="E732" s="747"/>
      <c r="F732" s="746"/>
      <c r="G732" s="746"/>
      <c r="H732" s="736"/>
      <c r="I732" s="736"/>
      <c r="J732" s="736"/>
      <c r="K732" s="736"/>
      <c r="L732" s="736"/>
      <c r="M732" s="736"/>
      <c r="N732" s="736"/>
      <c r="O732" s="736"/>
      <c r="P732" s="736"/>
      <c r="Q732" s="736"/>
      <c r="R732" s="736"/>
      <c r="S732" s="736"/>
      <c r="T732" s="736"/>
      <c r="U732" s="736"/>
    </row>
    <row r="733">
      <c r="A733" s="736"/>
      <c r="B733" s="736"/>
      <c r="C733" s="747"/>
      <c r="D733" s="746"/>
      <c r="E733" s="747"/>
      <c r="F733" s="746"/>
      <c r="G733" s="746"/>
      <c r="H733" s="736"/>
      <c r="I733" s="736"/>
      <c r="J733" s="736"/>
      <c r="K733" s="736"/>
      <c r="L733" s="736"/>
      <c r="M733" s="736"/>
      <c r="N733" s="736"/>
      <c r="O733" s="736"/>
      <c r="P733" s="736"/>
      <c r="Q733" s="736"/>
      <c r="R733" s="736"/>
      <c r="S733" s="736"/>
      <c r="T733" s="736"/>
      <c r="U733" s="736"/>
    </row>
    <row r="734">
      <c r="A734" s="736"/>
      <c r="B734" s="736"/>
      <c r="C734" s="747"/>
      <c r="D734" s="746"/>
      <c r="E734" s="747"/>
      <c r="F734" s="746"/>
      <c r="G734" s="746"/>
      <c r="H734" s="736"/>
      <c r="I734" s="736"/>
      <c r="J734" s="736"/>
      <c r="K734" s="736"/>
      <c r="L734" s="736"/>
      <c r="M734" s="736"/>
      <c r="N734" s="736"/>
      <c r="O734" s="736"/>
      <c r="P734" s="736"/>
      <c r="Q734" s="736"/>
      <c r="R734" s="736"/>
      <c r="S734" s="736"/>
      <c r="T734" s="736"/>
      <c r="U734" s="736"/>
    </row>
    <row r="735">
      <c r="A735" s="736"/>
      <c r="B735" s="736"/>
      <c r="C735" s="747"/>
      <c r="D735" s="746"/>
      <c r="E735" s="747"/>
      <c r="F735" s="746"/>
      <c r="G735" s="746"/>
      <c r="H735" s="736"/>
      <c r="I735" s="736"/>
      <c r="J735" s="736"/>
      <c r="K735" s="736"/>
      <c r="L735" s="736"/>
      <c r="M735" s="736"/>
      <c r="N735" s="736"/>
      <c r="O735" s="736"/>
      <c r="P735" s="736"/>
      <c r="Q735" s="736"/>
      <c r="R735" s="736"/>
      <c r="S735" s="736"/>
      <c r="T735" s="736"/>
      <c r="U735" s="736"/>
    </row>
    <row r="736">
      <c r="A736" s="736"/>
      <c r="B736" s="736"/>
      <c r="C736" s="747"/>
      <c r="D736" s="746"/>
      <c r="E736" s="747"/>
      <c r="F736" s="746"/>
      <c r="G736" s="746"/>
      <c r="H736" s="736"/>
      <c r="I736" s="736"/>
      <c r="J736" s="736"/>
      <c r="K736" s="736"/>
      <c r="L736" s="736"/>
      <c r="M736" s="736"/>
      <c r="N736" s="736"/>
      <c r="O736" s="736"/>
      <c r="P736" s="736"/>
      <c r="Q736" s="736"/>
      <c r="R736" s="736"/>
      <c r="S736" s="736"/>
      <c r="T736" s="736"/>
      <c r="U736" s="736"/>
    </row>
    <row r="737">
      <c r="A737" s="736"/>
      <c r="B737" s="736"/>
      <c r="C737" s="747"/>
      <c r="D737" s="746"/>
      <c r="E737" s="747"/>
      <c r="F737" s="746"/>
      <c r="G737" s="746"/>
      <c r="H737" s="736"/>
      <c r="I737" s="736"/>
      <c r="J737" s="736"/>
      <c r="K737" s="736"/>
      <c r="L737" s="736"/>
      <c r="M737" s="736"/>
      <c r="N737" s="736"/>
      <c r="O737" s="736"/>
      <c r="P737" s="736"/>
      <c r="Q737" s="736"/>
      <c r="R737" s="736"/>
      <c r="S737" s="736"/>
      <c r="T737" s="736"/>
      <c r="U737" s="736"/>
    </row>
    <row r="738">
      <c r="A738" s="736"/>
      <c r="B738" s="736"/>
      <c r="C738" s="747"/>
      <c r="D738" s="746"/>
      <c r="E738" s="747"/>
      <c r="F738" s="746"/>
      <c r="G738" s="746"/>
      <c r="H738" s="736"/>
      <c r="I738" s="736"/>
      <c r="J738" s="736"/>
      <c r="K738" s="736"/>
      <c r="L738" s="736"/>
      <c r="M738" s="736"/>
      <c r="N738" s="736"/>
      <c r="O738" s="736"/>
      <c r="P738" s="736"/>
      <c r="Q738" s="736"/>
      <c r="R738" s="736"/>
      <c r="S738" s="736"/>
      <c r="T738" s="736"/>
      <c r="U738" s="736"/>
    </row>
    <row r="739">
      <c r="A739" s="736"/>
      <c r="B739" s="736"/>
      <c r="C739" s="747"/>
      <c r="D739" s="746"/>
      <c r="E739" s="747"/>
      <c r="F739" s="746"/>
      <c r="G739" s="746"/>
      <c r="H739" s="736"/>
      <c r="I739" s="736"/>
      <c r="J739" s="736"/>
      <c r="K739" s="736"/>
      <c r="L739" s="736"/>
      <c r="M739" s="736"/>
      <c r="N739" s="736"/>
      <c r="O739" s="736"/>
      <c r="P739" s="736"/>
      <c r="Q739" s="736"/>
      <c r="R739" s="736"/>
      <c r="S739" s="736"/>
      <c r="T739" s="736"/>
      <c r="U739" s="736"/>
    </row>
    <row r="740">
      <c r="A740" s="736"/>
      <c r="B740" s="736"/>
      <c r="C740" s="747"/>
      <c r="D740" s="746"/>
      <c r="E740" s="747"/>
      <c r="F740" s="746"/>
      <c r="G740" s="746"/>
      <c r="H740" s="736"/>
      <c r="I740" s="736"/>
      <c r="J740" s="736"/>
      <c r="K740" s="736"/>
      <c r="L740" s="736"/>
      <c r="M740" s="736"/>
      <c r="N740" s="736"/>
      <c r="O740" s="736"/>
      <c r="P740" s="736"/>
      <c r="Q740" s="736"/>
      <c r="R740" s="736"/>
      <c r="S740" s="736"/>
      <c r="T740" s="736"/>
      <c r="U740" s="736"/>
    </row>
    <row r="741">
      <c r="A741" s="736"/>
      <c r="B741" s="736"/>
      <c r="C741" s="747"/>
      <c r="D741" s="746"/>
      <c r="E741" s="747"/>
      <c r="F741" s="746"/>
      <c r="G741" s="746"/>
      <c r="H741" s="736"/>
      <c r="I741" s="736"/>
      <c r="J741" s="736"/>
      <c r="K741" s="736"/>
      <c r="L741" s="736"/>
      <c r="M741" s="736"/>
      <c r="N741" s="736"/>
      <c r="O741" s="736"/>
      <c r="P741" s="736"/>
      <c r="Q741" s="736"/>
      <c r="R741" s="736"/>
      <c r="S741" s="736"/>
      <c r="T741" s="736"/>
      <c r="U741" s="736"/>
    </row>
    <row r="742">
      <c r="A742" s="736"/>
      <c r="B742" s="736"/>
      <c r="C742" s="747"/>
      <c r="D742" s="746"/>
      <c r="E742" s="747"/>
      <c r="F742" s="746"/>
      <c r="G742" s="746"/>
      <c r="H742" s="736"/>
      <c r="I742" s="736"/>
      <c r="J742" s="736"/>
      <c r="K742" s="736"/>
      <c r="L742" s="736"/>
      <c r="M742" s="736"/>
      <c r="N742" s="736"/>
      <c r="O742" s="736"/>
      <c r="P742" s="736"/>
      <c r="Q742" s="736"/>
      <c r="R742" s="736"/>
      <c r="S742" s="736"/>
      <c r="T742" s="736"/>
      <c r="U742" s="736"/>
    </row>
    <row r="743">
      <c r="A743" s="736"/>
      <c r="B743" s="736"/>
      <c r="C743" s="747"/>
      <c r="D743" s="746"/>
      <c r="E743" s="747"/>
      <c r="F743" s="746"/>
      <c r="G743" s="746"/>
      <c r="H743" s="736"/>
      <c r="I743" s="736"/>
      <c r="J743" s="736"/>
      <c r="K743" s="736"/>
      <c r="L743" s="736"/>
      <c r="M743" s="736"/>
      <c r="N743" s="736"/>
      <c r="O743" s="736"/>
      <c r="P743" s="736"/>
      <c r="Q743" s="736"/>
      <c r="R743" s="736"/>
      <c r="S743" s="736"/>
      <c r="T743" s="736"/>
      <c r="U743" s="736"/>
    </row>
    <row r="744">
      <c r="A744" s="736"/>
      <c r="B744" s="736"/>
      <c r="C744" s="747"/>
      <c r="D744" s="746"/>
      <c r="E744" s="747"/>
      <c r="F744" s="746"/>
      <c r="G744" s="746"/>
      <c r="H744" s="736"/>
      <c r="I744" s="736"/>
      <c r="J744" s="736"/>
      <c r="K744" s="736"/>
      <c r="L744" s="736"/>
      <c r="M744" s="736"/>
      <c r="N744" s="736"/>
      <c r="O744" s="736"/>
      <c r="P744" s="736"/>
      <c r="Q744" s="736"/>
      <c r="R744" s="736"/>
      <c r="S744" s="736"/>
      <c r="T744" s="736"/>
      <c r="U744" s="736"/>
    </row>
    <row r="745">
      <c r="A745" s="736"/>
      <c r="B745" s="736"/>
      <c r="C745" s="747"/>
      <c r="D745" s="746"/>
      <c r="E745" s="747"/>
      <c r="F745" s="746"/>
      <c r="G745" s="746"/>
      <c r="H745" s="736"/>
      <c r="I745" s="736"/>
      <c r="J745" s="736"/>
      <c r="K745" s="736"/>
      <c r="L745" s="736"/>
      <c r="M745" s="736"/>
      <c r="N745" s="736"/>
      <c r="O745" s="736"/>
      <c r="P745" s="736"/>
      <c r="Q745" s="736"/>
      <c r="R745" s="736"/>
      <c r="S745" s="736"/>
      <c r="T745" s="736"/>
      <c r="U745" s="736"/>
    </row>
    <row r="746">
      <c r="A746" s="736"/>
      <c r="B746" s="736"/>
      <c r="C746" s="747"/>
      <c r="D746" s="746"/>
      <c r="E746" s="747"/>
      <c r="F746" s="746"/>
      <c r="G746" s="746"/>
      <c r="H746" s="736"/>
      <c r="I746" s="736"/>
      <c r="J746" s="736"/>
      <c r="K746" s="736"/>
      <c r="L746" s="736"/>
      <c r="M746" s="736"/>
      <c r="N746" s="736"/>
      <c r="O746" s="736"/>
      <c r="P746" s="736"/>
      <c r="Q746" s="736"/>
      <c r="R746" s="736"/>
      <c r="S746" s="736"/>
      <c r="T746" s="736"/>
      <c r="U746" s="736"/>
    </row>
    <row r="747">
      <c r="A747" s="736"/>
      <c r="B747" s="736"/>
      <c r="C747" s="747"/>
      <c r="D747" s="746"/>
      <c r="E747" s="747"/>
      <c r="F747" s="746"/>
      <c r="G747" s="746"/>
      <c r="H747" s="736"/>
      <c r="I747" s="736"/>
      <c r="J747" s="736"/>
      <c r="K747" s="736"/>
      <c r="L747" s="736"/>
      <c r="M747" s="736"/>
      <c r="N747" s="736"/>
      <c r="O747" s="736"/>
      <c r="P747" s="736"/>
      <c r="Q747" s="736"/>
      <c r="R747" s="736"/>
      <c r="S747" s="736"/>
      <c r="T747" s="736"/>
      <c r="U747" s="736"/>
    </row>
    <row r="748">
      <c r="A748" s="736"/>
      <c r="B748" s="736"/>
      <c r="C748" s="747"/>
      <c r="D748" s="746"/>
      <c r="E748" s="747"/>
      <c r="F748" s="746"/>
      <c r="G748" s="746"/>
      <c r="H748" s="736"/>
      <c r="I748" s="736"/>
      <c r="J748" s="736"/>
      <c r="K748" s="736"/>
      <c r="L748" s="736"/>
      <c r="M748" s="736"/>
      <c r="N748" s="736"/>
      <c r="O748" s="736"/>
      <c r="P748" s="736"/>
      <c r="Q748" s="736"/>
      <c r="R748" s="736"/>
      <c r="S748" s="736"/>
      <c r="T748" s="736"/>
      <c r="U748" s="736"/>
    </row>
    <row r="749">
      <c r="A749" s="736"/>
      <c r="B749" s="736"/>
      <c r="C749" s="747"/>
      <c r="D749" s="746"/>
      <c r="E749" s="747"/>
      <c r="F749" s="746"/>
      <c r="G749" s="746"/>
      <c r="H749" s="736"/>
      <c r="I749" s="736"/>
      <c r="J749" s="736"/>
      <c r="K749" s="736"/>
      <c r="L749" s="736"/>
      <c r="M749" s="736"/>
      <c r="N749" s="736"/>
      <c r="O749" s="736"/>
      <c r="P749" s="736"/>
      <c r="Q749" s="736"/>
      <c r="R749" s="736"/>
      <c r="S749" s="736"/>
      <c r="T749" s="736"/>
      <c r="U749" s="736"/>
    </row>
    <row r="750">
      <c r="A750" s="736"/>
      <c r="B750" s="736"/>
      <c r="C750" s="747"/>
      <c r="D750" s="746"/>
      <c r="E750" s="747"/>
      <c r="F750" s="746"/>
      <c r="G750" s="746"/>
      <c r="H750" s="736"/>
      <c r="I750" s="736"/>
      <c r="J750" s="736"/>
      <c r="K750" s="736"/>
      <c r="L750" s="736"/>
      <c r="M750" s="736"/>
      <c r="N750" s="736"/>
      <c r="O750" s="736"/>
      <c r="P750" s="736"/>
      <c r="Q750" s="736"/>
      <c r="R750" s="736"/>
      <c r="S750" s="736"/>
      <c r="T750" s="736"/>
      <c r="U750" s="736"/>
    </row>
    <row r="751">
      <c r="A751" s="736"/>
      <c r="B751" s="736"/>
      <c r="C751" s="747"/>
      <c r="D751" s="746"/>
      <c r="E751" s="747"/>
      <c r="F751" s="746"/>
      <c r="G751" s="746"/>
      <c r="H751" s="736"/>
      <c r="I751" s="736"/>
      <c r="J751" s="736"/>
      <c r="K751" s="736"/>
      <c r="L751" s="736"/>
      <c r="M751" s="736"/>
      <c r="N751" s="736"/>
      <c r="O751" s="736"/>
      <c r="P751" s="736"/>
      <c r="Q751" s="736"/>
      <c r="R751" s="736"/>
      <c r="S751" s="736"/>
      <c r="T751" s="736"/>
      <c r="U751" s="736"/>
    </row>
    <row r="752">
      <c r="A752" s="736"/>
      <c r="B752" s="736"/>
      <c r="C752" s="747"/>
      <c r="D752" s="746"/>
      <c r="E752" s="747"/>
      <c r="F752" s="746"/>
      <c r="G752" s="746"/>
      <c r="H752" s="736"/>
      <c r="I752" s="736"/>
      <c r="J752" s="736"/>
      <c r="K752" s="736"/>
      <c r="L752" s="736"/>
      <c r="M752" s="736"/>
      <c r="N752" s="736"/>
      <c r="O752" s="736"/>
      <c r="P752" s="736"/>
      <c r="Q752" s="736"/>
      <c r="R752" s="736"/>
      <c r="S752" s="736"/>
      <c r="T752" s="736"/>
      <c r="U752" s="736"/>
    </row>
    <row r="753">
      <c r="A753" s="736"/>
      <c r="B753" s="736"/>
      <c r="C753" s="747"/>
      <c r="D753" s="746"/>
      <c r="E753" s="747"/>
      <c r="F753" s="746"/>
      <c r="G753" s="746"/>
      <c r="H753" s="736"/>
      <c r="I753" s="736"/>
      <c r="J753" s="736"/>
      <c r="K753" s="736"/>
      <c r="L753" s="736"/>
      <c r="M753" s="736"/>
      <c r="N753" s="736"/>
      <c r="O753" s="736"/>
      <c r="P753" s="736"/>
      <c r="Q753" s="736"/>
      <c r="R753" s="736"/>
      <c r="S753" s="736"/>
      <c r="T753" s="736"/>
      <c r="U753" s="736"/>
    </row>
    <row r="754">
      <c r="A754" s="736"/>
      <c r="B754" s="736"/>
      <c r="C754" s="747"/>
      <c r="D754" s="746"/>
      <c r="E754" s="747"/>
      <c r="F754" s="746"/>
      <c r="G754" s="746"/>
      <c r="H754" s="736"/>
      <c r="I754" s="736"/>
      <c r="J754" s="736"/>
      <c r="K754" s="736"/>
      <c r="L754" s="736"/>
      <c r="M754" s="736"/>
      <c r="N754" s="736"/>
      <c r="O754" s="736"/>
      <c r="P754" s="736"/>
      <c r="Q754" s="736"/>
      <c r="R754" s="736"/>
      <c r="S754" s="736"/>
      <c r="T754" s="736"/>
      <c r="U754" s="736"/>
    </row>
    <row r="755">
      <c r="A755" s="736"/>
      <c r="B755" s="736"/>
      <c r="C755" s="747"/>
      <c r="D755" s="746"/>
      <c r="E755" s="747"/>
      <c r="F755" s="746"/>
      <c r="G755" s="746"/>
      <c r="H755" s="736"/>
      <c r="I755" s="736"/>
      <c r="J755" s="736"/>
      <c r="K755" s="736"/>
      <c r="L755" s="736"/>
      <c r="M755" s="736"/>
      <c r="N755" s="736"/>
      <c r="O755" s="736"/>
      <c r="P755" s="736"/>
      <c r="Q755" s="736"/>
      <c r="R755" s="736"/>
      <c r="S755" s="736"/>
      <c r="T755" s="736"/>
      <c r="U755" s="736"/>
    </row>
    <row r="756">
      <c r="A756" s="736"/>
      <c r="B756" s="736"/>
      <c r="C756" s="747"/>
      <c r="D756" s="746"/>
      <c r="E756" s="747"/>
      <c r="F756" s="746"/>
      <c r="G756" s="746"/>
      <c r="H756" s="736"/>
      <c r="I756" s="736"/>
      <c r="J756" s="736"/>
      <c r="K756" s="736"/>
      <c r="L756" s="736"/>
      <c r="M756" s="736"/>
      <c r="N756" s="736"/>
      <c r="O756" s="736"/>
      <c r="P756" s="736"/>
      <c r="Q756" s="736"/>
      <c r="R756" s="736"/>
      <c r="S756" s="736"/>
      <c r="T756" s="736"/>
      <c r="U756" s="736"/>
    </row>
    <row r="757">
      <c r="A757" s="736"/>
      <c r="B757" s="736"/>
      <c r="C757" s="747"/>
      <c r="D757" s="746"/>
      <c r="E757" s="747"/>
      <c r="F757" s="746"/>
      <c r="G757" s="746"/>
      <c r="H757" s="736"/>
      <c r="I757" s="736"/>
      <c r="J757" s="736"/>
      <c r="K757" s="736"/>
      <c r="L757" s="736"/>
      <c r="M757" s="736"/>
      <c r="N757" s="736"/>
      <c r="O757" s="736"/>
      <c r="P757" s="736"/>
      <c r="Q757" s="736"/>
      <c r="R757" s="736"/>
      <c r="S757" s="736"/>
      <c r="T757" s="736"/>
      <c r="U757" s="736"/>
    </row>
    <row r="758">
      <c r="A758" s="736"/>
      <c r="B758" s="736"/>
      <c r="C758" s="747"/>
      <c r="D758" s="746"/>
      <c r="E758" s="747"/>
      <c r="F758" s="746"/>
      <c r="G758" s="746"/>
      <c r="H758" s="736"/>
      <c r="I758" s="736"/>
      <c r="J758" s="736"/>
      <c r="K758" s="736"/>
      <c r="L758" s="736"/>
      <c r="M758" s="736"/>
      <c r="N758" s="736"/>
      <c r="O758" s="736"/>
      <c r="P758" s="736"/>
      <c r="Q758" s="736"/>
      <c r="R758" s="736"/>
      <c r="S758" s="736"/>
      <c r="T758" s="736"/>
      <c r="U758" s="736"/>
    </row>
    <row r="759">
      <c r="A759" s="736"/>
      <c r="B759" s="736"/>
      <c r="C759" s="747"/>
      <c r="D759" s="746"/>
      <c r="E759" s="747"/>
      <c r="F759" s="746"/>
      <c r="G759" s="746"/>
      <c r="H759" s="736"/>
      <c r="I759" s="736"/>
      <c r="J759" s="736"/>
      <c r="K759" s="736"/>
      <c r="L759" s="736"/>
      <c r="M759" s="736"/>
      <c r="N759" s="736"/>
      <c r="O759" s="736"/>
      <c r="P759" s="736"/>
      <c r="Q759" s="736"/>
      <c r="R759" s="736"/>
      <c r="S759" s="736"/>
      <c r="T759" s="736"/>
      <c r="U759" s="736"/>
    </row>
    <row r="760">
      <c r="A760" s="736"/>
      <c r="B760" s="736"/>
      <c r="C760" s="747"/>
      <c r="D760" s="746"/>
      <c r="E760" s="747"/>
      <c r="F760" s="746"/>
      <c r="G760" s="746"/>
      <c r="H760" s="736"/>
      <c r="I760" s="736"/>
      <c r="J760" s="736"/>
      <c r="K760" s="736"/>
      <c r="L760" s="736"/>
      <c r="M760" s="736"/>
      <c r="N760" s="736"/>
      <c r="O760" s="736"/>
      <c r="P760" s="736"/>
      <c r="Q760" s="736"/>
      <c r="R760" s="736"/>
      <c r="S760" s="736"/>
      <c r="T760" s="736"/>
      <c r="U760" s="736"/>
    </row>
    <row r="761">
      <c r="A761" s="736"/>
      <c r="B761" s="736"/>
      <c r="C761" s="747"/>
      <c r="D761" s="746"/>
      <c r="E761" s="747"/>
      <c r="F761" s="746"/>
      <c r="G761" s="746"/>
      <c r="H761" s="736"/>
      <c r="I761" s="736"/>
      <c r="J761" s="736"/>
      <c r="K761" s="736"/>
      <c r="L761" s="736"/>
      <c r="M761" s="736"/>
      <c r="N761" s="736"/>
      <c r="O761" s="736"/>
      <c r="P761" s="736"/>
      <c r="Q761" s="736"/>
      <c r="R761" s="736"/>
      <c r="S761" s="736"/>
      <c r="T761" s="736"/>
      <c r="U761" s="736"/>
    </row>
    <row r="762">
      <c r="A762" s="736"/>
      <c r="B762" s="736"/>
      <c r="C762" s="747"/>
      <c r="D762" s="746"/>
      <c r="E762" s="747"/>
      <c r="F762" s="746"/>
      <c r="G762" s="746"/>
      <c r="H762" s="736"/>
      <c r="I762" s="736"/>
      <c r="J762" s="736"/>
      <c r="K762" s="736"/>
      <c r="L762" s="736"/>
      <c r="M762" s="736"/>
      <c r="N762" s="736"/>
      <c r="O762" s="736"/>
      <c r="P762" s="736"/>
      <c r="Q762" s="736"/>
      <c r="R762" s="736"/>
      <c r="S762" s="736"/>
      <c r="T762" s="736"/>
      <c r="U762" s="736"/>
    </row>
    <row r="763">
      <c r="A763" s="736"/>
      <c r="B763" s="736"/>
      <c r="C763" s="747"/>
      <c r="D763" s="746"/>
      <c r="E763" s="747"/>
      <c r="F763" s="746"/>
      <c r="G763" s="746"/>
      <c r="H763" s="736"/>
      <c r="I763" s="736"/>
      <c r="J763" s="736"/>
      <c r="K763" s="736"/>
      <c r="L763" s="736"/>
      <c r="M763" s="736"/>
      <c r="N763" s="736"/>
      <c r="O763" s="736"/>
      <c r="P763" s="736"/>
      <c r="Q763" s="736"/>
      <c r="R763" s="736"/>
      <c r="S763" s="736"/>
      <c r="T763" s="736"/>
      <c r="U763" s="736"/>
    </row>
    <row r="764">
      <c r="A764" s="736"/>
      <c r="B764" s="736"/>
      <c r="C764" s="747"/>
      <c r="D764" s="746"/>
      <c r="E764" s="747"/>
      <c r="F764" s="746"/>
      <c r="G764" s="746"/>
      <c r="H764" s="736"/>
      <c r="I764" s="736"/>
      <c r="J764" s="736"/>
      <c r="K764" s="736"/>
      <c r="L764" s="736"/>
      <c r="M764" s="736"/>
      <c r="N764" s="736"/>
      <c r="O764" s="736"/>
      <c r="P764" s="736"/>
      <c r="Q764" s="736"/>
      <c r="R764" s="736"/>
      <c r="S764" s="736"/>
      <c r="T764" s="736"/>
      <c r="U764" s="736"/>
    </row>
    <row r="765">
      <c r="A765" s="736"/>
      <c r="B765" s="736"/>
      <c r="C765" s="747"/>
      <c r="D765" s="746"/>
      <c r="E765" s="747"/>
      <c r="F765" s="746"/>
      <c r="G765" s="746"/>
      <c r="H765" s="736"/>
      <c r="I765" s="736"/>
      <c r="J765" s="736"/>
      <c r="K765" s="736"/>
      <c r="L765" s="736"/>
      <c r="M765" s="736"/>
      <c r="N765" s="736"/>
      <c r="O765" s="736"/>
      <c r="P765" s="736"/>
      <c r="Q765" s="736"/>
      <c r="R765" s="736"/>
      <c r="S765" s="736"/>
      <c r="T765" s="736"/>
      <c r="U765" s="736"/>
    </row>
    <row r="766">
      <c r="A766" s="736"/>
      <c r="B766" s="736"/>
      <c r="C766" s="747"/>
      <c r="D766" s="746"/>
      <c r="E766" s="747"/>
      <c r="F766" s="746"/>
      <c r="G766" s="746"/>
      <c r="H766" s="736"/>
      <c r="I766" s="736"/>
      <c r="J766" s="736"/>
      <c r="K766" s="736"/>
      <c r="L766" s="736"/>
      <c r="M766" s="736"/>
      <c r="N766" s="736"/>
      <c r="O766" s="736"/>
      <c r="P766" s="736"/>
      <c r="Q766" s="736"/>
      <c r="R766" s="736"/>
      <c r="S766" s="736"/>
      <c r="T766" s="736"/>
      <c r="U766" s="736"/>
    </row>
    <row r="767">
      <c r="A767" s="736"/>
      <c r="B767" s="736"/>
      <c r="C767" s="747"/>
      <c r="D767" s="746"/>
      <c r="E767" s="747"/>
      <c r="F767" s="746"/>
      <c r="G767" s="746"/>
      <c r="H767" s="736"/>
      <c r="I767" s="736"/>
      <c r="J767" s="736"/>
      <c r="K767" s="736"/>
      <c r="L767" s="736"/>
      <c r="M767" s="736"/>
      <c r="N767" s="736"/>
      <c r="O767" s="736"/>
      <c r="P767" s="736"/>
      <c r="Q767" s="736"/>
      <c r="R767" s="736"/>
      <c r="S767" s="736"/>
      <c r="T767" s="736"/>
      <c r="U767" s="736"/>
    </row>
    <row r="768">
      <c r="A768" s="736"/>
      <c r="B768" s="736"/>
      <c r="C768" s="747"/>
      <c r="D768" s="746"/>
      <c r="E768" s="747"/>
      <c r="F768" s="746"/>
      <c r="G768" s="746"/>
      <c r="H768" s="736"/>
      <c r="I768" s="736"/>
      <c r="J768" s="736"/>
      <c r="K768" s="736"/>
      <c r="L768" s="736"/>
      <c r="M768" s="736"/>
      <c r="N768" s="736"/>
      <c r="O768" s="736"/>
      <c r="P768" s="736"/>
      <c r="Q768" s="736"/>
      <c r="R768" s="736"/>
      <c r="S768" s="736"/>
      <c r="T768" s="736"/>
      <c r="U768" s="736"/>
    </row>
    <row r="769">
      <c r="A769" s="736"/>
      <c r="B769" s="736"/>
      <c r="C769" s="747"/>
      <c r="D769" s="746"/>
      <c r="E769" s="747"/>
      <c r="F769" s="746"/>
      <c r="G769" s="746"/>
      <c r="H769" s="736"/>
      <c r="I769" s="736"/>
      <c r="J769" s="736"/>
      <c r="K769" s="736"/>
      <c r="L769" s="736"/>
      <c r="M769" s="736"/>
      <c r="N769" s="736"/>
      <c r="O769" s="736"/>
      <c r="P769" s="736"/>
      <c r="Q769" s="736"/>
      <c r="R769" s="736"/>
      <c r="S769" s="736"/>
      <c r="T769" s="736"/>
      <c r="U769" s="736"/>
    </row>
    <row r="770">
      <c r="A770" s="736"/>
      <c r="B770" s="736"/>
      <c r="C770" s="747"/>
      <c r="D770" s="746"/>
      <c r="E770" s="747"/>
      <c r="F770" s="746"/>
      <c r="G770" s="746"/>
      <c r="H770" s="736"/>
      <c r="I770" s="736"/>
      <c r="J770" s="736"/>
      <c r="K770" s="736"/>
      <c r="L770" s="736"/>
      <c r="M770" s="736"/>
      <c r="N770" s="736"/>
      <c r="O770" s="736"/>
      <c r="P770" s="736"/>
      <c r="Q770" s="736"/>
      <c r="R770" s="736"/>
      <c r="S770" s="736"/>
      <c r="T770" s="736"/>
      <c r="U770" s="736"/>
    </row>
    <row r="771">
      <c r="A771" s="736"/>
      <c r="B771" s="736"/>
      <c r="C771" s="747"/>
      <c r="D771" s="746"/>
      <c r="E771" s="747"/>
      <c r="F771" s="746"/>
      <c r="G771" s="746"/>
      <c r="H771" s="736"/>
      <c r="I771" s="736"/>
      <c r="J771" s="736"/>
      <c r="K771" s="736"/>
      <c r="L771" s="736"/>
      <c r="M771" s="736"/>
      <c r="N771" s="736"/>
      <c r="O771" s="736"/>
      <c r="P771" s="736"/>
      <c r="Q771" s="736"/>
      <c r="R771" s="736"/>
      <c r="S771" s="736"/>
      <c r="T771" s="736"/>
      <c r="U771" s="736"/>
    </row>
    <row r="772">
      <c r="A772" s="736"/>
      <c r="B772" s="736"/>
      <c r="C772" s="747"/>
      <c r="D772" s="746"/>
      <c r="E772" s="747"/>
      <c r="F772" s="746"/>
      <c r="G772" s="746"/>
      <c r="H772" s="736"/>
      <c r="I772" s="736"/>
      <c r="J772" s="736"/>
      <c r="K772" s="736"/>
      <c r="L772" s="736"/>
      <c r="M772" s="736"/>
      <c r="N772" s="736"/>
      <c r="O772" s="736"/>
      <c r="P772" s="736"/>
      <c r="Q772" s="736"/>
      <c r="R772" s="736"/>
      <c r="S772" s="736"/>
      <c r="T772" s="736"/>
      <c r="U772" s="736"/>
    </row>
    <row r="773">
      <c r="A773" s="736"/>
      <c r="B773" s="736"/>
      <c r="C773" s="747"/>
      <c r="D773" s="746"/>
      <c r="E773" s="747"/>
      <c r="F773" s="746"/>
      <c r="G773" s="746"/>
      <c r="H773" s="736"/>
      <c r="I773" s="736"/>
      <c r="J773" s="736"/>
      <c r="K773" s="736"/>
      <c r="L773" s="736"/>
      <c r="M773" s="736"/>
      <c r="N773" s="736"/>
      <c r="O773" s="736"/>
      <c r="P773" s="736"/>
      <c r="Q773" s="736"/>
      <c r="R773" s="736"/>
      <c r="S773" s="736"/>
      <c r="T773" s="736"/>
      <c r="U773" s="736"/>
    </row>
    <row r="774">
      <c r="A774" s="736"/>
      <c r="B774" s="736"/>
      <c r="C774" s="747"/>
      <c r="D774" s="746"/>
      <c r="E774" s="747"/>
      <c r="F774" s="746"/>
      <c r="G774" s="746"/>
      <c r="H774" s="736"/>
      <c r="I774" s="736"/>
      <c r="J774" s="736"/>
      <c r="K774" s="736"/>
      <c r="L774" s="736"/>
      <c r="M774" s="736"/>
      <c r="N774" s="736"/>
      <c r="O774" s="736"/>
      <c r="P774" s="736"/>
      <c r="Q774" s="736"/>
      <c r="R774" s="736"/>
      <c r="S774" s="736"/>
      <c r="T774" s="736"/>
      <c r="U774" s="736"/>
    </row>
    <row r="775">
      <c r="A775" s="736"/>
      <c r="B775" s="736"/>
      <c r="C775" s="747"/>
      <c r="D775" s="746"/>
      <c r="E775" s="747"/>
      <c r="F775" s="746"/>
      <c r="G775" s="746"/>
      <c r="H775" s="736"/>
      <c r="I775" s="736"/>
      <c r="J775" s="736"/>
      <c r="K775" s="736"/>
      <c r="L775" s="736"/>
      <c r="M775" s="736"/>
      <c r="N775" s="736"/>
      <c r="O775" s="736"/>
      <c r="P775" s="736"/>
      <c r="Q775" s="736"/>
      <c r="R775" s="736"/>
      <c r="S775" s="736"/>
      <c r="T775" s="736"/>
      <c r="U775" s="736"/>
    </row>
    <row r="776">
      <c r="A776" s="736"/>
      <c r="B776" s="736"/>
      <c r="C776" s="747"/>
      <c r="D776" s="746"/>
      <c r="E776" s="747"/>
      <c r="F776" s="746"/>
      <c r="G776" s="746"/>
      <c r="H776" s="736"/>
      <c r="I776" s="736"/>
      <c r="J776" s="736"/>
      <c r="K776" s="736"/>
      <c r="L776" s="736"/>
      <c r="M776" s="736"/>
      <c r="N776" s="736"/>
      <c r="O776" s="736"/>
      <c r="P776" s="736"/>
      <c r="Q776" s="736"/>
      <c r="R776" s="736"/>
      <c r="S776" s="736"/>
      <c r="T776" s="736"/>
      <c r="U776" s="736"/>
    </row>
    <row r="777">
      <c r="A777" s="736"/>
      <c r="B777" s="736"/>
      <c r="C777" s="747"/>
      <c r="D777" s="746"/>
      <c r="E777" s="747"/>
      <c r="F777" s="746"/>
      <c r="G777" s="746"/>
      <c r="H777" s="736"/>
      <c r="I777" s="736"/>
      <c r="J777" s="736"/>
      <c r="K777" s="736"/>
      <c r="L777" s="736"/>
      <c r="M777" s="736"/>
      <c r="N777" s="736"/>
      <c r="O777" s="736"/>
      <c r="P777" s="736"/>
      <c r="Q777" s="736"/>
      <c r="R777" s="736"/>
      <c r="S777" s="736"/>
      <c r="T777" s="736"/>
      <c r="U777" s="736"/>
    </row>
    <row r="778">
      <c r="A778" s="736"/>
      <c r="B778" s="736"/>
      <c r="C778" s="747"/>
      <c r="D778" s="746"/>
      <c r="E778" s="747"/>
      <c r="F778" s="746"/>
      <c r="G778" s="746"/>
      <c r="H778" s="736"/>
      <c r="I778" s="736"/>
      <c r="J778" s="736"/>
      <c r="K778" s="736"/>
      <c r="L778" s="736"/>
      <c r="M778" s="736"/>
      <c r="N778" s="736"/>
      <c r="O778" s="736"/>
      <c r="P778" s="736"/>
      <c r="Q778" s="736"/>
      <c r="R778" s="736"/>
      <c r="S778" s="736"/>
      <c r="T778" s="736"/>
      <c r="U778" s="736"/>
    </row>
    <row r="779">
      <c r="A779" s="736"/>
      <c r="B779" s="736"/>
      <c r="C779" s="747"/>
      <c r="D779" s="746"/>
      <c r="E779" s="747"/>
      <c r="F779" s="746"/>
      <c r="G779" s="746"/>
      <c r="H779" s="736"/>
      <c r="I779" s="736"/>
      <c r="J779" s="736"/>
      <c r="K779" s="736"/>
      <c r="L779" s="736"/>
      <c r="M779" s="736"/>
      <c r="N779" s="736"/>
      <c r="O779" s="736"/>
      <c r="P779" s="736"/>
      <c r="Q779" s="736"/>
      <c r="R779" s="736"/>
      <c r="S779" s="736"/>
      <c r="T779" s="736"/>
      <c r="U779" s="736"/>
    </row>
    <row r="780">
      <c r="A780" s="736"/>
      <c r="B780" s="736"/>
      <c r="C780" s="747"/>
      <c r="D780" s="746"/>
      <c r="E780" s="747"/>
      <c r="F780" s="746"/>
      <c r="G780" s="746"/>
      <c r="H780" s="736"/>
      <c r="I780" s="736"/>
      <c r="J780" s="736"/>
      <c r="K780" s="736"/>
      <c r="L780" s="736"/>
      <c r="M780" s="736"/>
      <c r="N780" s="736"/>
      <c r="O780" s="736"/>
      <c r="P780" s="736"/>
      <c r="Q780" s="736"/>
      <c r="R780" s="736"/>
      <c r="S780" s="736"/>
      <c r="T780" s="736"/>
      <c r="U780" s="736"/>
    </row>
    <row r="781">
      <c r="A781" s="736"/>
      <c r="B781" s="736"/>
      <c r="C781" s="747"/>
      <c r="D781" s="746"/>
      <c r="E781" s="747"/>
      <c r="F781" s="746"/>
      <c r="G781" s="746"/>
      <c r="H781" s="736"/>
      <c r="I781" s="736"/>
      <c r="J781" s="736"/>
      <c r="K781" s="736"/>
      <c r="L781" s="736"/>
      <c r="M781" s="736"/>
      <c r="N781" s="736"/>
      <c r="O781" s="736"/>
      <c r="P781" s="736"/>
      <c r="Q781" s="736"/>
      <c r="R781" s="736"/>
      <c r="S781" s="736"/>
      <c r="T781" s="736"/>
      <c r="U781" s="736"/>
    </row>
    <row r="782">
      <c r="A782" s="736"/>
      <c r="B782" s="736"/>
      <c r="C782" s="747"/>
      <c r="D782" s="746"/>
      <c r="E782" s="747"/>
      <c r="F782" s="746"/>
      <c r="G782" s="746"/>
      <c r="H782" s="736"/>
      <c r="I782" s="736"/>
      <c r="J782" s="736"/>
      <c r="K782" s="736"/>
      <c r="L782" s="736"/>
      <c r="M782" s="736"/>
      <c r="N782" s="736"/>
      <c r="O782" s="736"/>
      <c r="P782" s="736"/>
      <c r="Q782" s="736"/>
      <c r="R782" s="736"/>
      <c r="S782" s="736"/>
      <c r="T782" s="736"/>
      <c r="U782" s="736"/>
    </row>
    <row r="783">
      <c r="A783" s="736"/>
      <c r="B783" s="736"/>
      <c r="C783" s="747"/>
      <c r="D783" s="746"/>
      <c r="E783" s="747"/>
      <c r="F783" s="746"/>
      <c r="G783" s="746"/>
      <c r="H783" s="736"/>
      <c r="I783" s="736"/>
      <c r="J783" s="736"/>
      <c r="K783" s="736"/>
      <c r="L783" s="736"/>
      <c r="M783" s="736"/>
      <c r="N783" s="736"/>
      <c r="O783" s="736"/>
      <c r="P783" s="736"/>
      <c r="Q783" s="736"/>
      <c r="R783" s="736"/>
      <c r="S783" s="736"/>
      <c r="T783" s="736"/>
      <c r="U783" s="736"/>
    </row>
    <row r="784">
      <c r="A784" s="736"/>
      <c r="B784" s="736"/>
      <c r="C784" s="747"/>
      <c r="D784" s="746"/>
      <c r="E784" s="747"/>
      <c r="F784" s="746"/>
      <c r="G784" s="746"/>
      <c r="H784" s="736"/>
      <c r="I784" s="736"/>
      <c r="J784" s="736"/>
      <c r="K784" s="736"/>
      <c r="L784" s="736"/>
      <c r="M784" s="736"/>
      <c r="N784" s="736"/>
      <c r="O784" s="736"/>
      <c r="P784" s="736"/>
      <c r="Q784" s="736"/>
      <c r="R784" s="736"/>
      <c r="S784" s="736"/>
      <c r="T784" s="736"/>
      <c r="U784" s="736"/>
    </row>
    <row r="785">
      <c r="A785" s="736"/>
      <c r="B785" s="736"/>
      <c r="C785" s="747"/>
      <c r="D785" s="746"/>
      <c r="E785" s="747"/>
      <c r="F785" s="746"/>
      <c r="G785" s="746"/>
      <c r="H785" s="736"/>
      <c r="I785" s="736"/>
      <c r="J785" s="736"/>
      <c r="K785" s="736"/>
      <c r="L785" s="736"/>
      <c r="M785" s="736"/>
      <c r="N785" s="736"/>
      <c r="O785" s="736"/>
      <c r="P785" s="736"/>
      <c r="Q785" s="736"/>
      <c r="R785" s="736"/>
      <c r="S785" s="736"/>
      <c r="T785" s="736"/>
      <c r="U785" s="736"/>
    </row>
    <row r="786">
      <c r="A786" s="736"/>
      <c r="B786" s="736"/>
      <c r="C786" s="747"/>
      <c r="D786" s="746"/>
      <c r="E786" s="747"/>
      <c r="F786" s="746"/>
      <c r="G786" s="746"/>
      <c r="H786" s="736"/>
      <c r="I786" s="736"/>
      <c r="J786" s="736"/>
      <c r="K786" s="736"/>
      <c r="L786" s="736"/>
      <c r="M786" s="736"/>
      <c r="N786" s="736"/>
      <c r="O786" s="736"/>
      <c r="P786" s="736"/>
      <c r="Q786" s="736"/>
      <c r="R786" s="736"/>
      <c r="S786" s="736"/>
      <c r="T786" s="736"/>
      <c r="U786" s="736"/>
    </row>
    <row r="787">
      <c r="A787" s="736"/>
      <c r="B787" s="736"/>
      <c r="C787" s="747"/>
      <c r="D787" s="746"/>
      <c r="E787" s="747"/>
      <c r="F787" s="746"/>
      <c r="G787" s="746"/>
      <c r="H787" s="736"/>
      <c r="I787" s="736"/>
      <c r="J787" s="736"/>
      <c r="K787" s="736"/>
      <c r="L787" s="736"/>
      <c r="M787" s="736"/>
      <c r="N787" s="736"/>
      <c r="O787" s="736"/>
      <c r="P787" s="736"/>
      <c r="Q787" s="736"/>
      <c r="R787" s="736"/>
      <c r="S787" s="736"/>
      <c r="T787" s="736"/>
      <c r="U787" s="736"/>
    </row>
    <row r="788">
      <c r="A788" s="736"/>
      <c r="B788" s="736"/>
      <c r="C788" s="747"/>
      <c r="D788" s="746"/>
      <c r="E788" s="747"/>
      <c r="F788" s="746"/>
      <c r="G788" s="746"/>
      <c r="H788" s="736"/>
      <c r="I788" s="736"/>
      <c r="J788" s="736"/>
      <c r="K788" s="736"/>
      <c r="L788" s="736"/>
      <c r="M788" s="736"/>
      <c r="N788" s="736"/>
      <c r="O788" s="736"/>
      <c r="P788" s="736"/>
      <c r="Q788" s="736"/>
      <c r="R788" s="736"/>
      <c r="S788" s="736"/>
      <c r="T788" s="736"/>
      <c r="U788" s="736"/>
    </row>
    <row r="789">
      <c r="A789" s="736"/>
      <c r="B789" s="736"/>
      <c r="C789" s="747"/>
      <c r="D789" s="746"/>
      <c r="E789" s="747"/>
      <c r="F789" s="746"/>
      <c r="G789" s="746"/>
      <c r="H789" s="736"/>
      <c r="I789" s="736"/>
      <c r="J789" s="736"/>
      <c r="K789" s="736"/>
      <c r="L789" s="736"/>
      <c r="M789" s="736"/>
      <c r="N789" s="736"/>
      <c r="O789" s="736"/>
      <c r="P789" s="736"/>
      <c r="Q789" s="736"/>
      <c r="R789" s="736"/>
      <c r="S789" s="736"/>
      <c r="T789" s="736"/>
      <c r="U789" s="736"/>
    </row>
    <row r="790">
      <c r="A790" s="736"/>
      <c r="B790" s="736"/>
      <c r="C790" s="747"/>
      <c r="D790" s="746"/>
      <c r="E790" s="747"/>
      <c r="F790" s="746"/>
      <c r="G790" s="746"/>
      <c r="H790" s="736"/>
      <c r="I790" s="736"/>
      <c r="J790" s="736"/>
      <c r="K790" s="736"/>
      <c r="L790" s="736"/>
      <c r="M790" s="736"/>
      <c r="N790" s="736"/>
      <c r="O790" s="736"/>
      <c r="P790" s="736"/>
      <c r="Q790" s="736"/>
      <c r="R790" s="736"/>
      <c r="S790" s="736"/>
      <c r="T790" s="736"/>
      <c r="U790" s="736"/>
    </row>
    <row r="791">
      <c r="A791" s="736"/>
      <c r="B791" s="736"/>
      <c r="C791" s="747"/>
      <c r="D791" s="746"/>
      <c r="E791" s="747"/>
      <c r="F791" s="746"/>
      <c r="G791" s="746"/>
      <c r="H791" s="736"/>
      <c r="I791" s="736"/>
      <c r="J791" s="736"/>
      <c r="K791" s="736"/>
      <c r="L791" s="736"/>
      <c r="M791" s="736"/>
      <c r="N791" s="736"/>
      <c r="O791" s="736"/>
      <c r="P791" s="736"/>
      <c r="Q791" s="736"/>
      <c r="R791" s="736"/>
      <c r="S791" s="736"/>
      <c r="T791" s="736"/>
      <c r="U791" s="736"/>
    </row>
    <row r="792">
      <c r="A792" s="736"/>
      <c r="B792" s="736"/>
      <c r="C792" s="747"/>
      <c r="D792" s="746"/>
      <c r="E792" s="747"/>
      <c r="F792" s="746"/>
      <c r="G792" s="746"/>
      <c r="H792" s="736"/>
      <c r="I792" s="736"/>
      <c r="J792" s="736"/>
      <c r="K792" s="736"/>
      <c r="L792" s="736"/>
      <c r="M792" s="736"/>
      <c r="N792" s="736"/>
      <c r="O792" s="736"/>
      <c r="P792" s="736"/>
      <c r="Q792" s="736"/>
      <c r="R792" s="736"/>
      <c r="S792" s="736"/>
      <c r="T792" s="736"/>
      <c r="U792" s="736"/>
    </row>
    <row r="793">
      <c r="A793" s="736"/>
      <c r="B793" s="736"/>
      <c r="C793" s="747"/>
      <c r="D793" s="746"/>
      <c r="E793" s="747"/>
      <c r="F793" s="746"/>
      <c r="G793" s="746"/>
      <c r="H793" s="736"/>
      <c r="I793" s="736"/>
      <c r="J793" s="736"/>
      <c r="K793" s="736"/>
      <c r="L793" s="736"/>
      <c r="M793" s="736"/>
      <c r="N793" s="736"/>
      <c r="O793" s="736"/>
      <c r="P793" s="736"/>
      <c r="Q793" s="736"/>
      <c r="R793" s="736"/>
      <c r="S793" s="736"/>
      <c r="T793" s="736"/>
      <c r="U793" s="736"/>
    </row>
    <row r="794">
      <c r="A794" s="736"/>
      <c r="B794" s="736"/>
      <c r="C794" s="747"/>
      <c r="D794" s="746"/>
      <c r="E794" s="747"/>
      <c r="F794" s="746"/>
      <c r="G794" s="746"/>
      <c r="H794" s="736"/>
      <c r="I794" s="736"/>
      <c r="J794" s="736"/>
      <c r="K794" s="736"/>
      <c r="L794" s="736"/>
      <c r="M794" s="736"/>
      <c r="N794" s="736"/>
      <c r="O794" s="736"/>
      <c r="P794" s="736"/>
      <c r="Q794" s="736"/>
      <c r="R794" s="736"/>
      <c r="S794" s="736"/>
      <c r="T794" s="736"/>
      <c r="U794" s="736"/>
    </row>
    <row r="795">
      <c r="A795" s="736"/>
      <c r="B795" s="736"/>
      <c r="C795" s="747"/>
      <c r="D795" s="746"/>
      <c r="E795" s="747"/>
      <c r="F795" s="746"/>
      <c r="G795" s="746"/>
      <c r="H795" s="736"/>
      <c r="I795" s="736"/>
      <c r="J795" s="736"/>
      <c r="K795" s="736"/>
      <c r="L795" s="736"/>
      <c r="M795" s="736"/>
      <c r="N795" s="736"/>
      <c r="O795" s="736"/>
      <c r="P795" s="736"/>
      <c r="Q795" s="736"/>
      <c r="R795" s="736"/>
      <c r="S795" s="736"/>
      <c r="T795" s="736"/>
      <c r="U795" s="736"/>
    </row>
    <row r="796">
      <c r="A796" s="736"/>
      <c r="B796" s="736"/>
      <c r="C796" s="747"/>
      <c r="D796" s="746"/>
      <c r="E796" s="747"/>
      <c r="F796" s="746"/>
      <c r="G796" s="746"/>
      <c r="H796" s="736"/>
      <c r="I796" s="736"/>
      <c r="J796" s="736"/>
      <c r="K796" s="736"/>
      <c r="L796" s="736"/>
      <c r="M796" s="736"/>
      <c r="N796" s="736"/>
      <c r="O796" s="736"/>
      <c r="P796" s="736"/>
      <c r="Q796" s="736"/>
      <c r="R796" s="736"/>
      <c r="S796" s="736"/>
      <c r="T796" s="736"/>
      <c r="U796" s="736"/>
    </row>
    <row r="797">
      <c r="A797" s="736"/>
      <c r="B797" s="736"/>
      <c r="C797" s="747"/>
      <c r="D797" s="746"/>
      <c r="E797" s="747"/>
      <c r="F797" s="746"/>
      <c r="G797" s="746"/>
      <c r="H797" s="736"/>
      <c r="I797" s="736"/>
      <c r="J797" s="736"/>
      <c r="K797" s="736"/>
      <c r="L797" s="736"/>
      <c r="M797" s="736"/>
      <c r="N797" s="736"/>
      <c r="O797" s="736"/>
      <c r="P797" s="736"/>
      <c r="Q797" s="736"/>
      <c r="R797" s="736"/>
      <c r="S797" s="736"/>
      <c r="T797" s="736"/>
      <c r="U797" s="736"/>
    </row>
    <row r="798">
      <c r="A798" s="736"/>
      <c r="B798" s="736"/>
      <c r="C798" s="747"/>
      <c r="D798" s="746"/>
      <c r="E798" s="747"/>
      <c r="F798" s="746"/>
      <c r="G798" s="746"/>
      <c r="H798" s="736"/>
      <c r="I798" s="736"/>
      <c r="J798" s="736"/>
      <c r="K798" s="736"/>
      <c r="L798" s="736"/>
      <c r="M798" s="736"/>
      <c r="N798" s="736"/>
      <c r="O798" s="736"/>
      <c r="P798" s="736"/>
      <c r="Q798" s="736"/>
      <c r="R798" s="736"/>
      <c r="S798" s="736"/>
      <c r="T798" s="736"/>
      <c r="U798" s="736"/>
    </row>
    <row r="799">
      <c r="A799" s="736"/>
      <c r="B799" s="736"/>
      <c r="C799" s="747"/>
      <c r="D799" s="746"/>
      <c r="E799" s="747"/>
      <c r="F799" s="746"/>
      <c r="G799" s="746"/>
      <c r="H799" s="736"/>
      <c r="I799" s="736"/>
      <c r="J799" s="736"/>
      <c r="K799" s="736"/>
      <c r="L799" s="736"/>
      <c r="M799" s="736"/>
      <c r="N799" s="736"/>
      <c r="O799" s="736"/>
      <c r="P799" s="736"/>
      <c r="Q799" s="736"/>
      <c r="R799" s="736"/>
      <c r="S799" s="736"/>
      <c r="T799" s="736"/>
      <c r="U799" s="736"/>
    </row>
    <row r="800">
      <c r="A800" s="736"/>
      <c r="B800" s="736"/>
      <c r="C800" s="747"/>
      <c r="D800" s="746"/>
      <c r="E800" s="747"/>
      <c r="F800" s="746"/>
      <c r="G800" s="746"/>
      <c r="H800" s="736"/>
      <c r="I800" s="736"/>
      <c r="J800" s="736"/>
      <c r="K800" s="736"/>
      <c r="L800" s="736"/>
      <c r="M800" s="736"/>
      <c r="N800" s="736"/>
      <c r="O800" s="736"/>
      <c r="P800" s="736"/>
      <c r="Q800" s="736"/>
      <c r="R800" s="736"/>
      <c r="S800" s="736"/>
      <c r="T800" s="736"/>
      <c r="U800" s="736"/>
    </row>
    <row r="801">
      <c r="A801" s="736"/>
      <c r="B801" s="736"/>
      <c r="C801" s="747"/>
      <c r="D801" s="746"/>
      <c r="E801" s="747"/>
      <c r="F801" s="746"/>
      <c r="G801" s="746"/>
      <c r="H801" s="736"/>
      <c r="I801" s="736"/>
      <c r="J801" s="736"/>
      <c r="K801" s="736"/>
      <c r="L801" s="736"/>
      <c r="M801" s="736"/>
      <c r="N801" s="736"/>
      <c r="O801" s="736"/>
      <c r="P801" s="736"/>
      <c r="Q801" s="736"/>
      <c r="R801" s="736"/>
      <c r="S801" s="736"/>
      <c r="T801" s="736"/>
      <c r="U801" s="736"/>
    </row>
    <row r="802">
      <c r="A802" s="736"/>
      <c r="B802" s="736"/>
      <c r="C802" s="747"/>
      <c r="D802" s="746"/>
      <c r="E802" s="747"/>
      <c r="F802" s="746"/>
      <c r="G802" s="746"/>
      <c r="H802" s="736"/>
      <c r="I802" s="736"/>
      <c r="J802" s="736"/>
      <c r="K802" s="736"/>
      <c r="L802" s="736"/>
      <c r="M802" s="736"/>
      <c r="N802" s="736"/>
      <c r="O802" s="736"/>
      <c r="P802" s="736"/>
      <c r="Q802" s="736"/>
      <c r="R802" s="736"/>
      <c r="S802" s="736"/>
      <c r="T802" s="736"/>
      <c r="U802" s="736"/>
    </row>
    <row r="803">
      <c r="A803" s="736"/>
      <c r="B803" s="736"/>
      <c r="C803" s="747"/>
      <c r="D803" s="746"/>
      <c r="E803" s="747"/>
      <c r="F803" s="746"/>
      <c r="G803" s="746"/>
      <c r="H803" s="736"/>
      <c r="I803" s="736"/>
      <c r="J803" s="736"/>
      <c r="K803" s="736"/>
      <c r="L803" s="736"/>
      <c r="M803" s="736"/>
      <c r="N803" s="736"/>
      <c r="O803" s="736"/>
      <c r="P803" s="736"/>
      <c r="Q803" s="736"/>
      <c r="R803" s="736"/>
      <c r="S803" s="736"/>
      <c r="T803" s="736"/>
      <c r="U803" s="736"/>
    </row>
    <row r="804">
      <c r="A804" s="736"/>
      <c r="B804" s="736"/>
      <c r="C804" s="747"/>
      <c r="D804" s="746"/>
      <c r="E804" s="747"/>
      <c r="F804" s="746"/>
      <c r="G804" s="746"/>
      <c r="H804" s="736"/>
      <c r="I804" s="736"/>
      <c r="J804" s="736"/>
      <c r="K804" s="736"/>
      <c r="L804" s="736"/>
      <c r="M804" s="736"/>
      <c r="N804" s="736"/>
      <c r="O804" s="736"/>
      <c r="P804" s="736"/>
      <c r="Q804" s="736"/>
      <c r="R804" s="736"/>
      <c r="S804" s="736"/>
      <c r="T804" s="736"/>
      <c r="U804" s="736"/>
    </row>
    <row r="805">
      <c r="A805" s="736"/>
      <c r="B805" s="736"/>
      <c r="C805" s="747"/>
      <c r="D805" s="746"/>
      <c r="E805" s="747"/>
      <c r="F805" s="746"/>
      <c r="G805" s="746"/>
      <c r="H805" s="736"/>
      <c r="I805" s="736"/>
      <c r="J805" s="736"/>
      <c r="K805" s="736"/>
      <c r="L805" s="736"/>
      <c r="M805" s="736"/>
      <c r="N805" s="736"/>
      <c r="O805" s="736"/>
      <c r="P805" s="736"/>
      <c r="Q805" s="736"/>
      <c r="R805" s="736"/>
      <c r="S805" s="736"/>
      <c r="T805" s="736"/>
      <c r="U805" s="736"/>
    </row>
    <row r="806">
      <c r="A806" s="736"/>
      <c r="B806" s="736"/>
      <c r="C806" s="747"/>
      <c r="D806" s="746"/>
      <c r="E806" s="747"/>
      <c r="F806" s="746"/>
      <c r="G806" s="746"/>
      <c r="H806" s="736"/>
      <c r="I806" s="736"/>
      <c r="J806" s="736"/>
      <c r="K806" s="736"/>
      <c r="L806" s="736"/>
      <c r="M806" s="736"/>
      <c r="N806" s="736"/>
      <c r="O806" s="736"/>
      <c r="P806" s="736"/>
      <c r="Q806" s="736"/>
      <c r="R806" s="736"/>
      <c r="S806" s="736"/>
      <c r="T806" s="736"/>
      <c r="U806" s="736"/>
    </row>
    <row r="807">
      <c r="A807" s="736"/>
      <c r="B807" s="736"/>
      <c r="C807" s="747"/>
      <c r="D807" s="746"/>
      <c r="E807" s="747"/>
      <c r="F807" s="746"/>
      <c r="G807" s="746"/>
      <c r="H807" s="736"/>
      <c r="I807" s="736"/>
      <c r="J807" s="736"/>
      <c r="K807" s="736"/>
      <c r="L807" s="736"/>
      <c r="M807" s="736"/>
      <c r="N807" s="736"/>
      <c r="O807" s="736"/>
      <c r="P807" s="736"/>
      <c r="Q807" s="736"/>
      <c r="R807" s="736"/>
      <c r="S807" s="736"/>
      <c r="T807" s="736"/>
      <c r="U807" s="736"/>
    </row>
    <row r="808">
      <c r="A808" s="736"/>
      <c r="B808" s="736"/>
      <c r="C808" s="747"/>
      <c r="D808" s="746"/>
      <c r="E808" s="747"/>
      <c r="F808" s="746"/>
      <c r="G808" s="746"/>
      <c r="H808" s="736"/>
      <c r="I808" s="736"/>
      <c r="J808" s="736"/>
      <c r="K808" s="736"/>
      <c r="L808" s="736"/>
      <c r="M808" s="736"/>
      <c r="N808" s="736"/>
      <c r="O808" s="736"/>
      <c r="P808" s="736"/>
      <c r="Q808" s="736"/>
      <c r="R808" s="736"/>
      <c r="S808" s="736"/>
      <c r="T808" s="736"/>
      <c r="U808" s="736"/>
    </row>
    <row r="809">
      <c r="A809" s="736"/>
      <c r="B809" s="736"/>
      <c r="C809" s="747"/>
      <c r="D809" s="746"/>
      <c r="E809" s="747"/>
      <c r="F809" s="746"/>
      <c r="G809" s="746"/>
      <c r="H809" s="736"/>
      <c r="I809" s="736"/>
      <c r="J809" s="736"/>
      <c r="K809" s="736"/>
      <c r="L809" s="736"/>
      <c r="M809" s="736"/>
      <c r="N809" s="736"/>
      <c r="O809" s="736"/>
      <c r="P809" s="736"/>
      <c r="Q809" s="736"/>
      <c r="R809" s="736"/>
      <c r="S809" s="736"/>
      <c r="T809" s="736"/>
      <c r="U809" s="736"/>
    </row>
    <row r="810">
      <c r="A810" s="736"/>
      <c r="B810" s="736"/>
      <c r="C810" s="747"/>
      <c r="D810" s="746"/>
      <c r="E810" s="747"/>
      <c r="F810" s="746"/>
      <c r="G810" s="746"/>
      <c r="H810" s="736"/>
      <c r="I810" s="736"/>
      <c r="J810" s="736"/>
      <c r="K810" s="736"/>
      <c r="L810" s="736"/>
      <c r="M810" s="736"/>
      <c r="N810" s="736"/>
      <c r="O810" s="736"/>
      <c r="P810" s="736"/>
      <c r="Q810" s="736"/>
      <c r="R810" s="736"/>
      <c r="S810" s="736"/>
      <c r="T810" s="736"/>
      <c r="U810" s="736"/>
    </row>
    <row r="811">
      <c r="A811" s="736"/>
      <c r="B811" s="736"/>
      <c r="C811" s="747"/>
      <c r="D811" s="746"/>
      <c r="E811" s="747"/>
      <c r="F811" s="746"/>
      <c r="G811" s="746"/>
      <c r="H811" s="736"/>
      <c r="I811" s="736"/>
      <c r="J811" s="736"/>
      <c r="K811" s="736"/>
      <c r="L811" s="736"/>
      <c r="M811" s="736"/>
      <c r="N811" s="736"/>
      <c r="O811" s="736"/>
      <c r="P811" s="736"/>
      <c r="Q811" s="736"/>
      <c r="R811" s="736"/>
      <c r="S811" s="736"/>
      <c r="T811" s="736"/>
      <c r="U811" s="736"/>
    </row>
    <row r="812">
      <c r="A812" s="736"/>
      <c r="B812" s="736"/>
      <c r="C812" s="747"/>
      <c r="D812" s="746"/>
      <c r="E812" s="747"/>
      <c r="F812" s="746"/>
      <c r="G812" s="746"/>
      <c r="H812" s="736"/>
      <c r="I812" s="736"/>
      <c r="J812" s="736"/>
      <c r="K812" s="736"/>
      <c r="L812" s="736"/>
      <c r="M812" s="736"/>
      <c r="N812" s="736"/>
      <c r="O812" s="736"/>
      <c r="P812" s="736"/>
      <c r="Q812" s="736"/>
      <c r="R812" s="736"/>
      <c r="S812" s="736"/>
      <c r="T812" s="736"/>
      <c r="U812" s="736"/>
    </row>
    <row r="813">
      <c r="A813" s="736"/>
      <c r="B813" s="736"/>
      <c r="C813" s="747"/>
      <c r="D813" s="746"/>
      <c r="E813" s="747"/>
      <c r="F813" s="746"/>
      <c r="G813" s="746"/>
      <c r="H813" s="736"/>
      <c r="I813" s="736"/>
      <c r="J813" s="736"/>
      <c r="K813" s="736"/>
      <c r="L813" s="736"/>
      <c r="M813" s="736"/>
      <c r="N813" s="736"/>
      <c r="O813" s="736"/>
      <c r="P813" s="736"/>
      <c r="Q813" s="736"/>
      <c r="R813" s="736"/>
      <c r="S813" s="736"/>
      <c r="T813" s="736"/>
      <c r="U813" s="736"/>
    </row>
    <row r="814">
      <c r="A814" s="736"/>
      <c r="B814" s="736"/>
      <c r="C814" s="747"/>
      <c r="D814" s="746"/>
      <c r="E814" s="747"/>
      <c r="F814" s="746"/>
      <c r="G814" s="746"/>
      <c r="H814" s="736"/>
      <c r="I814" s="736"/>
      <c r="J814" s="736"/>
      <c r="K814" s="736"/>
      <c r="L814" s="736"/>
      <c r="M814" s="736"/>
      <c r="N814" s="736"/>
      <c r="O814" s="736"/>
      <c r="P814" s="736"/>
      <c r="Q814" s="736"/>
      <c r="R814" s="736"/>
      <c r="S814" s="736"/>
      <c r="T814" s="736"/>
      <c r="U814" s="736"/>
    </row>
    <row r="815">
      <c r="A815" s="736"/>
      <c r="B815" s="736"/>
      <c r="C815" s="747"/>
      <c r="D815" s="746"/>
      <c r="E815" s="747"/>
      <c r="F815" s="746"/>
      <c r="G815" s="746"/>
      <c r="H815" s="736"/>
      <c r="I815" s="736"/>
      <c r="J815" s="736"/>
      <c r="K815" s="736"/>
      <c r="L815" s="736"/>
      <c r="M815" s="736"/>
      <c r="N815" s="736"/>
      <c r="O815" s="736"/>
      <c r="P815" s="736"/>
      <c r="Q815" s="736"/>
      <c r="R815" s="736"/>
      <c r="S815" s="736"/>
      <c r="T815" s="736"/>
      <c r="U815" s="736"/>
    </row>
    <row r="816">
      <c r="A816" s="736"/>
      <c r="B816" s="736"/>
      <c r="C816" s="747"/>
      <c r="D816" s="746"/>
      <c r="E816" s="747"/>
      <c r="F816" s="746"/>
      <c r="G816" s="746"/>
      <c r="H816" s="736"/>
      <c r="I816" s="736"/>
      <c r="J816" s="736"/>
      <c r="K816" s="736"/>
      <c r="L816" s="736"/>
      <c r="M816" s="736"/>
      <c r="N816" s="736"/>
      <c r="O816" s="736"/>
      <c r="P816" s="736"/>
      <c r="Q816" s="736"/>
      <c r="R816" s="736"/>
      <c r="S816" s="736"/>
      <c r="T816" s="736"/>
      <c r="U816" s="736"/>
    </row>
    <row r="817">
      <c r="A817" s="736"/>
      <c r="B817" s="736"/>
      <c r="C817" s="747"/>
      <c r="D817" s="746"/>
      <c r="E817" s="747"/>
      <c r="F817" s="746"/>
      <c r="G817" s="746"/>
      <c r="H817" s="736"/>
      <c r="I817" s="736"/>
      <c r="J817" s="736"/>
      <c r="K817" s="736"/>
      <c r="L817" s="736"/>
      <c r="M817" s="736"/>
      <c r="N817" s="736"/>
      <c r="O817" s="736"/>
      <c r="P817" s="736"/>
      <c r="Q817" s="736"/>
      <c r="R817" s="736"/>
      <c r="S817" s="736"/>
      <c r="T817" s="736"/>
      <c r="U817" s="736"/>
    </row>
    <row r="818">
      <c r="A818" s="736"/>
      <c r="B818" s="736"/>
      <c r="C818" s="747"/>
      <c r="D818" s="746"/>
      <c r="E818" s="747"/>
      <c r="F818" s="746"/>
      <c r="G818" s="746"/>
      <c r="H818" s="736"/>
      <c r="I818" s="736"/>
      <c r="J818" s="736"/>
      <c r="K818" s="736"/>
      <c r="L818" s="736"/>
      <c r="M818" s="736"/>
      <c r="N818" s="736"/>
      <c r="O818" s="736"/>
      <c r="P818" s="736"/>
      <c r="Q818" s="736"/>
      <c r="R818" s="736"/>
      <c r="S818" s="736"/>
      <c r="T818" s="736"/>
      <c r="U818" s="736"/>
    </row>
    <row r="819">
      <c r="A819" s="736"/>
      <c r="B819" s="736"/>
      <c r="C819" s="747"/>
      <c r="D819" s="746"/>
      <c r="E819" s="747"/>
      <c r="F819" s="746"/>
      <c r="G819" s="746"/>
      <c r="H819" s="736"/>
      <c r="I819" s="736"/>
      <c r="J819" s="736"/>
      <c r="K819" s="736"/>
      <c r="L819" s="736"/>
      <c r="M819" s="736"/>
      <c r="N819" s="736"/>
      <c r="O819" s="736"/>
      <c r="P819" s="736"/>
      <c r="Q819" s="736"/>
      <c r="R819" s="736"/>
      <c r="S819" s="736"/>
      <c r="T819" s="736"/>
      <c r="U819" s="736"/>
    </row>
    <row r="820">
      <c r="A820" s="736"/>
      <c r="B820" s="736"/>
      <c r="C820" s="747"/>
      <c r="D820" s="746"/>
      <c r="E820" s="747"/>
      <c r="F820" s="746"/>
      <c r="G820" s="746"/>
      <c r="H820" s="736"/>
      <c r="I820" s="736"/>
      <c r="J820" s="736"/>
      <c r="K820" s="736"/>
      <c r="L820" s="736"/>
      <c r="M820" s="736"/>
      <c r="N820" s="736"/>
      <c r="O820" s="736"/>
      <c r="P820" s="736"/>
      <c r="Q820" s="736"/>
      <c r="R820" s="736"/>
      <c r="S820" s="736"/>
      <c r="T820" s="736"/>
      <c r="U820" s="736"/>
    </row>
    <row r="821">
      <c r="A821" s="736"/>
      <c r="B821" s="736"/>
      <c r="C821" s="747"/>
      <c r="D821" s="746"/>
      <c r="E821" s="747"/>
      <c r="F821" s="746"/>
      <c r="G821" s="746"/>
      <c r="H821" s="736"/>
      <c r="I821" s="736"/>
      <c r="J821" s="736"/>
      <c r="K821" s="736"/>
      <c r="L821" s="736"/>
      <c r="M821" s="736"/>
      <c r="N821" s="736"/>
      <c r="O821" s="736"/>
      <c r="P821" s="736"/>
      <c r="Q821" s="736"/>
      <c r="R821" s="736"/>
      <c r="S821" s="736"/>
      <c r="T821" s="736"/>
      <c r="U821" s="736"/>
    </row>
    <row r="822">
      <c r="A822" s="736"/>
      <c r="B822" s="736"/>
      <c r="C822" s="747"/>
      <c r="D822" s="746"/>
      <c r="E822" s="747"/>
      <c r="F822" s="746"/>
      <c r="G822" s="746"/>
      <c r="H822" s="736"/>
      <c r="I822" s="736"/>
      <c r="J822" s="736"/>
      <c r="K822" s="736"/>
      <c r="L822" s="736"/>
      <c r="M822" s="736"/>
      <c r="N822" s="736"/>
      <c r="O822" s="736"/>
      <c r="P822" s="736"/>
      <c r="Q822" s="736"/>
      <c r="R822" s="736"/>
      <c r="S822" s="736"/>
      <c r="T822" s="736"/>
      <c r="U822" s="736"/>
    </row>
    <row r="823">
      <c r="A823" s="736"/>
      <c r="B823" s="736"/>
      <c r="C823" s="747"/>
      <c r="D823" s="746"/>
      <c r="E823" s="747"/>
      <c r="F823" s="746"/>
      <c r="G823" s="746"/>
      <c r="H823" s="736"/>
      <c r="I823" s="736"/>
      <c r="J823" s="736"/>
      <c r="K823" s="736"/>
      <c r="L823" s="736"/>
      <c r="M823" s="736"/>
      <c r="N823" s="736"/>
      <c r="O823" s="736"/>
      <c r="P823" s="736"/>
      <c r="Q823" s="736"/>
      <c r="R823" s="736"/>
      <c r="S823" s="736"/>
      <c r="T823" s="736"/>
      <c r="U823" s="736"/>
    </row>
    <row r="824">
      <c r="A824" s="736"/>
      <c r="B824" s="736"/>
      <c r="C824" s="747"/>
      <c r="D824" s="746"/>
      <c r="E824" s="747"/>
      <c r="F824" s="746"/>
      <c r="G824" s="746"/>
      <c r="H824" s="736"/>
      <c r="I824" s="736"/>
      <c r="J824" s="736"/>
      <c r="K824" s="736"/>
      <c r="L824" s="736"/>
      <c r="M824" s="736"/>
      <c r="N824" s="736"/>
      <c r="O824" s="736"/>
      <c r="P824" s="736"/>
      <c r="Q824" s="736"/>
      <c r="R824" s="736"/>
      <c r="S824" s="736"/>
      <c r="T824" s="736"/>
      <c r="U824" s="736"/>
    </row>
    <row r="825">
      <c r="A825" s="736"/>
      <c r="B825" s="736"/>
      <c r="C825" s="747"/>
      <c r="D825" s="746"/>
      <c r="E825" s="747"/>
      <c r="F825" s="746"/>
      <c r="G825" s="746"/>
      <c r="H825" s="736"/>
      <c r="I825" s="736"/>
      <c r="J825" s="736"/>
      <c r="K825" s="736"/>
      <c r="L825" s="736"/>
      <c r="M825" s="736"/>
      <c r="N825" s="736"/>
      <c r="O825" s="736"/>
      <c r="P825" s="736"/>
      <c r="Q825" s="736"/>
      <c r="R825" s="736"/>
      <c r="S825" s="736"/>
      <c r="T825" s="736"/>
      <c r="U825" s="736"/>
    </row>
    <row r="826">
      <c r="A826" s="736"/>
      <c r="B826" s="736"/>
      <c r="C826" s="747"/>
      <c r="D826" s="746"/>
      <c r="E826" s="747"/>
      <c r="F826" s="746"/>
      <c r="G826" s="746"/>
      <c r="H826" s="736"/>
      <c r="I826" s="736"/>
      <c r="J826" s="736"/>
      <c r="K826" s="736"/>
      <c r="L826" s="736"/>
      <c r="M826" s="736"/>
      <c r="N826" s="736"/>
      <c r="O826" s="736"/>
      <c r="P826" s="736"/>
      <c r="Q826" s="736"/>
      <c r="R826" s="736"/>
      <c r="S826" s="736"/>
      <c r="T826" s="736"/>
      <c r="U826" s="736"/>
    </row>
    <row r="827">
      <c r="A827" s="736"/>
      <c r="B827" s="736"/>
      <c r="C827" s="747"/>
      <c r="D827" s="746"/>
      <c r="E827" s="747"/>
      <c r="F827" s="746"/>
      <c r="G827" s="746"/>
      <c r="H827" s="736"/>
      <c r="I827" s="736"/>
      <c r="J827" s="736"/>
      <c r="K827" s="736"/>
      <c r="L827" s="736"/>
      <c r="M827" s="736"/>
      <c r="N827" s="736"/>
      <c r="O827" s="736"/>
      <c r="P827" s="736"/>
      <c r="Q827" s="736"/>
      <c r="R827" s="736"/>
      <c r="S827" s="736"/>
      <c r="T827" s="736"/>
      <c r="U827" s="736"/>
    </row>
    <row r="828">
      <c r="A828" s="736"/>
      <c r="B828" s="736"/>
      <c r="C828" s="747"/>
      <c r="D828" s="746"/>
      <c r="E828" s="747"/>
      <c r="F828" s="746"/>
      <c r="G828" s="746"/>
      <c r="H828" s="736"/>
      <c r="I828" s="736"/>
      <c r="J828" s="736"/>
      <c r="K828" s="736"/>
      <c r="L828" s="736"/>
      <c r="M828" s="736"/>
      <c r="N828" s="736"/>
      <c r="O828" s="736"/>
      <c r="P828" s="736"/>
      <c r="Q828" s="736"/>
      <c r="R828" s="736"/>
      <c r="S828" s="736"/>
      <c r="T828" s="736"/>
      <c r="U828" s="736"/>
    </row>
    <row r="829">
      <c r="A829" s="736"/>
      <c r="B829" s="736"/>
      <c r="C829" s="747"/>
      <c r="D829" s="746"/>
      <c r="E829" s="747"/>
      <c r="F829" s="746"/>
      <c r="G829" s="746"/>
      <c r="H829" s="736"/>
      <c r="I829" s="736"/>
      <c r="J829" s="736"/>
      <c r="K829" s="736"/>
      <c r="L829" s="736"/>
      <c r="M829" s="736"/>
      <c r="N829" s="736"/>
      <c r="O829" s="736"/>
      <c r="P829" s="736"/>
      <c r="Q829" s="736"/>
      <c r="R829" s="736"/>
      <c r="S829" s="736"/>
      <c r="T829" s="736"/>
      <c r="U829" s="736"/>
    </row>
    <row r="830">
      <c r="A830" s="736"/>
      <c r="B830" s="736"/>
      <c r="C830" s="747"/>
      <c r="D830" s="746"/>
      <c r="E830" s="747"/>
      <c r="F830" s="746"/>
      <c r="G830" s="746"/>
      <c r="H830" s="736"/>
      <c r="I830" s="736"/>
      <c r="J830" s="736"/>
      <c r="K830" s="736"/>
      <c r="L830" s="736"/>
      <c r="M830" s="736"/>
      <c r="N830" s="736"/>
      <c r="O830" s="736"/>
      <c r="P830" s="736"/>
      <c r="Q830" s="736"/>
      <c r="R830" s="736"/>
      <c r="S830" s="736"/>
      <c r="T830" s="736"/>
      <c r="U830" s="736"/>
    </row>
    <row r="831">
      <c r="A831" s="736"/>
      <c r="B831" s="736"/>
      <c r="C831" s="747"/>
      <c r="D831" s="746"/>
      <c r="E831" s="747"/>
      <c r="F831" s="746"/>
      <c r="G831" s="746"/>
      <c r="H831" s="736"/>
      <c r="I831" s="736"/>
      <c r="J831" s="736"/>
      <c r="K831" s="736"/>
      <c r="L831" s="736"/>
      <c r="M831" s="736"/>
      <c r="N831" s="736"/>
      <c r="O831" s="736"/>
      <c r="P831" s="736"/>
      <c r="Q831" s="736"/>
      <c r="R831" s="736"/>
      <c r="S831" s="736"/>
      <c r="T831" s="736"/>
      <c r="U831" s="736"/>
    </row>
    <row r="832">
      <c r="A832" s="736"/>
      <c r="B832" s="736"/>
      <c r="C832" s="747"/>
      <c r="D832" s="746"/>
      <c r="E832" s="747"/>
      <c r="F832" s="746"/>
      <c r="G832" s="746"/>
      <c r="H832" s="736"/>
      <c r="I832" s="736"/>
      <c r="J832" s="736"/>
      <c r="K832" s="736"/>
      <c r="L832" s="736"/>
      <c r="M832" s="736"/>
      <c r="N832" s="736"/>
      <c r="O832" s="736"/>
      <c r="P832" s="736"/>
      <c r="Q832" s="736"/>
      <c r="R832" s="736"/>
      <c r="S832" s="736"/>
      <c r="T832" s="736"/>
      <c r="U832" s="736"/>
    </row>
    <row r="833">
      <c r="A833" s="736"/>
      <c r="B833" s="736"/>
      <c r="C833" s="747"/>
      <c r="D833" s="746"/>
      <c r="E833" s="747"/>
      <c r="F833" s="746"/>
      <c r="G833" s="746"/>
      <c r="H833" s="736"/>
      <c r="I833" s="736"/>
      <c r="J833" s="736"/>
      <c r="K833" s="736"/>
      <c r="L833" s="736"/>
      <c r="M833" s="736"/>
      <c r="N833" s="736"/>
      <c r="O833" s="736"/>
      <c r="P833" s="736"/>
      <c r="Q833" s="736"/>
      <c r="R833" s="736"/>
      <c r="S833" s="736"/>
      <c r="T833" s="736"/>
      <c r="U833" s="736"/>
    </row>
    <row r="834">
      <c r="A834" s="736"/>
      <c r="B834" s="736"/>
      <c r="C834" s="747"/>
      <c r="D834" s="746"/>
      <c r="E834" s="747"/>
      <c r="F834" s="746"/>
      <c r="G834" s="746"/>
      <c r="H834" s="736"/>
      <c r="I834" s="736"/>
      <c r="J834" s="736"/>
      <c r="K834" s="736"/>
      <c r="L834" s="736"/>
      <c r="M834" s="736"/>
      <c r="N834" s="736"/>
      <c r="O834" s="736"/>
      <c r="P834" s="736"/>
      <c r="Q834" s="736"/>
      <c r="R834" s="736"/>
      <c r="S834" s="736"/>
      <c r="T834" s="736"/>
      <c r="U834" s="736"/>
    </row>
    <row r="835">
      <c r="A835" s="736"/>
      <c r="B835" s="736"/>
      <c r="C835" s="747"/>
      <c r="D835" s="746"/>
      <c r="E835" s="747"/>
      <c r="F835" s="746"/>
      <c r="G835" s="746"/>
      <c r="H835" s="736"/>
      <c r="I835" s="736"/>
      <c r="J835" s="736"/>
      <c r="K835" s="736"/>
      <c r="L835" s="736"/>
      <c r="M835" s="736"/>
      <c r="N835" s="736"/>
      <c r="O835" s="736"/>
      <c r="P835" s="736"/>
      <c r="Q835" s="736"/>
      <c r="R835" s="736"/>
      <c r="S835" s="736"/>
      <c r="T835" s="736"/>
      <c r="U835" s="736"/>
    </row>
    <row r="836">
      <c r="A836" s="736"/>
      <c r="B836" s="736"/>
      <c r="C836" s="747"/>
      <c r="D836" s="746"/>
      <c r="E836" s="747"/>
      <c r="F836" s="746"/>
      <c r="G836" s="746"/>
      <c r="H836" s="736"/>
      <c r="I836" s="736"/>
      <c r="J836" s="736"/>
      <c r="K836" s="736"/>
      <c r="L836" s="736"/>
      <c r="M836" s="736"/>
      <c r="N836" s="736"/>
      <c r="O836" s="736"/>
      <c r="P836" s="736"/>
      <c r="Q836" s="736"/>
      <c r="R836" s="736"/>
      <c r="S836" s="736"/>
      <c r="T836" s="736"/>
      <c r="U836" s="736"/>
    </row>
    <row r="837">
      <c r="A837" s="736"/>
      <c r="B837" s="736"/>
      <c r="C837" s="747"/>
      <c r="D837" s="746"/>
      <c r="E837" s="747"/>
      <c r="F837" s="746"/>
      <c r="G837" s="746"/>
      <c r="H837" s="736"/>
      <c r="I837" s="736"/>
      <c r="J837" s="736"/>
      <c r="K837" s="736"/>
      <c r="L837" s="736"/>
      <c r="M837" s="736"/>
      <c r="N837" s="736"/>
      <c r="O837" s="736"/>
      <c r="P837" s="736"/>
      <c r="Q837" s="736"/>
      <c r="R837" s="736"/>
      <c r="S837" s="736"/>
      <c r="T837" s="736"/>
      <c r="U837" s="736"/>
    </row>
    <row r="838">
      <c r="A838" s="736"/>
      <c r="B838" s="736"/>
      <c r="C838" s="747"/>
      <c r="D838" s="746"/>
      <c r="E838" s="747"/>
      <c r="F838" s="746"/>
      <c r="G838" s="746"/>
      <c r="H838" s="736"/>
      <c r="I838" s="736"/>
      <c r="J838" s="736"/>
      <c r="K838" s="736"/>
      <c r="L838" s="736"/>
      <c r="M838" s="736"/>
      <c r="N838" s="736"/>
      <c r="O838" s="736"/>
      <c r="P838" s="736"/>
      <c r="Q838" s="736"/>
      <c r="R838" s="736"/>
      <c r="S838" s="736"/>
      <c r="T838" s="736"/>
      <c r="U838" s="736"/>
    </row>
    <row r="839">
      <c r="A839" s="736"/>
      <c r="B839" s="736"/>
      <c r="C839" s="747"/>
      <c r="D839" s="746"/>
      <c r="E839" s="747"/>
      <c r="F839" s="746"/>
      <c r="G839" s="746"/>
      <c r="H839" s="736"/>
      <c r="I839" s="736"/>
      <c r="J839" s="736"/>
      <c r="K839" s="736"/>
      <c r="L839" s="736"/>
      <c r="M839" s="736"/>
      <c r="N839" s="736"/>
      <c r="O839" s="736"/>
      <c r="P839" s="736"/>
      <c r="Q839" s="736"/>
      <c r="R839" s="736"/>
      <c r="S839" s="736"/>
      <c r="T839" s="736"/>
      <c r="U839" s="736"/>
    </row>
    <row r="840">
      <c r="A840" s="736"/>
      <c r="B840" s="736"/>
      <c r="C840" s="747"/>
      <c r="D840" s="746"/>
      <c r="E840" s="747"/>
      <c r="F840" s="746"/>
      <c r="G840" s="746"/>
      <c r="H840" s="736"/>
      <c r="I840" s="736"/>
      <c r="J840" s="736"/>
      <c r="K840" s="736"/>
      <c r="L840" s="736"/>
      <c r="M840" s="736"/>
      <c r="N840" s="736"/>
      <c r="O840" s="736"/>
      <c r="P840" s="736"/>
      <c r="Q840" s="736"/>
      <c r="R840" s="736"/>
      <c r="S840" s="736"/>
      <c r="T840" s="736"/>
      <c r="U840" s="736"/>
    </row>
    <row r="841">
      <c r="A841" s="736"/>
      <c r="B841" s="736"/>
      <c r="C841" s="747"/>
      <c r="D841" s="746"/>
      <c r="E841" s="747"/>
      <c r="F841" s="746"/>
      <c r="G841" s="746"/>
      <c r="H841" s="736"/>
      <c r="I841" s="736"/>
      <c r="J841" s="736"/>
      <c r="K841" s="736"/>
      <c r="L841" s="736"/>
      <c r="M841" s="736"/>
      <c r="N841" s="736"/>
      <c r="O841" s="736"/>
      <c r="P841" s="736"/>
      <c r="Q841" s="736"/>
      <c r="R841" s="736"/>
      <c r="S841" s="736"/>
      <c r="T841" s="736"/>
      <c r="U841" s="736"/>
    </row>
    <row r="842">
      <c r="A842" s="736"/>
      <c r="B842" s="736"/>
      <c r="C842" s="747"/>
      <c r="D842" s="746"/>
      <c r="E842" s="747"/>
      <c r="F842" s="746"/>
      <c r="G842" s="746"/>
      <c r="H842" s="736"/>
      <c r="I842" s="736"/>
      <c r="J842" s="736"/>
      <c r="K842" s="736"/>
      <c r="L842" s="736"/>
      <c r="M842" s="736"/>
      <c r="N842" s="736"/>
      <c r="O842" s="736"/>
      <c r="P842" s="736"/>
      <c r="Q842" s="736"/>
      <c r="R842" s="736"/>
      <c r="S842" s="736"/>
      <c r="T842" s="736"/>
      <c r="U842" s="736"/>
    </row>
    <row r="843">
      <c r="A843" s="736"/>
      <c r="B843" s="736"/>
      <c r="C843" s="747"/>
      <c r="D843" s="746"/>
      <c r="E843" s="747"/>
      <c r="F843" s="746"/>
      <c r="G843" s="746"/>
      <c r="H843" s="736"/>
      <c r="I843" s="736"/>
      <c r="J843" s="736"/>
      <c r="K843" s="736"/>
      <c r="L843" s="736"/>
      <c r="M843" s="736"/>
      <c r="N843" s="736"/>
      <c r="O843" s="736"/>
      <c r="P843" s="736"/>
      <c r="Q843" s="736"/>
      <c r="R843" s="736"/>
      <c r="S843" s="736"/>
      <c r="T843" s="736"/>
      <c r="U843" s="736"/>
    </row>
    <row r="844">
      <c r="A844" s="736"/>
      <c r="B844" s="736"/>
      <c r="C844" s="747"/>
      <c r="D844" s="746"/>
      <c r="E844" s="747"/>
      <c r="F844" s="746"/>
      <c r="G844" s="746"/>
      <c r="H844" s="736"/>
      <c r="I844" s="736"/>
      <c r="J844" s="736"/>
      <c r="K844" s="736"/>
      <c r="L844" s="736"/>
      <c r="M844" s="736"/>
      <c r="N844" s="736"/>
      <c r="O844" s="736"/>
      <c r="P844" s="736"/>
      <c r="Q844" s="736"/>
      <c r="R844" s="736"/>
      <c r="S844" s="736"/>
      <c r="T844" s="736"/>
      <c r="U844" s="736"/>
    </row>
    <row r="845">
      <c r="A845" s="736"/>
      <c r="B845" s="736"/>
      <c r="C845" s="747"/>
      <c r="D845" s="746"/>
      <c r="E845" s="747"/>
      <c r="F845" s="746"/>
      <c r="G845" s="746"/>
      <c r="H845" s="736"/>
      <c r="I845" s="736"/>
      <c r="J845" s="736"/>
      <c r="K845" s="736"/>
      <c r="L845" s="736"/>
      <c r="M845" s="736"/>
      <c r="N845" s="736"/>
      <c r="O845" s="736"/>
      <c r="P845" s="736"/>
      <c r="Q845" s="736"/>
      <c r="R845" s="736"/>
      <c r="S845" s="736"/>
      <c r="T845" s="736"/>
      <c r="U845" s="736"/>
    </row>
    <row r="846">
      <c r="A846" s="736"/>
      <c r="B846" s="736"/>
      <c r="C846" s="747"/>
      <c r="D846" s="746"/>
      <c r="E846" s="747"/>
      <c r="F846" s="746"/>
      <c r="G846" s="746"/>
      <c r="H846" s="736"/>
      <c r="I846" s="736"/>
      <c r="J846" s="736"/>
      <c r="K846" s="736"/>
      <c r="L846" s="736"/>
      <c r="M846" s="736"/>
      <c r="N846" s="736"/>
      <c r="O846" s="736"/>
      <c r="P846" s="736"/>
      <c r="Q846" s="736"/>
      <c r="R846" s="736"/>
      <c r="S846" s="736"/>
      <c r="T846" s="736"/>
      <c r="U846" s="736"/>
    </row>
    <row r="847">
      <c r="A847" s="736"/>
      <c r="B847" s="736"/>
      <c r="C847" s="747"/>
      <c r="D847" s="746"/>
      <c r="E847" s="747"/>
      <c r="F847" s="746"/>
      <c r="G847" s="746"/>
      <c r="H847" s="736"/>
      <c r="I847" s="736"/>
      <c r="J847" s="736"/>
      <c r="K847" s="736"/>
      <c r="L847" s="736"/>
      <c r="M847" s="736"/>
      <c r="N847" s="736"/>
      <c r="O847" s="736"/>
      <c r="P847" s="736"/>
      <c r="Q847" s="736"/>
      <c r="R847" s="736"/>
      <c r="S847" s="736"/>
      <c r="T847" s="736"/>
      <c r="U847" s="736"/>
    </row>
    <row r="848">
      <c r="A848" s="736"/>
      <c r="B848" s="736"/>
      <c r="C848" s="747"/>
      <c r="D848" s="746"/>
      <c r="E848" s="747"/>
      <c r="F848" s="746"/>
      <c r="G848" s="746"/>
      <c r="H848" s="736"/>
      <c r="I848" s="736"/>
      <c r="J848" s="736"/>
      <c r="K848" s="736"/>
      <c r="L848" s="736"/>
      <c r="M848" s="736"/>
      <c r="N848" s="736"/>
      <c r="O848" s="736"/>
      <c r="P848" s="736"/>
      <c r="Q848" s="736"/>
      <c r="R848" s="736"/>
      <c r="S848" s="736"/>
      <c r="T848" s="736"/>
      <c r="U848" s="736"/>
    </row>
    <row r="849">
      <c r="A849" s="736"/>
      <c r="B849" s="736"/>
      <c r="C849" s="747"/>
      <c r="D849" s="746"/>
      <c r="E849" s="747"/>
      <c r="F849" s="746"/>
      <c r="G849" s="746"/>
      <c r="H849" s="736"/>
      <c r="I849" s="736"/>
      <c r="J849" s="736"/>
      <c r="K849" s="736"/>
      <c r="L849" s="736"/>
      <c r="M849" s="736"/>
      <c r="N849" s="736"/>
      <c r="O849" s="736"/>
      <c r="P849" s="736"/>
      <c r="Q849" s="736"/>
      <c r="R849" s="736"/>
      <c r="S849" s="736"/>
      <c r="T849" s="736"/>
      <c r="U849" s="736"/>
    </row>
    <row r="850">
      <c r="A850" s="736"/>
      <c r="B850" s="736"/>
      <c r="C850" s="747"/>
      <c r="D850" s="746"/>
      <c r="E850" s="747"/>
      <c r="F850" s="746"/>
      <c r="G850" s="746"/>
      <c r="H850" s="736"/>
      <c r="I850" s="736"/>
      <c r="J850" s="736"/>
      <c r="K850" s="736"/>
      <c r="L850" s="736"/>
      <c r="M850" s="736"/>
      <c r="N850" s="736"/>
      <c r="O850" s="736"/>
      <c r="P850" s="736"/>
      <c r="Q850" s="736"/>
      <c r="R850" s="736"/>
      <c r="S850" s="736"/>
      <c r="T850" s="736"/>
      <c r="U850" s="736"/>
    </row>
    <row r="851">
      <c r="A851" s="736"/>
      <c r="B851" s="736"/>
      <c r="C851" s="747"/>
      <c r="D851" s="746"/>
      <c r="E851" s="747"/>
      <c r="F851" s="746"/>
      <c r="G851" s="746"/>
      <c r="H851" s="736"/>
      <c r="I851" s="736"/>
      <c r="J851" s="736"/>
      <c r="K851" s="736"/>
      <c r="L851" s="736"/>
      <c r="M851" s="736"/>
      <c r="N851" s="736"/>
      <c r="O851" s="736"/>
      <c r="P851" s="736"/>
      <c r="Q851" s="736"/>
      <c r="R851" s="736"/>
      <c r="S851" s="736"/>
      <c r="T851" s="736"/>
      <c r="U851" s="736"/>
    </row>
    <row r="852">
      <c r="A852" s="736"/>
      <c r="B852" s="736"/>
      <c r="C852" s="747"/>
      <c r="D852" s="746"/>
      <c r="E852" s="747"/>
      <c r="F852" s="746"/>
      <c r="G852" s="746"/>
      <c r="H852" s="736"/>
      <c r="I852" s="736"/>
      <c r="J852" s="736"/>
      <c r="K852" s="736"/>
      <c r="L852" s="736"/>
      <c r="M852" s="736"/>
      <c r="N852" s="736"/>
      <c r="O852" s="736"/>
      <c r="P852" s="736"/>
      <c r="Q852" s="736"/>
      <c r="R852" s="736"/>
      <c r="S852" s="736"/>
      <c r="T852" s="736"/>
      <c r="U852" s="736"/>
    </row>
    <row r="853">
      <c r="A853" s="736"/>
      <c r="B853" s="736"/>
      <c r="C853" s="747"/>
      <c r="D853" s="746"/>
      <c r="E853" s="747"/>
      <c r="F853" s="746"/>
      <c r="G853" s="746"/>
      <c r="H853" s="736"/>
      <c r="I853" s="736"/>
      <c r="J853" s="736"/>
      <c r="K853" s="736"/>
      <c r="L853" s="736"/>
      <c r="M853" s="736"/>
      <c r="N853" s="736"/>
      <c r="O853" s="736"/>
      <c r="P853" s="736"/>
      <c r="Q853" s="736"/>
      <c r="R853" s="736"/>
      <c r="S853" s="736"/>
      <c r="T853" s="736"/>
      <c r="U853" s="736"/>
    </row>
    <row r="854">
      <c r="A854" s="736"/>
      <c r="B854" s="736"/>
      <c r="C854" s="747"/>
      <c r="D854" s="746"/>
      <c r="E854" s="747"/>
      <c r="F854" s="746"/>
      <c r="G854" s="746"/>
      <c r="H854" s="736"/>
      <c r="I854" s="736"/>
      <c r="J854" s="736"/>
      <c r="K854" s="736"/>
      <c r="L854" s="736"/>
      <c r="M854" s="736"/>
      <c r="N854" s="736"/>
      <c r="O854" s="736"/>
      <c r="P854" s="736"/>
      <c r="Q854" s="736"/>
      <c r="R854" s="736"/>
      <c r="S854" s="736"/>
      <c r="T854" s="736"/>
      <c r="U854" s="736"/>
    </row>
    <row r="855">
      <c r="A855" s="736"/>
      <c r="B855" s="736"/>
      <c r="C855" s="747"/>
      <c r="D855" s="746"/>
      <c r="E855" s="747"/>
      <c r="F855" s="746"/>
      <c r="G855" s="746"/>
      <c r="H855" s="736"/>
      <c r="I855" s="736"/>
      <c r="J855" s="736"/>
      <c r="K855" s="736"/>
      <c r="L855" s="736"/>
      <c r="M855" s="736"/>
      <c r="N855" s="736"/>
      <c r="O855" s="736"/>
      <c r="P855" s="736"/>
      <c r="Q855" s="736"/>
      <c r="R855" s="736"/>
      <c r="S855" s="736"/>
      <c r="T855" s="736"/>
      <c r="U855" s="736"/>
    </row>
    <row r="856">
      <c r="A856" s="736"/>
      <c r="B856" s="736"/>
      <c r="C856" s="747"/>
      <c r="D856" s="746"/>
      <c r="E856" s="747"/>
      <c r="F856" s="746"/>
      <c r="G856" s="746"/>
      <c r="H856" s="736"/>
      <c r="I856" s="736"/>
      <c r="J856" s="736"/>
      <c r="K856" s="736"/>
      <c r="L856" s="736"/>
      <c r="M856" s="736"/>
      <c r="N856" s="736"/>
      <c r="O856" s="736"/>
      <c r="P856" s="736"/>
      <c r="Q856" s="736"/>
      <c r="R856" s="736"/>
      <c r="S856" s="736"/>
      <c r="T856" s="736"/>
      <c r="U856" s="736"/>
    </row>
    <row r="857">
      <c r="A857" s="736"/>
      <c r="B857" s="736"/>
      <c r="C857" s="747"/>
      <c r="D857" s="746"/>
      <c r="E857" s="747"/>
      <c r="F857" s="746"/>
      <c r="G857" s="746"/>
      <c r="H857" s="736"/>
      <c r="I857" s="736"/>
      <c r="J857" s="736"/>
      <c r="K857" s="736"/>
      <c r="L857" s="736"/>
      <c r="M857" s="736"/>
      <c r="N857" s="736"/>
      <c r="O857" s="736"/>
      <c r="P857" s="736"/>
      <c r="Q857" s="736"/>
      <c r="R857" s="736"/>
      <c r="S857" s="736"/>
      <c r="T857" s="736"/>
      <c r="U857" s="736"/>
    </row>
    <row r="858">
      <c r="A858" s="736"/>
      <c r="B858" s="736"/>
      <c r="C858" s="747"/>
      <c r="D858" s="746"/>
      <c r="E858" s="747"/>
      <c r="F858" s="746"/>
      <c r="G858" s="746"/>
      <c r="H858" s="736"/>
      <c r="I858" s="736"/>
      <c r="J858" s="736"/>
      <c r="K858" s="736"/>
      <c r="L858" s="736"/>
      <c r="M858" s="736"/>
      <c r="N858" s="736"/>
      <c r="O858" s="736"/>
      <c r="P858" s="736"/>
      <c r="Q858" s="736"/>
      <c r="R858" s="736"/>
      <c r="S858" s="736"/>
      <c r="T858" s="736"/>
      <c r="U858" s="736"/>
    </row>
    <row r="859">
      <c r="A859" s="736"/>
      <c r="B859" s="736"/>
      <c r="C859" s="747"/>
      <c r="D859" s="746"/>
      <c r="E859" s="747"/>
      <c r="F859" s="746"/>
      <c r="G859" s="746"/>
      <c r="H859" s="736"/>
      <c r="I859" s="736"/>
      <c r="J859" s="736"/>
      <c r="K859" s="736"/>
      <c r="L859" s="736"/>
      <c r="M859" s="736"/>
      <c r="N859" s="736"/>
      <c r="O859" s="736"/>
      <c r="P859" s="736"/>
      <c r="Q859" s="736"/>
      <c r="R859" s="736"/>
      <c r="S859" s="736"/>
      <c r="T859" s="736"/>
      <c r="U859" s="736"/>
    </row>
    <row r="860">
      <c r="A860" s="736"/>
      <c r="B860" s="736"/>
      <c r="C860" s="747"/>
      <c r="D860" s="746"/>
      <c r="E860" s="747"/>
      <c r="F860" s="746"/>
      <c r="G860" s="746"/>
      <c r="H860" s="736"/>
      <c r="I860" s="736"/>
      <c r="J860" s="736"/>
      <c r="K860" s="736"/>
      <c r="L860" s="736"/>
      <c r="M860" s="736"/>
      <c r="N860" s="736"/>
      <c r="O860" s="736"/>
      <c r="P860" s="736"/>
      <c r="Q860" s="736"/>
      <c r="R860" s="736"/>
      <c r="S860" s="736"/>
      <c r="T860" s="736"/>
      <c r="U860" s="736"/>
    </row>
    <row r="861">
      <c r="A861" s="736"/>
      <c r="B861" s="736"/>
      <c r="C861" s="747"/>
      <c r="D861" s="746"/>
      <c r="E861" s="747"/>
      <c r="F861" s="746"/>
      <c r="G861" s="746"/>
      <c r="H861" s="736"/>
      <c r="I861" s="736"/>
      <c r="J861" s="736"/>
      <c r="K861" s="736"/>
      <c r="L861" s="736"/>
      <c r="M861" s="736"/>
      <c r="N861" s="736"/>
      <c r="O861" s="736"/>
      <c r="P861" s="736"/>
      <c r="Q861" s="736"/>
      <c r="R861" s="736"/>
      <c r="S861" s="736"/>
      <c r="T861" s="736"/>
      <c r="U861" s="736"/>
    </row>
    <row r="862">
      <c r="A862" s="736"/>
      <c r="B862" s="736"/>
      <c r="C862" s="747"/>
      <c r="D862" s="746"/>
      <c r="E862" s="747"/>
      <c r="F862" s="746"/>
      <c r="G862" s="746"/>
      <c r="H862" s="736"/>
      <c r="I862" s="736"/>
      <c r="J862" s="736"/>
      <c r="K862" s="736"/>
      <c r="L862" s="736"/>
      <c r="M862" s="736"/>
      <c r="N862" s="736"/>
      <c r="O862" s="736"/>
      <c r="P862" s="736"/>
      <c r="Q862" s="736"/>
      <c r="R862" s="736"/>
      <c r="S862" s="736"/>
      <c r="T862" s="736"/>
      <c r="U862" s="736"/>
    </row>
    <row r="863">
      <c r="A863" s="736"/>
      <c r="B863" s="736"/>
      <c r="C863" s="747"/>
      <c r="D863" s="746"/>
      <c r="E863" s="747"/>
      <c r="F863" s="746"/>
      <c r="G863" s="746"/>
      <c r="H863" s="736"/>
      <c r="I863" s="736"/>
      <c r="J863" s="736"/>
      <c r="K863" s="736"/>
      <c r="L863" s="736"/>
      <c r="M863" s="736"/>
      <c r="N863" s="736"/>
      <c r="O863" s="736"/>
      <c r="P863" s="736"/>
      <c r="Q863" s="736"/>
      <c r="R863" s="736"/>
      <c r="S863" s="736"/>
      <c r="T863" s="736"/>
      <c r="U863" s="736"/>
    </row>
    <row r="864">
      <c r="A864" s="736"/>
      <c r="B864" s="736"/>
      <c r="C864" s="747"/>
      <c r="D864" s="746"/>
      <c r="E864" s="747"/>
      <c r="F864" s="746"/>
      <c r="G864" s="746"/>
      <c r="H864" s="736"/>
      <c r="I864" s="736"/>
      <c r="J864" s="736"/>
      <c r="K864" s="736"/>
      <c r="L864" s="736"/>
      <c r="M864" s="736"/>
      <c r="N864" s="736"/>
      <c r="O864" s="736"/>
      <c r="P864" s="736"/>
      <c r="Q864" s="736"/>
      <c r="R864" s="736"/>
      <c r="S864" s="736"/>
      <c r="T864" s="736"/>
      <c r="U864" s="736"/>
    </row>
    <row r="865">
      <c r="A865" s="736"/>
      <c r="B865" s="736"/>
      <c r="C865" s="747"/>
      <c r="D865" s="746"/>
      <c r="E865" s="747"/>
      <c r="F865" s="746"/>
      <c r="G865" s="746"/>
      <c r="H865" s="736"/>
      <c r="I865" s="736"/>
      <c r="J865" s="736"/>
      <c r="K865" s="736"/>
      <c r="L865" s="736"/>
      <c r="M865" s="736"/>
      <c r="N865" s="736"/>
      <c r="O865" s="736"/>
      <c r="P865" s="736"/>
      <c r="Q865" s="736"/>
      <c r="R865" s="736"/>
      <c r="S865" s="736"/>
      <c r="T865" s="736"/>
      <c r="U865" s="736"/>
    </row>
    <row r="866">
      <c r="A866" s="736"/>
      <c r="B866" s="736"/>
      <c r="C866" s="747"/>
      <c r="D866" s="746"/>
      <c r="E866" s="747"/>
      <c r="F866" s="746"/>
      <c r="G866" s="746"/>
      <c r="H866" s="736"/>
      <c r="I866" s="736"/>
      <c r="J866" s="736"/>
      <c r="K866" s="736"/>
      <c r="L866" s="736"/>
      <c r="M866" s="736"/>
      <c r="N866" s="736"/>
      <c r="O866" s="736"/>
      <c r="P866" s="736"/>
      <c r="Q866" s="736"/>
      <c r="R866" s="736"/>
      <c r="S866" s="736"/>
      <c r="T866" s="736"/>
      <c r="U866" s="736"/>
    </row>
    <row r="867">
      <c r="A867" s="736"/>
      <c r="B867" s="736"/>
      <c r="C867" s="747"/>
      <c r="D867" s="746"/>
      <c r="E867" s="747"/>
      <c r="F867" s="746"/>
      <c r="G867" s="746"/>
      <c r="H867" s="736"/>
      <c r="I867" s="736"/>
      <c r="J867" s="736"/>
      <c r="K867" s="736"/>
      <c r="L867" s="736"/>
      <c r="M867" s="736"/>
      <c r="N867" s="736"/>
      <c r="O867" s="736"/>
      <c r="P867" s="736"/>
      <c r="Q867" s="736"/>
      <c r="R867" s="736"/>
      <c r="S867" s="736"/>
      <c r="T867" s="736"/>
      <c r="U867" s="736"/>
    </row>
    <row r="868">
      <c r="A868" s="736"/>
      <c r="B868" s="736"/>
      <c r="C868" s="747"/>
      <c r="D868" s="746"/>
      <c r="E868" s="747"/>
      <c r="F868" s="746"/>
      <c r="G868" s="746"/>
      <c r="H868" s="736"/>
      <c r="I868" s="736"/>
      <c r="J868" s="736"/>
      <c r="K868" s="736"/>
      <c r="L868" s="736"/>
      <c r="M868" s="736"/>
      <c r="N868" s="736"/>
      <c r="O868" s="736"/>
      <c r="P868" s="736"/>
      <c r="Q868" s="736"/>
      <c r="R868" s="736"/>
      <c r="S868" s="736"/>
      <c r="T868" s="736"/>
      <c r="U868" s="736"/>
    </row>
    <row r="869">
      <c r="A869" s="736"/>
      <c r="B869" s="736"/>
      <c r="C869" s="747"/>
      <c r="D869" s="746"/>
      <c r="E869" s="747"/>
      <c r="F869" s="746"/>
      <c r="G869" s="746"/>
      <c r="H869" s="736"/>
      <c r="I869" s="736"/>
      <c r="J869" s="736"/>
      <c r="K869" s="736"/>
      <c r="L869" s="736"/>
      <c r="M869" s="736"/>
      <c r="N869" s="736"/>
      <c r="O869" s="736"/>
      <c r="P869" s="736"/>
      <c r="Q869" s="736"/>
      <c r="R869" s="736"/>
      <c r="S869" s="736"/>
      <c r="T869" s="736"/>
      <c r="U869" s="736"/>
    </row>
    <row r="870">
      <c r="A870" s="736"/>
      <c r="B870" s="736"/>
      <c r="C870" s="747"/>
      <c r="D870" s="746"/>
      <c r="E870" s="747"/>
      <c r="F870" s="746"/>
      <c r="G870" s="746"/>
      <c r="H870" s="736"/>
      <c r="I870" s="736"/>
      <c r="J870" s="736"/>
      <c r="K870" s="736"/>
      <c r="L870" s="736"/>
      <c r="M870" s="736"/>
      <c r="N870" s="736"/>
      <c r="O870" s="736"/>
      <c r="P870" s="736"/>
      <c r="Q870" s="736"/>
      <c r="R870" s="736"/>
      <c r="S870" s="736"/>
      <c r="T870" s="736"/>
      <c r="U870" s="736"/>
    </row>
    <row r="871">
      <c r="A871" s="736"/>
      <c r="B871" s="736"/>
      <c r="C871" s="747"/>
      <c r="D871" s="746"/>
      <c r="E871" s="747"/>
      <c r="F871" s="746"/>
      <c r="G871" s="746"/>
      <c r="H871" s="736"/>
      <c r="I871" s="736"/>
      <c r="J871" s="736"/>
      <c r="K871" s="736"/>
      <c r="L871" s="736"/>
      <c r="M871" s="736"/>
      <c r="N871" s="736"/>
      <c r="O871" s="736"/>
      <c r="P871" s="736"/>
      <c r="Q871" s="736"/>
      <c r="R871" s="736"/>
      <c r="S871" s="736"/>
      <c r="T871" s="736"/>
      <c r="U871" s="736"/>
    </row>
    <row r="872">
      <c r="A872" s="736"/>
      <c r="B872" s="736"/>
      <c r="C872" s="747"/>
      <c r="D872" s="746"/>
      <c r="E872" s="747"/>
      <c r="F872" s="746"/>
      <c r="G872" s="746"/>
      <c r="H872" s="736"/>
      <c r="I872" s="736"/>
      <c r="J872" s="736"/>
      <c r="K872" s="736"/>
      <c r="L872" s="736"/>
      <c r="M872" s="736"/>
      <c r="N872" s="736"/>
      <c r="O872" s="736"/>
      <c r="P872" s="736"/>
      <c r="Q872" s="736"/>
      <c r="R872" s="736"/>
      <c r="S872" s="736"/>
      <c r="T872" s="736"/>
      <c r="U872" s="736"/>
    </row>
    <row r="873">
      <c r="A873" s="736"/>
      <c r="B873" s="736"/>
      <c r="C873" s="747"/>
      <c r="D873" s="746"/>
      <c r="E873" s="747"/>
      <c r="F873" s="746"/>
      <c r="G873" s="746"/>
      <c r="H873" s="736"/>
      <c r="I873" s="736"/>
      <c r="J873" s="736"/>
      <c r="K873" s="736"/>
      <c r="L873" s="736"/>
      <c r="M873" s="736"/>
      <c r="N873" s="736"/>
      <c r="O873" s="736"/>
      <c r="P873" s="736"/>
      <c r="Q873" s="736"/>
      <c r="R873" s="736"/>
      <c r="S873" s="736"/>
      <c r="T873" s="736"/>
      <c r="U873" s="736"/>
    </row>
    <row r="874">
      <c r="A874" s="736"/>
      <c r="B874" s="736"/>
      <c r="C874" s="747"/>
      <c r="D874" s="746"/>
      <c r="E874" s="747"/>
      <c r="F874" s="746"/>
      <c r="G874" s="746"/>
      <c r="H874" s="736"/>
      <c r="I874" s="736"/>
      <c r="J874" s="736"/>
      <c r="K874" s="736"/>
      <c r="L874" s="736"/>
      <c r="M874" s="736"/>
      <c r="N874" s="736"/>
      <c r="O874" s="736"/>
      <c r="P874" s="736"/>
      <c r="Q874" s="736"/>
      <c r="R874" s="736"/>
      <c r="S874" s="736"/>
      <c r="T874" s="736"/>
      <c r="U874" s="736"/>
    </row>
    <row r="875">
      <c r="A875" s="736"/>
      <c r="B875" s="736"/>
      <c r="C875" s="747"/>
      <c r="D875" s="746"/>
      <c r="E875" s="747"/>
      <c r="F875" s="746"/>
      <c r="G875" s="746"/>
      <c r="H875" s="736"/>
      <c r="I875" s="736"/>
      <c r="J875" s="736"/>
      <c r="K875" s="736"/>
      <c r="L875" s="736"/>
      <c r="M875" s="736"/>
      <c r="N875" s="736"/>
      <c r="O875" s="736"/>
      <c r="P875" s="736"/>
      <c r="Q875" s="736"/>
      <c r="R875" s="736"/>
      <c r="S875" s="736"/>
      <c r="T875" s="736"/>
      <c r="U875" s="736"/>
    </row>
    <row r="876">
      <c r="A876" s="736"/>
      <c r="B876" s="736"/>
      <c r="C876" s="747"/>
      <c r="D876" s="746"/>
      <c r="E876" s="747"/>
      <c r="F876" s="746"/>
      <c r="G876" s="746"/>
      <c r="H876" s="736"/>
      <c r="I876" s="736"/>
      <c r="J876" s="736"/>
      <c r="K876" s="736"/>
      <c r="L876" s="736"/>
      <c r="M876" s="736"/>
      <c r="N876" s="736"/>
      <c r="O876" s="736"/>
      <c r="P876" s="736"/>
      <c r="Q876" s="736"/>
      <c r="R876" s="736"/>
      <c r="S876" s="736"/>
      <c r="T876" s="736"/>
      <c r="U876" s="736"/>
    </row>
    <row r="877">
      <c r="A877" s="736"/>
      <c r="B877" s="736"/>
      <c r="C877" s="747"/>
      <c r="D877" s="746"/>
      <c r="E877" s="747"/>
      <c r="F877" s="746"/>
      <c r="G877" s="746"/>
      <c r="H877" s="736"/>
      <c r="I877" s="736"/>
      <c r="J877" s="736"/>
      <c r="K877" s="736"/>
      <c r="L877" s="736"/>
      <c r="M877" s="736"/>
      <c r="N877" s="736"/>
      <c r="O877" s="736"/>
      <c r="P877" s="736"/>
      <c r="Q877" s="736"/>
      <c r="R877" s="736"/>
      <c r="S877" s="736"/>
      <c r="T877" s="736"/>
      <c r="U877" s="736"/>
    </row>
    <row r="878">
      <c r="A878" s="736"/>
      <c r="B878" s="736"/>
      <c r="C878" s="747"/>
      <c r="D878" s="746"/>
      <c r="E878" s="747"/>
      <c r="F878" s="746"/>
      <c r="G878" s="746"/>
      <c r="H878" s="736"/>
      <c r="I878" s="736"/>
      <c r="J878" s="736"/>
      <c r="K878" s="736"/>
      <c r="L878" s="736"/>
      <c r="M878" s="736"/>
      <c r="N878" s="736"/>
      <c r="O878" s="736"/>
      <c r="P878" s="736"/>
      <c r="Q878" s="736"/>
      <c r="R878" s="736"/>
      <c r="S878" s="736"/>
      <c r="T878" s="736"/>
      <c r="U878" s="736"/>
    </row>
    <row r="879">
      <c r="A879" s="736"/>
      <c r="B879" s="736"/>
      <c r="C879" s="747"/>
      <c r="D879" s="746"/>
      <c r="E879" s="747"/>
      <c r="F879" s="746"/>
      <c r="G879" s="746"/>
      <c r="H879" s="736"/>
      <c r="I879" s="736"/>
      <c r="J879" s="736"/>
      <c r="K879" s="736"/>
      <c r="L879" s="736"/>
      <c r="M879" s="736"/>
      <c r="N879" s="736"/>
      <c r="O879" s="736"/>
      <c r="P879" s="736"/>
      <c r="Q879" s="736"/>
      <c r="R879" s="736"/>
      <c r="S879" s="736"/>
      <c r="T879" s="736"/>
      <c r="U879" s="736"/>
    </row>
    <row r="880">
      <c r="A880" s="736"/>
      <c r="B880" s="736"/>
      <c r="C880" s="747"/>
      <c r="D880" s="746"/>
      <c r="E880" s="747"/>
      <c r="F880" s="746"/>
      <c r="G880" s="746"/>
      <c r="H880" s="736"/>
      <c r="I880" s="736"/>
      <c r="J880" s="736"/>
      <c r="K880" s="736"/>
      <c r="L880" s="736"/>
      <c r="M880" s="736"/>
      <c r="N880" s="736"/>
      <c r="O880" s="736"/>
      <c r="P880" s="736"/>
      <c r="Q880" s="736"/>
      <c r="R880" s="736"/>
      <c r="S880" s="736"/>
      <c r="T880" s="736"/>
      <c r="U880" s="736"/>
    </row>
    <row r="881">
      <c r="A881" s="736"/>
      <c r="B881" s="736"/>
      <c r="C881" s="747"/>
      <c r="D881" s="746"/>
      <c r="E881" s="747"/>
      <c r="F881" s="746"/>
      <c r="G881" s="746"/>
      <c r="H881" s="736"/>
      <c r="I881" s="736"/>
      <c r="J881" s="736"/>
      <c r="K881" s="736"/>
      <c r="L881" s="736"/>
      <c r="M881" s="736"/>
      <c r="N881" s="736"/>
      <c r="O881" s="736"/>
      <c r="P881" s="736"/>
      <c r="Q881" s="736"/>
      <c r="R881" s="736"/>
      <c r="S881" s="736"/>
      <c r="T881" s="736"/>
      <c r="U881" s="736"/>
    </row>
    <row r="882">
      <c r="A882" s="736"/>
      <c r="B882" s="736"/>
      <c r="C882" s="747"/>
      <c r="D882" s="746"/>
      <c r="E882" s="747"/>
      <c r="F882" s="746"/>
      <c r="G882" s="746"/>
      <c r="H882" s="736"/>
      <c r="I882" s="736"/>
      <c r="J882" s="736"/>
      <c r="K882" s="736"/>
      <c r="L882" s="736"/>
      <c r="M882" s="736"/>
      <c r="N882" s="736"/>
      <c r="O882" s="736"/>
      <c r="P882" s="736"/>
      <c r="Q882" s="736"/>
      <c r="R882" s="736"/>
      <c r="S882" s="736"/>
      <c r="T882" s="736"/>
      <c r="U882" s="736"/>
    </row>
    <row r="883">
      <c r="A883" s="736"/>
      <c r="B883" s="736"/>
      <c r="C883" s="747"/>
      <c r="D883" s="746"/>
      <c r="E883" s="747"/>
      <c r="F883" s="746"/>
      <c r="G883" s="746"/>
      <c r="H883" s="736"/>
      <c r="I883" s="736"/>
      <c r="J883" s="736"/>
      <c r="K883" s="736"/>
      <c r="L883" s="736"/>
      <c r="M883" s="736"/>
      <c r="N883" s="736"/>
      <c r="O883" s="736"/>
      <c r="P883" s="736"/>
      <c r="Q883" s="736"/>
      <c r="R883" s="736"/>
      <c r="S883" s="736"/>
      <c r="T883" s="736"/>
      <c r="U883" s="736"/>
    </row>
    <row r="884">
      <c r="A884" s="736"/>
      <c r="B884" s="736"/>
      <c r="C884" s="747"/>
      <c r="D884" s="746"/>
      <c r="E884" s="747"/>
      <c r="F884" s="746"/>
      <c r="G884" s="746"/>
      <c r="H884" s="736"/>
      <c r="I884" s="736"/>
      <c r="J884" s="736"/>
      <c r="K884" s="736"/>
      <c r="L884" s="736"/>
      <c r="M884" s="736"/>
      <c r="N884" s="736"/>
      <c r="O884" s="736"/>
      <c r="P884" s="736"/>
      <c r="Q884" s="736"/>
      <c r="R884" s="736"/>
      <c r="S884" s="736"/>
      <c r="T884" s="736"/>
      <c r="U884" s="736"/>
    </row>
    <row r="885">
      <c r="A885" s="736"/>
      <c r="B885" s="736"/>
      <c r="C885" s="747"/>
      <c r="D885" s="746"/>
      <c r="E885" s="747"/>
      <c r="F885" s="746"/>
      <c r="G885" s="746"/>
      <c r="H885" s="736"/>
      <c r="I885" s="736"/>
      <c r="J885" s="736"/>
      <c r="K885" s="736"/>
      <c r="L885" s="736"/>
      <c r="M885" s="736"/>
      <c r="N885" s="736"/>
      <c r="O885" s="736"/>
      <c r="P885" s="736"/>
      <c r="Q885" s="736"/>
      <c r="R885" s="736"/>
      <c r="S885" s="736"/>
      <c r="T885" s="736"/>
      <c r="U885" s="736"/>
    </row>
    <row r="886">
      <c r="A886" s="736"/>
      <c r="B886" s="736"/>
      <c r="C886" s="747"/>
      <c r="D886" s="746"/>
      <c r="E886" s="747"/>
      <c r="F886" s="746"/>
      <c r="G886" s="746"/>
      <c r="H886" s="736"/>
      <c r="I886" s="736"/>
      <c r="J886" s="736"/>
      <c r="K886" s="736"/>
      <c r="L886" s="736"/>
      <c r="M886" s="736"/>
      <c r="N886" s="736"/>
      <c r="O886" s="736"/>
      <c r="P886" s="736"/>
      <c r="Q886" s="736"/>
      <c r="R886" s="736"/>
      <c r="S886" s="736"/>
      <c r="T886" s="736"/>
      <c r="U886" s="736"/>
    </row>
    <row r="887">
      <c r="A887" s="736"/>
      <c r="B887" s="736"/>
      <c r="C887" s="747"/>
      <c r="D887" s="746"/>
      <c r="E887" s="747"/>
      <c r="F887" s="746"/>
      <c r="G887" s="746"/>
      <c r="H887" s="736"/>
      <c r="I887" s="736"/>
      <c r="J887" s="736"/>
      <c r="K887" s="736"/>
      <c r="L887" s="736"/>
      <c r="M887" s="736"/>
      <c r="N887" s="736"/>
      <c r="O887" s="736"/>
      <c r="P887" s="736"/>
      <c r="Q887" s="736"/>
      <c r="R887" s="736"/>
      <c r="S887" s="736"/>
      <c r="T887" s="736"/>
      <c r="U887" s="736"/>
    </row>
    <row r="888">
      <c r="A888" s="736"/>
      <c r="B888" s="736"/>
      <c r="C888" s="747"/>
      <c r="D888" s="746"/>
      <c r="E888" s="747"/>
      <c r="F888" s="746"/>
      <c r="G888" s="746"/>
      <c r="H888" s="736"/>
      <c r="I888" s="736"/>
      <c r="J888" s="736"/>
      <c r="K888" s="736"/>
      <c r="L888" s="736"/>
      <c r="M888" s="736"/>
      <c r="N888" s="736"/>
      <c r="O888" s="736"/>
      <c r="P888" s="736"/>
      <c r="Q888" s="736"/>
      <c r="R888" s="736"/>
      <c r="S888" s="736"/>
      <c r="T888" s="736"/>
      <c r="U888" s="736"/>
    </row>
    <row r="889">
      <c r="A889" s="736"/>
      <c r="B889" s="736"/>
      <c r="C889" s="747"/>
      <c r="D889" s="746"/>
      <c r="E889" s="747"/>
      <c r="F889" s="746"/>
      <c r="G889" s="746"/>
      <c r="H889" s="736"/>
      <c r="I889" s="736"/>
      <c r="J889" s="736"/>
      <c r="K889" s="736"/>
      <c r="L889" s="736"/>
      <c r="M889" s="736"/>
      <c r="N889" s="736"/>
      <c r="O889" s="736"/>
      <c r="P889" s="736"/>
      <c r="Q889" s="736"/>
      <c r="R889" s="736"/>
      <c r="S889" s="736"/>
      <c r="T889" s="736"/>
      <c r="U889" s="736"/>
    </row>
    <row r="890">
      <c r="A890" s="736"/>
      <c r="B890" s="736"/>
      <c r="C890" s="747"/>
      <c r="D890" s="746"/>
      <c r="E890" s="747"/>
      <c r="F890" s="746"/>
      <c r="G890" s="746"/>
      <c r="H890" s="736"/>
      <c r="I890" s="736"/>
      <c r="J890" s="736"/>
      <c r="K890" s="736"/>
      <c r="L890" s="736"/>
      <c r="M890" s="736"/>
      <c r="N890" s="736"/>
      <c r="O890" s="736"/>
      <c r="P890" s="736"/>
      <c r="Q890" s="736"/>
      <c r="R890" s="736"/>
      <c r="S890" s="736"/>
      <c r="T890" s="736"/>
      <c r="U890" s="736"/>
    </row>
    <row r="891">
      <c r="A891" s="736"/>
      <c r="B891" s="736"/>
      <c r="C891" s="747"/>
      <c r="D891" s="746"/>
      <c r="E891" s="747"/>
      <c r="F891" s="746"/>
      <c r="G891" s="746"/>
      <c r="H891" s="736"/>
      <c r="I891" s="736"/>
      <c r="J891" s="736"/>
      <c r="K891" s="736"/>
      <c r="L891" s="736"/>
      <c r="M891" s="736"/>
      <c r="N891" s="736"/>
      <c r="O891" s="736"/>
      <c r="P891" s="736"/>
      <c r="Q891" s="736"/>
      <c r="R891" s="736"/>
      <c r="S891" s="736"/>
      <c r="T891" s="736"/>
      <c r="U891" s="736"/>
    </row>
    <row r="892">
      <c r="A892" s="736"/>
      <c r="B892" s="736"/>
      <c r="C892" s="747"/>
      <c r="D892" s="746"/>
      <c r="E892" s="747"/>
      <c r="F892" s="746"/>
      <c r="G892" s="746"/>
      <c r="H892" s="736"/>
      <c r="I892" s="736"/>
      <c r="J892" s="736"/>
      <c r="K892" s="736"/>
      <c r="L892" s="736"/>
      <c r="M892" s="736"/>
      <c r="N892" s="736"/>
      <c r="O892" s="736"/>
      <c r="P892" s="736"/>
      <c r="Q892" s="736"/>
      <c r="R892" s="736"/>
      <c r="S892" s="736"/>
      <c r="T892" s="736"/>
      <c r="U892" s="736"/>
    </row>
    <row r="893">
      <c r="A893" s="736"/>
      <c r="B893" s="736"/>
      <c r="C893" s="747"/>
      <c r="D893" s="746"/>
      <c r="E893" s="747"/>
      <c r="F893" s="746"/>
      <c r="G893" s="746"/>
      <c r="H893" s="736"/>
      <c r="I893" s="736"/>
      <c r="J893" s="736"/>
      <c r="K893" s="736"/>
      <c r="L893" s="736"/>
      <c r="M893" s="736"/>
      <c r="N893" s="736"/>
      <c r="O893" s="736"/>
      <c r="P893" s="736"/>
      <c r="Q893" s="736"/>
      <c r="R893" s="736"/>
      <c r="S893" s="736"/>
      <c r="T893" s="736"/>
      <c r="U893" s="736"/>
    </row>
    <row r="894">
      <c r="A894" s="736"/>
      <c r="B894" s="736"/>
      <c r="C894" s="747"/>
      <c r="D894" s="746"/>
      <c r="E894" s="747"/>
      <c r="F894" s="746"/>
      <c r="G894" s="746"/>
      <c r="H894" s="736"/>
      <c r="I894" s="736"/>
      <c r="J894" s="736"/>
      <c r="K894" s="736"/>
      <c r="L894" s="736"/>
      <c r="M894" s="736"/>
      <c r="N894" s="736"/>
      <c r="O894" s="736"/>
      <c r="P894" s="736"/>
      <c r="Q894" s="736"/>
      <c r="R894" s="736"/>
      <c r="S894" s="736"/>
      <c r="T894" s="736"/>
      <c r="U894" s="736"/>
    </row>
    <row r="895">
      <c r="A895" s="736"/>
      <c r="B895" s="736"/>
      <c r="C895" s="747"/>
      <c r="D895" s="746"/>
      <c r="E895" s="747"/>
      <c r="F895" s="746"/>
      <c r="G895" s="746"/>
      <c r="H895" s="736"/>
      <c r="I895" s="736"/>
      <c r="J895" s="736"/>
      <c r="K895" s="736"/>
      <c r="L895" s="736"/>
      <c r="M895" s="736"/>
      <c r="N895" s="736"/>
      <c r="O895" s="736"/>
      <c r="P895" s="736"/>
      <c r="Q895" s="736"/>
      <c r="R895" s="736"/>
      <c r="S895" s="736"/>
      <c r="T895" s="736"/>
      <c r="U895" s="736"/>
    </row>
    <row r="896">
      <c r="A896" s="736"/>
      <c r="B896" s="736"/>
      <c r="C896" s="747"/>
      <c r="D896" s="746"/>
      <c r="E896" s="747"/>
      <c r="F896" s="746"/>
      <c r="G896" s="746"/>
      <c r="H896" s="736"/>
      <c r="I896" s="736"/>
      <c r="J896" s="736"/>
      <c r="K896" s="736"/>
      <c r="L896" s="736"/>
      <c r="M896" s="736"/>
      <c r="N896" s="736"/>
      <c r="O896" s="736"/>
      <c r="P896" s="736"/>
      <c r="Q896" s="736"/>
      <c r="R896" s="736"/>
      <c r="S896" s="736"/>
      <c r="T896" s="736"/>
      <c r="U896" s="736"/>
    </row>
    <row r="897">
      <c r="A897" s="736"/>
      <c r="B897" s="736"/>
      <c r="C897" s="747"/>
      <c r="D897" s="746"/>
      <c r="E897" s="747"/>
      <c r="F897" s="746"/>
      <c r="G897" s="746"/>
      <c r="H897" s="736"/>
      <c r="I897" s="736"/>
      <c r="J897" s="736"/>
      <c r="K897" s="736"/>
      <c r="L897" s="736"/>
      <c r="M897" s="736"/>
      <c r="N897" s="736"/>
      <c r="O897" s="736"/>
      <c r="P897" s="736"/>
      <c r="Q897" s="736"/>
      <c r="R897" s="736"/>
      <c r="S897" s="736"/>
      <c r="T897" s="736"/>
      <c r="U897" s="736"/>
    </row>
    <row r="898">
      <c r="A898" s="736"/>
      <c r="B898" s="736"/>
      <c r="C898" s="747"/>
      <c r="D898" s="746"/>
      <c r="E898" s="747"/>
      <c r="F898" s="746"/>
      <c r="G898" s="746"/>
      <c r="H898" s="736"/>
      <c r="I898" s="736"/>
      <c r="J898" s="736"/>
      <c r="K898" s="736"/>
      <c r="L898" s="736"/>
      <c r="M898" s="736"/>
      <c r="N898" s="736"/>
      <c r="O898" s="736"/>
      <c r="P898" s="736"/>
      <c r="Q898" s="736"/>
      <c r="R898" s="736"/>
      <c r="S898" s="736"/>
      <c r="T898" s="736"/>
      <c r="U898" s="736"/>
    </row>
    <row r="899">
      <c r="A899" s="736"/>
      <c r="B899" s="736"/>
      <c r="C899" s="747"/>
      <c r="D899" s="746"/>
      <c r="E899" s="747"/>
      <c r="F899" s="746"/>
      <c r="G899" s="746"/>
      <c r="H899" s="736"/>
      <c r="I899" s="736"/>
      <c r="J899" s="736"/>
      <c r="K899" s="736"/>
      <c r="L899" s="736"/>
      <c r="M899" s="736"/>
      <c r="N899" s="736"/>
      <c r="O899" s="736"/>
      <c r="P899" s="736"/>
      <c r="Q899" s="736"/>
      <c r="R899" s="736"/>
      <c r="S899" s="736"/>
      <c r="T899" s="736"/>
      <c r="U899" s="736"/>
    </row>
    <row r="900">
      <c r="A900" s="736"/>
      <c r="B900" s="736"/>
      <c r="C900" s="747"/>
      <c r="D900" s="746"/>
      <c r="E900" s="747"/>
      <c r="F900" s="746"/>
      <c r="G900" s="746"/>
      <c r="H900" s="736"/>
      <c r="I900" s="736"/>
      <c r="J900" s="736"/>
      <c r="K900" s="736"/>
      <c r="L900" s="736"/>
      <c r="M900" s="736"/>
      <c r="N900" s="736"/>
      <c r="O900" s="736"/>
      <c r="P900" s="736"/>
      <c r="Q900" s="736"/>
      <c r="R900" s="736"/>
      <c r="S900" s="736"/>
      <c r="T900" s="736"/>
      <c r="U900" s="736"/>
    </row>
    <row r="901">
      <c r="A901" s="736"/>
      <c r="B901" s="736"/>
      <c r="C901" s="747"/>
      <c r="D901" s="746"/>
      <c r="E901" s="747"/>
      <c r="F901" s="746"/>
      <c r="G901" s="746"/>
      <c r="H901" s="736"/>
      <c r="I901" s="736"/>
      <c r="J901" s="736"/>
      <c r="K901" s="736"/>
      <c r="L901" s="736"/>
      <c r="M901" s="736"/>
      <c r="N901" s="736"/>
      <c r="O901" s="736"/>
      <c r="P901" s="736"/>
      <c r="Q901" s="736"/>
      <c r="R901" s="736"/>
      <c r="S901" s="736"/>
      <c r="T901" s="736"/>
      <c r="U901" s="736"/>
    </row>
    <row r="902">
      <c r="A902" s="736"/>
      <c r="B902" s="736"/>
      <c r="C902" s="747"/>
      <c r="D902" s="746"/>
      <c r="E902" s="747"/>
      <c r="F902" s="746"/>
      <c r="G902" s="746"/>
      <c r="H902" s="736"/>
      <c r="I902" s="736"/>
      <c r="J902" s="736"/>
      <c r="K902" s="736"/>
      <c r="L902" s="736"/>
      <c r="M902" s="736"/>
      <c r="N902" s="736"/>
      <c r="O902" s="736"/>
      <c r="P902" s="736"/>
      <c r="Q902" s="736"/>
      <c r="R902" s="736"/>
      <c r="S902" s="736"/>
      <c r="T902" s="736"/>
      <c r="U902" s="736"/>
    </row>
    <row r="903">
      <c r="A903" s="736"/>
      <c r="B903" s="736"/>
      <c r="C903" s="747"/>
      <c r="D903" s="746"/>
      <c r="E903" s="747"/>
      <c r="F903" s="746"/>
      <c r="G903" s="746"/>
      <c r="H903" s="736"/>
      <c r="I903" s="736"/>
      <c r="J903" s="736"/>
      <c r="K903" s="736"/>
      <c r="L903" s="736"/>
      <c r="M903" s="736"/>
      <c r="N903" s="736"/>
      <c r="O903" s="736"/>
      <c r="P903" s="736"/>
      <c r="Q903" s="736"/>
      <c r="R903" s="736"/>
      <c r="S903" s="736"/>
      <c r="T903" s="736"/>
      <c r="U903" s="736"/>
    </row>
    <row r="904">
      <c r="A904" s="736"/>
      <c r="B904" s="736"/>
      <c r="C904" s="747"/>
      <c r="D904" s="746"/>
      <c r="E904" s="747"/>
      <c r="F904" s="746"/>
      <c r="G904" s="746"/>
      <c r="H904" s="736"/>
      <c r="I904" s="736"/>
      <c r="J904" s="736"/>
      <c r="K904" s="736"/>
      <c r="L904" s="736"/>
      <c r="M904" s="736"/>
      <c r="N904" s="736"/>
      <c r="O904" s="736"/>
      <c r="P904" s="736"/>
      <c r="Q904" s="736"/>
      <c r="R904" s="736"/>
      <c r="S904" s="736"/>
      <c r="T904" s="736"/>
      <c r="U904" s="736"/>
    </row>
    <row r="905">
      <c r="A905" s="736"/>
      <c r="B905" s="736"/>
      <c r="C905" s="747"/>
      <c r="D905" s="746"/>
      <c r="E905" s="747"/>
      <c r="F905" s="746"/>
      <c r="G905" s="746"/>
      <c r="H905" s="736"/>
      <c r="I905" s="736"/>
      <c r="J905" s="736"/>
      <c r="K905" s="736"/>
      <c r="L905" s="736"/>
      <c r="M905" s="736"/>
      <c r="N905" s="736"/>
      <c r="O905" s="736"/>
      <c r="P905" s="736"/>
      <c r="Q905" s="736"/>
      <c r="R905" s="736"/>
      <c r="S905" s="736"/>
      <c r="T905" s="736"/>
      <c r="U905" s="736"/>
    </row>
    <row r="906">
      <c r="A906" s="736"/>
      <c r="B906" s="736"/>
      <c r="C906" s="747"/>
      <c r="D906" s="746"/>
      <c r="E906" s="747"/>
      <c r="F906" s="746"/>
      <c r="G906" s="746"/>
      <c r="H906" s="736"/>
      <c r="I906" s="736"/>
      <c r="J906" s="736"/>
      <c r="K906" s="736"/>
      <c r="L906" s="736"/>
      <c r="M906" s="736"/>
      <c r="N906" s="736"/>
      <c r="O906" s="736"/>
      <c r="P906" s="736"/>
      <c r="Q906" s="736"/>
      <c r="R906" s="736"/>
      <c r="S906" s="736"/>
      <c r="T906" s="736"/>
      <c r="U906" s="736"/>
    </row>
    <row r="907">
      <c r="A907" s="736"/>
      <c r="B907" s="736"/>
      <c r="C907" s="747"/>
      <c r="D907" s="746"/>
      <c r="E907" s="747"/>
      <c r="F907" s="746"/>
      <c r="G907" s="746"/>
      <c r="H907" s="736"/>
      <c r="I907" s="736"/>
      <c r="J907" s="736"/>
      <c r="K907" s="736"/>
      <c r="L907" s="736"/>
      <c r="M907" s="736"/>
      <c r="N907" s="736"/>
      <c r="O907" s="736"/>
      <c r="P907" s="736"/>
      <c r="Q907" s="736"/>
      <c r="R907" s="736"/>
      <c r="S907" s="736"/>
      <c r="T907" s="736"/>
      <c r="U907" s="736"/>
    </row>
    <row r="908">
      <c r="A908" s="736"/>
      <c r="B908" s="736"/>
      <c r="C908" s="747"/>
      <c r="D908" s="746"/>
      <c r="E908" s="747"/>
      <c r="F908" s="746"/>
      <c r="G908" s="746"/>
      <c r="H908" s="736"/>
      <c r="I908" s="736"/>
      <c r="J908" s="736"/>
      <c r="K908" s="736"/>
      <c r="L908" s="736"/>
      <c r="M908" s="736"/>
      <c r="N908" s="736"/>
      <c r="O908" s="736"/>
      <c r="P908" s="736"/>
      <c r="Q908" s="736"/>
      <c r="R908" s="736"/>
      <c r="S908" s="736"/>
      <c r="T908" s="736"/>
      <c r="U908" s="736"/>
    </row>
    <row r="909">
      <c r="A909" s="736"/>
      <c r="B909" s="736"/>
      <c r="C909" s="747"/>
      <c r="D909" s="746"/>
      <c r="E909" s="747"/>
      <c r="F909" s="746"/>
      <c r="G909" s="746"/>
      <c r="H909" s="736"/>
      <c r="I909" s="736"/>
      <c r="J909" s="736"/>
      <c r="K909" s="736"/>
      <c r="L909" s="736"/>
      <c r="M909" s="736"/>
      <c r="N909" s="736"/>
      <c r="O909" s="736"/>
      <c r="P909" s="736"/>
      <c r="Q909" s="736"/>
      <c r="R909" s="736"/>
      <c r="S909" s="736"/>
      <c r="T909" s="736"/>
      <c r="U909" s="736"/>
    </row>
    <row r="910">
      <c r="A910" s="736"/>
      <c r="B910" s="736"/>
      <c r="C910" s="747"/>
      <c r="D910" s="746"/>
      <c r="E910" s="747"/>
      <c r="F910" s="746"/>
      <c r="G910" s="746"/>
      <c r="H910" s="736"/>
      <c r="I910" s="736"/>
      <c r="J910" s="736"/>
      <c r="K910" s="736"/>
      <c r="L910" s="736"/>
      <c r="M910" s="736"/>
      <c r="N910" s="736"/>
      <c r="O910" s="736"/>
      <c r="P910" s="736"/>
      <c r="Q910" s="736"/>
      <c r="R910" s="736"/>
      <c r="S910" s="736"/>
      <c r="T910" s="736"/>
      <c r="U910" s="736"/>
    </row>
    <row r="911">
      <c r="A911" s="736"/>
      <c r="B911" s="736"/>
      <c r="C911" s="747"/>
      <c r="D911" s="746"/>
      <c r="E911" s="747"/>
      <c r="F911" s="746"/>
      <c r="G911" s="746"/>
      <c r="H911" s="736"/>
      <c r="I911" s="736"/>
      <c r="J911" s="736"/>
      <c r="K911" s="736"/>
      <c r="L911" s="736"/>
      <c r="M911" s="736"/>
      <c r="N911" s="736"/>
      <c r="O911" s="736"/>
      <c r="P911" s="736"/>
      <c r="Q911" s="736"/>
      <c r="R911" s="736"/>
      <c r="S911" s="736"/>
      <c r="T911" s="736"/>
      <c r="U911" s="736"/>
    </row>
    <row r="912">
      <c r="A912" s="736"/>
      <c r="B912" s="736"/>
      <c r="C912" s="747"/>
      <c r="D912" s="746"/>
      <c r="E912" s="747"/>
      <c r="F912" s="746"/>
      <c r="G912" s="746"/>
      <c r="H912" s="736"/>
      <c r="I912" s="736"/>
      <c r="J912" s="736"/>
      <c r="K912" s="736"/>
      <c r="L912" s="736"/>
      <c r="M912" s="736"/>
      <c r="N912" s="736"/>
      <c r="O912" s="736"/>
      <c r="P912" s="736"/>
      <c r="Q912" s="736"/>
      <c r="R912" s="736"/>
      <c r="S912" s="736"/>
      <c r="T912" s="736"/>
      <c r="U912" s="736"/>
    </row>
    <row r="913">
      <c r="A913" s="736"/>
      <c r="B913" s="736"/>
      <c r="C913" s="747"/>
      <c r="D913" s="746"/>
      <c r="E913" s="747"/>
      <c r="F913" s="746"/>
      <c r="G913" s="746"/>
      <c r="H913" s="736"/>
      <c r="I913" s="736"/>
      <c r="J913" s="736"/>
      <c r="K913" s="736"/>
      <c r="L913" s="736"/>
      <c r="M913" s="736"/>
      <c r="N913" s="736"/>
      <c r="O913" s="736"/>
      <c r="P913" s="736"/>
      <c r="Q913" s="736"/>
      <c r="R913" s="736"/>
      <c r="S913" s="736"/>
      <c r="T913" s="736"/>
      <c r="U913" s="736"/>
    </row>
    <row r="914">
      <c r="A914" s="736"/>
      <c r="B914" s="736"/>
      <c r="C914" s="747"/>
      <c r="D914" s="746"/>
      <c r="E914" s="747"/>
      <c r="F914" s="746"/>
      <c r="G914" s="746"/>
      <c r="H914" s="736"/>
      <c r="I914" s="736"/>
      <c r="J914" s="736"/>
      <c r="K914" s="736"/>
      <c r="L914" s="736"/>
      <c r="M914" s="736"/>
      <c r="N914" s="736"/>
      <c r="O914" s="736"/>
      <c r="P914" s="736"/>
      <c r="Q914" s="736"/>
      <c r="R914" s="736"/>
      <c r="S914" s="736"/>
      <c r="T914" s="736"/>
      <c r="U914" s="736"/>
    </row>
    <row r="915">
      <c r="A915" s="736"/>
      <c r="B915" s="736"/>
      <c r="C915" s="747"/>
      <c r="D915" s="746"/>
      <c r="E915" s="747"/>
      <c r="F915" s="746"/>
      <c r="G915" s="746"/>
      <c r="H915" s="736"/>
      <c r="I915" s="736"/>
      <c r="J915" s="736"/>
      <c r="K915" s="736"/>
      <c r="L915" s="736"/>
      <c r="M915" s="736"/>
      <c r="N915" s="736"/>
      <c r="O915" s="736"/>
      <c r="P915" s="736"/>
      <c r="Q915" s="736"/>
      <c r="R915" s="736"/>
      <c r="S915" s="736"/>
      <c r="T915" s="736"/>
      <c r="U915" s="736"/>
    </row>
    <row r="916">
      <c r="A916" s="736"/>
      <c r="B916" s="736"/>
      <c r="C916" s="747"/>
      <c r="D916" s="746"/>
      <c r="E916" s="747"/>
      <c r="F916" s="746"/>
      <c r="G916" s="746"/>
      <c r="H916" s="736"/>
      <c r="I916" s="736"/>
      <c r="J916" s="736"/>
      <c r="K916" s="736"/>
      <c r="L916" s="736"/>
      <c r="M916" s="736"/>
      <c r="N916" s="736"/>
      <c r="O916" s="736"/>
      <c r="P916" s="736"/>
      <c r="Q916" s="736"/>
      <c r="R916" s="736"/>
      <c r="S916" s="736"/>
      <c r="T916" s="736"/>
      <c r="U916" s="736"/>
    </row>
    <row r="917">
      <c r="A917" s="736"/>
      <c r="B917" s="736"/>
      <c r="C917" s="747"/>
      <c r="D917" s="746"/>
      <c r="E917" s="747"/>
      <c r="F917" s="746"/>
      <c r="G917" s="746"/>
      <c r="H917" s="736"/>
      <c r="I917" s="736"/>
      <c r="J917" s="736"/>
      <c r="K917" s="736"/>
      <c r="L917" s="736"/>
      <c r="M917" s="736"/>
      <c r="N917" s="736"/>
      <c r="O917" s="736"/>
      <c r="P917" s="736"/>
      <c r="Q917" s="736"/>
      <c r="R917" s="736"/>
      <c r="S917" s="736"/>
      <c r="T917" s="736"/>
      <c r="U917" s="736"/>
    </row>
    <row r="918">
      <c r="A918" s="736"/>
      <c r="B918" s="736"/>
      <c r="C918" s="747"/>
      <c r="D918" s="746"/>
      <c r="E918" s="747"/>
      <c r="F918" s="746"/>
      <c r="G918" s="746"/>
      <c r="H918" s="736"/>
      <c r="I918" s="736"/>
      <c r="J918" s="736"/>
      <c r="K918" s="736"/>
      <c r="L918" s="736"/>
      <c r="M918" s="736"/>
      <c r="N918" s="736"/>
      <c r="O918" s="736"/>
      <c r="P918" s="736"/>
      <c r="Q918" s="736"/>
      <c r="R918" s="736"/>
      <c r="S918" s="736"/>
      <c r="T918" s="736"/>
      <c r="U918" s="736"/>
    </row>
    <row r="919">
      <c r="A919" s="736"/>
      <c r="B919" s="736"/>
      <c r="C919" s="747"/>
      <c r="D919" s="746"/>
      <c r="E919" s="747"/>
      <c r="F919" s="746"/>
      <c r="G919" s="746"/>
      <c r="H919" s="736"/>
      <c r="I919" s="736"/>
      <c r="J919" s="736"/>
      <c r="K919" s="736"/>
      <c r="L919" s="736"/>
      <c r="M919" s="736"/>
      <c r="N919" s="736"/>
      <c r="O919" s="736"/>
      <c r="P919" s="736"/>
      <c r="Q919" s="736"/>
      <c r="R919" s="736"/>
      <c r="S919" s="736"/>
      <c r="T919" s="736"/>
      <c r="U919" s="736"/>
    </row>
    <row r="920">
      <c r="A920" s="736"/>
      <c r="B920" s="736"/>
      <c r="C920" s="747"/>
      <c r="D920" s="746"/>
      <c r="E920" s="747"/>
      <c r="F920" s="746"/>
      <c r="G920" s="746"/>
      <c r="H920" s="736"/>
      <c r="I920" s="736"/>
      <c r="J920" s="736"/>
      <c r="K920" s="736"/>
      <c r="L920" s="736"/>
      <c r="M920" s="736"/>
      <c r="N920" s="736"/>
      <c r="O920" s="736"/>
      <c r="P920" s="736"/>
      <c r="Q920" s="736"/>
      <c r="R920" s="736"/>
      <c r="S920" s="736"/>
      <c r="T920" s="736"/>
      <c r="U920" s="736"/>
    </row>
    <row r="921">
      <c r="A921" s="736"/>
      <c r="B921" s="736"/>
      <c r="C921" s="747"/>
      <c r="D921" s="746"/>
      <c r="E921" s="747"/>
      <c r="F921" s="746"/>
      <c r="G921" s="746"/>
      <c r="H921" s="736"/>
      <c r="I921" s="736"/>
      <c r="J921" s="736"/>
      <c r="K921" s="736"/>
      <c r="L921" s="736"/>
      <c r="M921" s="736"/>
      <c r="N921" s="736"/>
      <c r="O921" s="736"/>
      <c r="P921" s="736"/>
      <c r="Q921" s="736"/>
      <c r="R921" s="736"/>
      <c r="S921" s="736"/>
      <c r="T921" s="736"/>
      <c r="U921" s="736"/>
    </row>
    <row r="922">
      <c r="A922" s="736"/>
      <c r="B922" s="736"/>
      <c r="C922" s="747"/>
      <c r="D922" s="746"/>
      <c r="E922" s="747"/>
      <c r="F922" s="746"/>
      <c r="G922" s="746"/>
      <c r="H922" s="736"/>
      <c r="I922" s="736"/>
      <c r="J922" s="736"/>
      <c r="K922" s="736"/>
      <c r="L922" s="736"/>
      <c r="M922" s="736"/>
      <c r="N922" s="736"/>
      <c r="O922" s="736"/>
      <c r="P922" s="736"/>
      <c r="Q922" s="736"/>
      <c r="R922" s="736"/>
      <c r="S922" s="736"/>
      <c r="T922" s="736"/>
      <c r="U922" s="736"/>
    </row>
    <row r="923">
      <c r="A923" s="736"/>
      <c r="B923" s="736"/>
      <c r="C923" s="747"/>
      <c r="D923" s="746"/>
      <c r="E923" s="747"/>
      <c r="F923" s="746"/>
      <c r="G923" s="746"/>
      <c r="H923" s="736"/>
      <c r="I923" s="736"/>
      <c r="J923" s="736"/>
      <c r="K923" s="736"/>
      <c r="L923" s="736"/>
      <c r="M923" s="736"/>
      <c r="N923" s="736"/>
      <c r="O923" s="736"/>
      <c r="P923" s="736"/>
      <c r="Q923" s="736"/>
      <c r="R923" s="736"/>
      <c r="S923" s="736"/>
      <c r="T923" s="736"/>
      <c r="U923" s="736"/>
    </row>
    <row r="924">
      <c r="A924" s="736"/>
      <c r="B924" s="736"/>
      <c r="C924" s="747"/>
      <c r="D924" s="746"/>
      <c r="E924" s="747"/>
      <c r="F924" s="746"/>
      <c r="G924" s="746"/>
      <c r="H924" s="736"/>
      <c r="I924" s="736"/>
      <c r="J924" s="736"/>
      <c r="K924" s="736"/>
      <c r="L924" s="736"/>
      <c r="M924" s="736"/>
      <c r="N924" s="736"/>
      <c r="O924" s="736"/>
      <c r="P924" s="736"/>
      <c r="Q924" s="736"/>
      <c r="R924" s="736"/>
      <c r="S924" s="736"/>
      <c r="T924" s="736"/>
      <c r="U924" s="736"/>
    </row>
    <row r="925">
      <c r="A925" s="736"/>
      <c r="B925" s="736"/>
      <c r="C925" s="747"/>
      <c r="D925" s="746"/>
      <c r="E925" s="747"/>
      <c r="F925" s="746"/>
      <c r="G925" s="746"/>
      <c r="H925" s="736"/>
      <c r="I925" s="736"/>
      <c r="J925" s="736"/>
      <c r="K925" s="736"/>
      <c r="L925" s="736"/>
      <c r="M925" s="736"/>
      <c r="N925" s="736"/>
      <c r="O925" s="736"/>
      <c r="P925" s="736"/>
      <c r="Q925" s="736"/>
      <c r="R925" s="736"/>
      <c r="S925" s="736"/>
      <c r="T925" s="736"/>
      <c r="U925" s="736"/>
    </row>
    <row r="926">
      <c r="A926" s="736"/>
      <c r="B926" s="736"/>
      <c r="C926" s="747"/>
      <c r="D926" s="746"/>
      <c r="E926" s="747"/>
      <c r="F926" s="746"/>
      <c r="G926" s="746"/>
      <c r="H926" s="736"/>
      <c r="I926" s="736"/>
      <c r="J926" s="736"/>
      <c r="K926" s="736"/>
      <c r="L926" s="736"/>
      <c r="M926" s="736"/>
      <c r="N926" s="736"/>
      <c r="O926" s="736"/>
      <c r="P926" s="736"/>
      <c r="Q926" s="736"/>
      <c r="R926" s="736"/>
      <c r="S926" s="736"/>
      <c r="T926" s="736"/>
      <c r="U926" s="736"/>
    </row>
    <row r="927">
      <c r="A927" s="736"/>
      <c r="B927" s="736"/>
      <c r="C927" s="747"/>
      <c r="D927" s="746"/>
      <c r="E927" s="747"/>
      <c r="F927" s="746"/>
      <c r="G927" s="746"/>
      <c r="H927" s="736"/>
      <c r="I927" s="736"/>
      <c r="J927" s="736"/>
      <c r="K927" s="736"/>
      <c r="L927" s="736"/>
      <c r="M927" s="736"/>
      <c r="N927" s="736"/>
      <c r="O927" s="736"/>
      <c r="P927" s="736"/>
      <c r="Q927" s="736"/>
      <c r="R927" s="736"/>
      <c r="S927" s="736"/>
      <c r="T927" s="736"/>
      <c r="U927" s="736"/>
    </row>
    <row r="928">
      <c r="A928" s="736"/>
      <c r="B928" s="736"/>
      <c r="C928" s="747"/>
      <c r="D928" s="746"/>
      <c r="E928" s="747"/>
      <c r="F928" s="746"/>
      <c r="G928" s="746"/>
      <c r="H928" s="736"/>
      <c r="I928" s="736"/>
      <c r="J928" s="736"/>
      <c r="K928" s="736"/>
      <c r="L928" s="736"/>
      <c r="M928" s="736"/>
      <c r="N928" s="736"/>
      <c r="O928" s="736"/>
      <c r="P928" s="736"/>
      <c r="Q928" s="736"/>
      <c r="R928" s="736"/>
      <c r="S928" s="736"/>
      <c r="T928" s="736"/>
      <c r="U928" s="736"/>
    </row>
    <row r="929">
      <c r="A929" s="736"/>
      <c r="B929" s="736"/>
      <c r="C929" s="747"/>
      <c r="D929" s="746"/>
      <c r="E929" s="747"/>
      <c r="F929" s="746"/>
      <c r="G929" s="746"/>
      <c r="H929" s="736"/>
      <c r="I929" s="736"/>
      <c r="J929" s="736"/>
      <c r="K929" s="736"/>
      <c r="L929" s="736"/>
      <c r="M929" s="736"/>
      <c r="N929" s="736"/>
      <c r="O929" s="736"/>
      <c r="P929" s="736"/>
      <c r="Q929" s="736"/>
      <c r="R929" s="736"/>
      <c r="S929" s="736"/>
      <c r="T929" s="736"/>
      <c r="U929" s="736"/>
    </row>
    <row r="930">
      <c r="A930" s="736"/>
      <c r="B930" s="736"/>
      <c r="C930" s="747"/>
      <c r="D930" s="746"/>
      <c r="E930" s="747"/>
      <c r="F930" s="746"/>
      <c r="G930" s="746"/>
      <c r="H930" s="736"/>
      <c r="I930" s="736"/>
      <c r="J930" s="736"/>
      <c r="K930" s="736"/>
      <c r="L930" s="736"/>
      <c r="M930" s="736"/>
      <c r="N930" s="736"/>
      <c r="O930" s="736"/>
      <c r="P930" s="736"/>
      <c r="Q930" s="736"/>
      <c r="R930" s="736"/>
      <c r="S930" s="736"/>
      <c r="T930" s="736"/>
      <c r="U930" s="736"/>
    </row>
    <row r="931">
      <c r="A931" s="736"/>
      <c r="B931" s="736"/>
      <c r="C931" s="747"/>
      <c r="D931" s="746"/>
      <c r="E931" s="747"/>
      <c r="F931" s="746"/>
      <c r="G931" s="746"/>
      <c r="H931" s="736"/>
      <c r="I931" s="736"/>
      <c r="J931" s="736"/>
      <c r="K931" s="736"/>
      <c r="L931" s="736"/>
      <c r="M931" s="736"/>
      <c r="N931" s="736"/>
      <c r="O931" s="736"/>
      <c r="P931" s="736"/>
      <c r="Q931" s="736"/>
      <c r="R931" s="736"/>
      <c r="S931" s="736"/>
      <c r="T931" s="736"/>
      <c r="U931" s="736"/>
    </row>
    <row r="932">
      <c r="A932" s="736"/>
      <c r="B932" s="736"/>
      <c r="C932" s="747"/>
      <c r="D932" s="746"/>
      <c r="E932" s="747"/>
      <c r="F932" s="746"/>
      <c r="G932" s="746"/>
      <c r="H932" s="736"/>
      <c r="I932" s="736"/>
      <c r="J932" s="736"/>
      <c r="K932" s="736"/>
      <c r="L932" s="736"/>
      <c r="M932" s="736"/>
      <c r="N932" s="736"/>
      <c r="O932" s="736"/>
      <c r="P932" s="736"/>
      <c r="Q932" s="736"/>
      <c r="R932" s="736"/>
      <c r="S932" s="736"/>
      <c r="T932" s="736"/>
      <c r="U932" s="736"/>
    </row>
    <row r="933">
      <c r="A933" s="736"/>
      <c r="B933" s="736"/>
      <c r="C933" s="747"/>
      <c r="D933" s="746"/>
      <c r="E933" s="747"/>
      <c r="F933" s="746"/>
      <c r="G933" s="746"/>
      <c r="H933" s="736"/>
      <c r="I933" s="736"/>
      <c r="J933" s="736"/>
      <c r="K933" s="736"/>
      <c r="L933" s="736"/>
      <c r="M933" s="736"/>
      <c r="N933" s="736"/>
      <c r="O933" s="736"/>
      <c r="P933" s="736"/>
      <c r="Q933" s="736"/>
      <c r="R933" s="736"/>
      <c r="S933" s="736"/>
      <c r="T933" s="736"/>
      <c r="U933" s="736"/>
    </row>
    <row r="934">
      <c r="A934" s="736"/>
      <c r="B934" s="736"/>
      <c r="C934" s="747"/>
      <c r="D934" s="746"/>
      <c r="E934" s="747"/>
      <c r="F934" s="746"/>
      <c r="G934" s="746"/>
      <c r="H934" s="736"/>
      <c r="I934" s="736"/>
      <c r="J934" s="736"/>
      <c r="K934" s="736"/>
      <c r="L934" s="736"/>
      <c r="M934" s="736"/>
      <c r="N934" s="736"/>
      <c r="O934" s="736"/>
      <c r="P934" s="736"/>
      <c r="Q934" s="736"/>
      <c r="R934" s="736"/>
      <c r="S934" s="736"/>
      <c r="T934" s="736"/>
      <c r="U934" s="736"/>
    </row>
    <row r="935">
      <c r="A935" s="736"/>
      <c r="B935" s="736"/>
      <c r="C935" s="747"/>
      <c r="D935" s="746"/>
      <c r="E935" s="747"/>
      <c r="F935" s="746"/>
      <c r="G935" s="746"/>
      <c r="H935" s="736"/>
      <c r="I935" s="736"/>
      <c r="J935" s="736"/>
      <c r="K935" s="736"/>
      <c r="L935" s="736"/>
      <c r="M935" s="736"/>
      <c r="N935" s="736"/>
      <c r="O935" s="736"/>
      <c r="P935" s="736"/>
      <c r="Q935" s="736"/>
      <c r="R935" s="736"/>
      <c r="S935" s="736"/>
      <c r="T935" s="736"/>
      <c r="U935" s="736"/>
    </row>
    <row r="936">
      <c r="A936" s="736"/>
      <c r="B936" s="736"/>
      <c r="C936" s="747"/>
      <c r="D936" s="746"/>
      <c r="E936" s="747"/>
      <c r="F936" s="746"/>
      <c r="G936" s="746"/>
      <c r="H936" s="736"/>
      <c r="I936" s="736"/>
      <c r="J936" s="736"/>
      <c r="K936" s="736"/>
      <c r="L936" s="736"/>
      <c r="M936" s="736"/>
      <c r="N936" s="736"/>
      <c r="O936" s="736"/>
      <c r="P936" s="736"/>
      <c r="Q936" s="736"/>
      <c r="R936" s="736"/>
      <c r="S936" s="736"/>
      <c r="T936" s="736"/>
      <c r="U936" s="736"/>
    </row>
    <row r="937">
      <c r="A937" s="736"/>
      <c r="B937" s="736"/>
      <c r="C937" s="747"/>
      <c r="D937" s="746"/>
      <c r="E937" s="747"/>
      <c r="F937" s="746"/>
      <c r="G937" s="746"/>
      <c r="H937" s="736"/>
      <c r="I937" s="736"/>
      <c r="J937" s="736"/>
      <c r="K937" s="736"/>
      <c r="L937" s="736"/>
      <c r="M937" s="736"/>
      <c r="N937" s="736"/>
      <c r="O937" s="736"/>
      <c r="P937" s="736"/>
      <c r="Q937" s="736"/>
      <c r="R937" s="736"/>
      <c r="S937" s="736"/>
      <c r="T937" s="736"/>
      <c r="U937" s="736"/>
    </row>
    <row r="938">
      <c r="A938" s="736"/>
      <c r="B938" s="736"/>
      <c r="C938" s="747"/>
      <c r="D938" s="746"/>
      <c r="E938" s="747"/>
      <c r="F938" s="746"/>
      <c r="G938" s="746"/>
      <c r="H938" s="736"/>
      <c r="I938" s="736"/>
      <c r="J938" s="736"/>
      <c r="K938" s="736"/>
      <c r="L938" s="736"/>
      <c r="M938" s="736"/>
      <c r="N938" s="736"/>
      <c r="O938" s="736"/>
      <c r="P938" s="736"/>
      <c r="Q938" s="736"/>
      <c r="R938" s="736"/>
      <c r="S938" s="736"/>
      <c r="T938" s="736"/>
      <c r="U938" s="736"/>
    </row>
    <row r="939">
      <c r="A939" s="736"/>
      <c r="B939" s="736"/>
      <c r="C939" s="747"/>
      <c r="D939" s="746"/>
      <c r="E939" s="747"/>
      <c r="F939" s="746"/>
      <c r="G939" s="746"/>
      <c r="H939" s="736"/>
      <c r="I939" s="736"/>
      <c r="J939" s="736"/>
      <c r="K939" s="736"/>
      <c r="L939" s="736"/>
      <c r="M939" s="736"/>
      <c r="N939" s="736"/>
      <c r="O939" s="736"/>
      <c r="P939" s="736"/>
      <c r="Q939" s="736"/>
      <c r="R939" s="736"/>
      <c r="S939" s="736"/>
      <c r="T939" s="736"/>
      <c r="U939" s="736"/>
    </row>
    <row r="940">
      <c r="A940" s="736"/>
      <c r="B940" s="736"/>
      <c r="C940" s="747"/>
      <c r="D940" s="746"/>
      <c r="E940" s="747"/>
      <c r="F940" s="746"/>
      <c r="G940" s="746"/>
      <c r="H940" s="736"/>
      <c r="I940" s="736"/>
      <c r="J940" s="736"/>
      <c r="K940" s="736"/>
      <c r="L940" s="736"/>
      <c r="M940" s="736"/>
      <c r="N940" s="736"/>
      <c r="O940" s="736"/>
      <c r="P940" s="736"/>
      <c r="Q940" s="736"/>
      <c r="R940" s="736"/>
      <c r="S940" s="736"/>
      <c r="T940" s="736"/>
      <c r="U940" s="736"/>
    </row>
    <row r="941">
      <c r="A941" s="736"/>
      <c r="B941" s="736"/>
      <c r="C941" s="747"/>
      <c r="D941" s="746"/>
      <c r="E941" s="747"/>
      <c r="F941" s="746"/>
      <c r="G941" s="746"/>
      <c r="H941" s="736"/>
      <c r="I941" s="736"/>
      <c r="J941" s="736"/>
      <c r="K941" s="736"/>
      <c r="L941" s="736"/>
      <c r="M941" s="736"/>
      <c r="N941" s="736"/>
      <c r="O941" s="736"/>
      <c r="P941" s="736"/>
      <c r="Q941" s="736"/>
      <c r="R941" s="736"/>
      <c r="S941" s="736"/>
      <c r="T941" s="736"/>
      <c r="U941" s="736"/>
    </row>
    <row r="942">
      <c r="A942" s="736"/>
      <c r="B942" s="736"/>
      <c r="C942" s="747"/>
      <c r="D942" s="746"/>
      <c r="E942" s="747"/>
      <c r="F942" s="746"/>
      <c r="G942" s="746"/>
      <c r="H942" s="736"/>
      <c r="I942" s="736"/>
      <c r="J942" s="736"/>
      <c r="K942" s="736"/>
      <c r="L942" s="736"/>
      <c r="M942" s="736"/>
      <c r="N942" s="736"/>
      <c r="O942" s="736"/>
      <c r="P942" s="736"/>
      <c r="Q942" s="736"/>
      <c r="R942" s="736"/>
      <c r="S942" s="736"/>
      <c r="T942" s="736"/>
      <c r="U942" s="736"/>
    </row>
    <row r="943">
      <c r="A943" s="736"/>
      <c r="B943" s="736"/>
      <c r="C943" s="747"/>
      <c r="D943" s="746"/>
      <c r="E943" s="747"/>
      <c r="F943" s="746"/>
      <c r="G943" s="746"/>
      <c r="H943" s="736"/>
      <c r="I943" s="736"/>
      <c r="J943" s="736"/>
      <c r="K943" s="736"/>
      <c r="L943" s="736"/>
      <c r="M943" s="736"/>
      <c r="N943" s="736"/>
      <c r="O943" s="736"/>
      <c r="P943" s="736"/>
      <c r="Q943" s="736"/>
      <c r="R943" s="736"/>
      <c r="S943" s="736"/>
      <c r="T943" s="736"/>
      <c r="U943" s="736"/>
    </row>
    <row r="944">
      <c r="A944" s="736"/>
      <c r="B944" s="736"/>
      <c r="C944" s="747"/>
      <c r="D944" s="746"/>
      <c r="E944" s="747"/>
      <c r="F944" s="746"/>
      <c r="G944" s="746"/>
      <c r="H944" s="736"/>
      <c r="I944" s="736"/>
      <c r="J944" s="736"/>
      <c r="K944" s="736"/>
      <c r="L944" s="736"/>
      <c r="M944" s="736"/>
      <c r="N944" s="736"/>
      <c r="O944" s="736"/>
      <c r="P944" s="736"/>
      <c r="Q944" s="736"/>
      <c r="R944" s="736"/>
      <c r="S944" s="736"/>
      <c r="T944" s="736"/>
      <c r="U944" s="736"/>
    </row>
    <row r="945">
      <c r="A945" s="736"/>
      <c r="B945" s="736"/>
      <c r="C945" s="747"/>
      <c r="D945" s="746"/>
      <c r="E945" s="747"/>
      <c r="F945" s="746"/>
      <c r="G945" s="746"/>
      <c r="H945" s="736"/>
      <c r="I945" s="736"/>
      <c r="J945" s="736"/>
      <c r="K945" s="736"/>
      <c r="L945" s="736"/>
      <c r="M945" s="736"/>
      <c r="N945" s="736"/>
      <c r="O945" s="736"/>
      <c r="P945" s="736"/>
      <c r="Q945" s="736"/>
      <c r="R945" s="736"/>
      <c r="S945" s="736"/>
      <c r="T945" s="736"/>
      <c r="U945" s="736"/>
    </row>
    <row r="946">
      <c r="A946" s="736"/>
      <c r="B946" s="736"/>
      <c r="C946" s="747"/>
      <c r="D946" s="746"/>
      <c r="E946" s="747"/>
      <c r="F946" s="746"/>
      <c r="G946" s="746"/>
      <c r="H946" s="736"/>
      <c r="I946" s="736"/>
      <c r="J946" s="736"/>
      <c r="K946" s="736"/>
      <c r="L946" s="736"/>
      <c r="M946" s="736"/>
      <c r="N946" s="736"/>
      <c r="O946" s="736"/>
      <c r="P946" s="736"/>
      <c r="Q946" s="736"/>
      <c r="R946" s="736"/>
      <c r="S946" s="736"/>
      <c r="T946" s="736"/>
      <c r="U946" s="736"/>
    </row>
    <row r="947">
      <c r="A947" s="736"/>
      <c r="B947" s="736"/>
      <c r="C947" s="747"/>
      <c r="D947" s="746"/>
      <c r="E947" s="747"/>
      <c r="F947" s="746"/>
      <c r="G947" s="746"/>
      <c r="H947" s="736"/>
      <c r="I947" s="736"/>
      <c r="J947" s="736"/>
      <c r="K947" s="736"/>
      <c r="L947" s="736"/>
      <c r="M947" s="736"/>
      <c r="N947" s="736"/>
      <c r="O947" s="736"/>
      <c r="P947" s="736"/>
      <c r="Q947" s="736"/>
      <c r="R947" s="736"/>
      <c r="S947" s="736"/>
      <c r="T947" s="736"/>
      <c r="U947" s="736"/>
    </row>
    <row r="948">
      <c r="A948" s="736"/>
      <c r="B948" s="736"/>
      <c r="C948" s="747"/>
      <c r="D948" s="746"/>
      <c r="E948" s="747"/>
      <c r="F948" s="746"/>
      <c r="G948" s="746"/>
      <c r="H948" s="736"/>
      <c r="I948" s="736"/>
      <c r="J948" s="736"/>
      <c r="K948" s="736"/>
      <c r="L948" s="736"/>
      <c r="M948" s="736"/>
      <c r="N948" s="736"/>
      <c r="O948" s="736"/>
      <c r="P948" s="736"/>
      <c r="Q948" s="736"/>
      <c r="R948" s="736"/>
      <c r="S948" s="736"/>
      <c r="T948" s="736"/>
      <c r="U948" s="736"/>
    </row>
    <row r="949">
      <c r="A949" s="736"/>
      <c r="B949" s="736"/>
      <c r="C949" s="747"/>
      <c r="D949" s="746"/>
      <c r="E949" s="747"/>
      <c r="F949" s="746"/>
      <c r="G949" s="746"/>
      <c r="H949" s="736"/>
      <c r="I949" s="736"/>
      <c r="J949" s="736"/>
      <c r="K949" s="736"/>
      <c r="L949" s="736"/>
      <c r="M949" s="736"/>
      <c r="N949" s="736"/>
      <c r="O949" s="736"/>
      <c r="P949" s="736"/>
      <c r="Q949" s="736"/>
      <c r="R949" s="736"/>
      <c r="S949" s="736"/>
      <c r="T949" s="736"/>
      <c r="U949" s="736"/>
    </row>
    <row r="950">
      <c r="A950" s="736"/>
      <c r="B950" s="736"/>
      <c r="C950" s="747"/>
      <c r="D950" s="746"/>
      <c r="E950" s="747"/>
      <c r="F950" s="746"/>
      <c r="G950" s="746"/>
      <c r="H950" s="736"/>
      <c r="I950" s="736"/>
      <c r="J950" s="736"/>
      <c r="K950" s="736"/>
      <c r="L950" s="736"/>
      <c r="M950" s="736"/>
      <c r="N950" s="736"/>
      <c r="O950" s="736"/>
      <c r="P950" s="736"/>
      <c r="Q950" s="736"/>
      <c r="R950" s="736"/>
      <c r="S950" s="736"/>
      <c r="T950" s="736"/>
      <c r="U950" s="736"/>
    </row>
    <row r="951">
      <c r="A951" s="736"/>
      <c r="B951" s="736"/>
      <c r="C951" s="747"/>
      <c r="D951" s="746"/>
      <c r="E951" s="747"/>
      <c r="F951" s="746"/>
      <c r="G951" s="746"/>
      <c r="H951" s="736"/>
      <c r="I951" s="736"/>
      <c r="J951" s="736"/>
      <c r="K951" s="736"/>
      <c r="L951" s="736"/>
      <c r="M951" s="736"/>
      <c r="N951" s="736"/>
      <c r="O951" s="736"/>
      <c r="P951" s="736"/>
      <c r="Q951" s="736"/>
      <c r="R951" s="736"/>
      <c r="S951" s="736"/>
      <c r="T951" s="736"/>
      <c r="U951" s="736"/>
    </row>
    <row r="952">
      <c r="A952" s="736"/>
      <c r="B952" s="736"/>
      <c r="C952" s="747"/>
      <c r="D952" s="746"/>
      <c r="E952" s="747"/>
      <c r="F952" s="746"/>
      <c r="G952" s="746"/>
      <c r="H952" s="736"/>
      <c r="I952" s="736"/>
      <c r="J952" s="736"/>
      <c r="K952" s="736"/>
      <c r="L952" s="736"/>
      <c r="M952" s="736"/>
      <c r="N952" s="736"/>
      <c r="O952" s="736"/>
      <c r="P952" s="736"/>
      <c r="Q952" s="736"/>
      <c r="R952" s="736"/>
      <c r="S952" s="736"/>
      <c r="T952" s="736"/>
      <c r="U952" s="736"/>
    </row>
    <row r="953">
      <c r="A953" s="736"/>
      <c r="B953" s="736"/>
      <c r="C953" s="747"/>
      <c r="D953" s="746"/>
      <c r="E953" s="747"/>
      <c r="F953" s="746"/>
      <c r="G953" s="746"/>
      <c r="H953" s="736"/>
      <c r="I953" s="736"/>
      <c r="J953" s="736"/>
      <c r="K953" s="736"/>
      <c r="L953" s="736"/>
      <c r="M953" s="736"/>
      <c r="N953" s="736"/>
      <c r="O953" s="736"/>
      <c r="P953" s="736"/>
      <c r="Q953" s="736"/>
      <c r="R953" s="736"/>
      <c r="S953" s="736"/>
      <c r="T953" s="736"/>
      <c r="U953" s="736"/>
    </row>
    <row r="954">
      <c r="A954" s="736"/>
      <c r="B954" s="736"/>
      <c r="C954" s="747"/>
      <c r="D954" s="746"/>
      <c r="E954" s="747"/>
      <c r="F954" s="746"/>
      <c r="G954" s="746"/>
      <c r="H954" s="736"/>
      <c r="I954" s="736"/>
      <c r="J954" s="736"/>
      <c r="K954" s="736"/>
      <c r="L954" s="736"/>
      <c r="M954" s="736"/>
      <c r="N954" s="736"/>
      <c r="O954" s="736"/>
      <c r="P954" s="736"/>
      <c r="Q954" s="736"/>
      <c r="R954" s="736"/>
      <c r="S954" s="736"/>
      <c r="T954" s="736"/>
      <c r="U954" s="736"/>
    </row>
    <row r="955">
      <c r="A955" s="736"/>
      <c r="B955" s="736"/>
      <c r="C955" s="747"/>
      <c r="D955" s="746"/>
      <c r="E955" s="747"/>
      <c r="F955" s="746"/>
      <c r="G955" s="746"/>
      <c r="H955" s="736"/>
      <c r="I955" s="736"/>
      <c r="J955" s="736"/>
      <c r="K955" s="736"/>
      <c r="L955" s="736"/>
      <c r="M955" s="736"/>
      <c r="N955" s="736"/>
      <c r="O955" s="736"/>
      <c r="P955" s="736"/>
      <c r="Q955" s="736"/>
      <c r="R955" s="736"/>
      <c r="S955" s="736"/>
      <c r="T955" s="736"/>
      <c r="U955" s="736"/>
    </row>
    <row r="956">
      <c r="A956" s="736"/>
      <c r="B956" s="736"/>
      <c r="C956" s="747"/>
      <c r="D956" s="746"/>
      <c r="E956" s="747"/>
      <c r="F956" s="746"/>
      <c r="G956" s="746"/>
      <c r="H956" s="736"/>
      <c r="I956" s="736"/>
      <c r="J956" s="736"/>
      <c r="K956" s="736"/>
      <c r="L956" s="736"/>
      <c r="M956" s="736"/>
      <c r="N956" s="736"/>
      <c r="O956" s="736"/>
      <c r="P956" s="736"/>
      <c r="Q956" s="736"/>
      <c r="R956" s="736"/>
      <c r="S956" s="736"/>
      <c r="T956" s="736"/>
      <c r="U956" s="736"/>
    </row>
    <row r="957">
      <c r="A957" s="736"/>
      <c r="B957" s="736"/>
      <c r="C957" s="747"/>
      <c r="D957" s="746"/>
      <c r="E957" s="747"/>
      <c r="F957" s="746"/>
      <c r="G957" s="746"/>
      <c r="H957" s="736"/>
      <c r="I957" s="736"/>
      <c r="J957" s="736"/>
      <c r="K957" s="736"/>
      <c r="L957" s="736"/>
      <c r="M957" s="736"/>
      <c r="N957" s="736"/>
      <c r="O957" s="736"/>
      <c r="P957" s="736"/>
      <c r="Q957" s="736"/>
      <c r="R957" s="736"/>
      <c r="S957" s="736"/>
      <c r="T957" s="736"/>
      <c r="U957" s="736"/>
    </row>
    <row r="958">
      <c r="A958" s="736"/>
      <c r="B958" s="736"/>
      <c r="C958" s="747"/>
      <c r="D958" s="746"/>
      <c r="E958" s="747"/>
      <c r="F958" s="746"/>
      <c r="G958" s="746"/>
      <c r="H958" s="736"/>
      <c r="I958" s="736"/>
      <c r="J958" s="736"/>
      <c r="K958" s="736"/>
      <c r="L958" s="736"/>
      <c r="M958" s="736"/>
      <c r="N958" s="736"/>
      <c r="O958" s="736"/>
      <c r="P958" s="736"/>
      <c r="Q958" s="736"/>
      <c r="R958" s="736"/>
      <c r="S958" s="736"/>
      <c r="T958" s="736"/>
      <c r="U958" s="736"/>
    </row>
    <row r="959">
      <c r="A959" s="736"/>
      <c r="B959" s="736"/>
      <c r="C959" s="747"/>
      <c r="D959" s="746"/>
      <c r="E959" s="747"/>
      <c r="F959" s="746"/>
      <c r="G959" s="746"/>
      <c r="H959" s="736"/>
      <c r="I959" s="736"/>
      <c r="J959" s="736"/>
      <c r="K959" s="736"/>
      <c r="L959" s="736"/>
      <c r="M959" s="736"/>
      <c r="N959" s="736"/>
      <c r="O959" s="736"/>
      <c r="P959" s="736"/>
      <c r="Q959" s="736"/>
      <c r="R959" s="736"/>
      <c r="S959" s="736"/>
      <c r="T959" s="736"/>
      <c r="U959" s="736"/>
    </row>
    <row r="960">
      <c r="A960" s="736"/>
      <c r="B960" s="736"/>
      <c r="C960" s="747"/>
      <c r="D960" s="746"/>
      <c r="E960" s="747"/>
      <c r="F960" s="746"/>
      <c r="G960" s="746"/>
      <c r="H960" s="736"/>
      <c r="I960" s="736"/>
      <c r="J960" s="736"/>
      <c r="K960" s="736"/>
      <c r="L960" s="736"/>
      <c r="M960" s="736"/>
      <c r="N960" s="736"/>
      <c r="O960" s="736"/>
      <c r="P960" s="736"/>
      <c r="Q960" s="736"/>
      <c r="R960" s="736"/>
      <c r="S960" s="736"/>
      <c r="T960" s="736"/>
      <c r="U960" s="736"/>
    </row>
    <row r="961">
      <c r="A961" s="736"/>
      <c r="B961" s="736"/>
      <c r="C961" s="747"/>
      <c r="D961" s="746"/>
      <c r="E961" s="747"/>
      <c r="F961" s="746"/>
      <c r="G961" s="746"/>
      <c r="H961" s="736"/>
      <c r="I961" s="736"/>
      <c r="J961" s="736"/>
      <c r="K961" s="736"/>
      <c r="L961" s="736"/>
      <c r="M961" s="736"/>
      <c r="N961" s="736"/>
      <c r="O961" s="736"/>
      <c r="P961" s="736"/>
      <c r="Q961" s="736"/>
      <c r="R961" s="736"/>
      <c r="S961" s="736"/>
      <c r="T961" s="736"/>
      <c r="U961" s="736"/>
    </row>
    <row r="962">
      <c r="A962" s="736"/>
      <c r="B962" s="736"/>
      <c r="C962" s="747"/>
      <c r="D962" s="746"/>
      <c r="E962" s="747"/>
      <c r="F962" s="746"/>
      <c r="G962" s="746"/>
      <c r="H962" s="736"/>
      <c r="I962" s="736"/>
      <c r="J962" s="736"/>
      <c r="K962" s="736"/>
      <c r="L962" s="736"/>
      <c r="M962" s="736"/>
      <c r="N962" s="736"/>
      <c r="O962" s="736"/>
      <c r="P962" s="736"/>
      <c r="Q962" s="736"/>
      <c r="R962" s="736"/>
      <c r="S962" s="736"/>
      <c r="T962" s="736"/>
      <c r="U962" s="736"/>
    </row>
    <row r="963">
      <c r="A963" s="736"/>
      <c r="B963" s="736"/>
      <c r="C963" s="747"/>
      <c r="D963" s="746"/>
      <c r="E963" s="747"/>
      <c r="F963" s="746"/>
      <c r="G963" s="746"/>
      <c r="H963" s="736"/>
      <c r="I963" s="736"/>
      <c r="J963" s="736"/>
      <c r="K963" s="736"/>
      <c r="L963" s="736"/>
      <c r="M963" s="736"/>
      <c r="N963" s="736"/>
      <c r="O963" s="736"/>
      <c r="P963" s="736"/>
      <c r="Q963" s="736"/>
      <c r="R963" s="736"/>
      <c r="S963" s="736"/>
      <c r="T963" s="736"/>
      <c r="U963" s="736"/>
    </row>
    <row r="964">
      <c r="A964" s="736"/>
      <c r="B964" s="736"/>
      <c r="C964" s="747"/>
      <c r="D964" s="746"/>
      <c r="E964" s="747"/>
      <c r="F964" s="746"/>
      <c r="G964" s="746"/>
      <c r="H964" s="736"/>
      <c r="I964" s="736"/>
      <c r="J964" s="736"/>
      <c r="K964" s="736"/>
      <c r="L964" s="736"/>
      <c r="M964" s="736"/>
      <c r="N964" s="736"/>
      <c r="O964" s="736"/>
      <c r="P964" s="736"/>
      <c r="Q964" s="736"/>
      <c r="R964" s="736"/>
      <c r="S964" s="736"/>
      <c r="T964" s="736"/>
      <c r="U964" s="736"/>
    </row>
    <row r="965">
      <c r="A965" s="736"/>
      <c r="B965" s="736"/>
      <c r="C965" s="747"/>
      <c r="D965" s="746"/>
      <c r="E965" s="747"/>
      <c r="F965" s="746"/>
      <c r="G965" s="746"/>
      <c r="H965" s="736"/>
      <c r="I965" s="736"/>
      <c r="J965" s="736"/>
      <c r="K965" s="736"/>
      <c r="L965" s="736"/>
      <c r="M965" s="736"/>
      <c r="N965" s="736"/>
      <c r="O965" s="736"/>
      <c r="P965" s="736"/>
      <c r="Q965" s="736"/>
      <c r="R965" s="736"/>
      <c r="S965" s="736"/>
      <c r="T965" s="736"/>
      <c r="U965" s="736"/>
    </row>
    <row r="966">
      <c r="A966" s="736"/>
      <c r="B966" s="736"/>
      <c r="C966" s="747"/>
      <c r="D966" s="746"/>
      <c r="E966" s="747"/>
      <c r="F966" s="746"/>
      <c r="G966" s="746"/>
      <c r="H966" s="736"/>
      <c r="I966" s="736"/>
      <c r="J966" s="736"/>
      <c r="K966" s="736"/>
      <c r="L966" s="736"/>
      <c r="M966" s="736"/>
      <c r="N966" s="736"/>
      <c r="O966" s="736"/>
      <c r="P966" s="736"/>
      <c r="Q966" s="736"/>
      <c r="R966" s="736"/>
      <c r="S966" s="736"/>
      <c r="T966" s="736"/>
      <c r="U966" s="736"/>
    </row>
    <row r="967">
      <c r="A967" s="736"/>
      <c r="B967" s="736"/>
      <c r="C967" s="747"/>
      <c r="D967" s="746"/>
      <c r="E967" s="747"/>
      <c r="F967" s="746"/>
      <c r="G967" s="746"/>
      <c r="H967" s="736"/>
      <c r="I967" s="736"/>
      <c r="J967" s="736"/>
      <c r="K967" s="736"/>
      <c r="L967" s="736"/>
      <c r="M967" s="736"/>
      <c r="N967" s="736"/>
      <c r="O967" s="736"/>
      <c r="P967" s="736"/>
      <c r="Q967" s="736"/>
      <c r="R967" s="736"/>
      <c r="S967" s="736"/>
      <c r="T967" s="736"/>
      <c r="U967" s="736"/>
    </row>
    <row r="968">
      <c r="A968" s="736"/>
      <c r="B968" s="736"/>
      <c r="C968" s="747"/>
      <c r="D968" s="746"/>
      <c r="E968" s="747"/>
      <c r="F968" s="746"/>
      <c r="G968" s="746"/>
      <c r="H968" s="736"/>
      <c r="I968" s="736"/>
      <c r="J968" s="736"/>
      <c r="K968" s="736"/>
      <c r="L968" s="736"/>
      <c r="M968" s="736"/>
      <c r="N968" s="736"/>
      <c r="O968" s="736"/>
      <c r="P968" s="736"/>
      <c r="Q968" s="736"/>
      <c r="R968" s="736"/>
      <c r="S968" s="736"/>
      <c r="T968" s="736"/>
      <c r="U968" s="736"/>
    </row>
    <row r="969">
      <c r="A969" s="736"/>
      <c r="B969" s="736"/>
      <c r="C969" s="747"/>
      <c r="D969" s="746"/>
      <c r="E969" s="747"/>
      <c r="F969" s="746"/>
      <c r="G969" s="746"/>
      <c r="H969" s="736"/>
      <c r="I969" s="736"/>
      <c r="J969" s="736"/>
      <c r="K969" s="736"/>
      <c r="L969" s="736"/>
      <c r="M969" s="736"/>
      <c r="N969" s="736"/>
      <c r="O969" s="736"/>
      <c r="P969" s="736"/>
      <c r="Q969" s="736"/>
      <c r="R969" s="736"/>
      <c r="S969" s="736"/>
      <c r="T969" s="736"/>
      <c r="U969" s="736"/>
    </row>
    <row r="970">
      <c r="A970" s="736"/>
      <c r="B970" s="736"/>
      <c r="C970" s="747"/>
      <c r="D970" s="746"/>
      <c r="E970" s="747"/>
      <c r="F970" s="746"/>
      <c r="G970" s="746"/>
      <c r="H970" s="736"/>
      <c r="I970" s="736"/>
      <c r="J970" s="736"/>
      <c r="K970" s="736"/>
      <c r="L970" s="736"/>
      <c r="M970" s="736"/>
      <c r="N970" s="736"/>
      <c r="O970" s="736"/>
      <c r="P970" s="736"/>
      <c r="Q970" s="736"/>
      <c r="R970" s="736"/>
      <c r="S970" s="736"/>
      <c r="T970" s="736"/>
      <c r="U970" s="736"/>
    </row>
    <row r="971">
      <c r="A971" s="736"/>
      <c r="B971" s="736"/>
      <c r="C971" s="747"/>
      <c r="D971" s="746"/>
      <c r="E971" s="747"/>
      <c r="F971" s="746"/>
      <c r="G971" s="746"/>
      <c r="H971" s="736"/>
      <c r="I971" s="736"/>
      <c r="J971" s="736"/>
      <c r="K971" s="736"/>
      <c r="L971" s="736"/>
      <c r="M971" s="736"/>
      <c r="N971" s="736"/>
      <c r="O971" s="736"/>
      <c r="P971" s="736"/>
      <c r="Q971" s="736"/>
      <c r="R971" s="736"/>
      <c r="S971" s="736"/>
      <c r="T971" s="736"/>
      <c r="U971" s="736"/>
    </row>
    <row r="972">
      <c r="A972" s="736"/>
      <c r="B972" s="736"/>
      <c r="C972" s="747"/>
      <c r="D972" s="746"/>
      <c r="E972" s="747"/>
      <c r="F972" s="746"/>
      <c r="G972" s="746"/>
      <c r="H972" s="736"/>
      <c r="I972" s="736"/>
      <c r="J972" s="736"/>
      <c r="K972" s="736"/>
      <c r="L972" s="736"/>
      <c r="M972" s="736"/>
      <c r="N972" s="736"/>
      <c r="O972" s="736"/>
      <c r="P972" s="736"/>
      <c r="Q972" s="736"/>
      <c r="R972" s="736"/>
      <c r="S972" s="736"/>
      <c r="T972" s="736"/>
      <c r="U972" s="736"/>
    </row>
    <row r="973">
      <c r="A973" s="736"/>
      <c r="B973" s="736"/>
      <c r="C973" s="747"/>
      <c r="D973" s="746"/>
      <c r="E973" s="747"/>
      <c r="F973" s="746"/>
      <c r="G973" s="746"/>
      <c r="H973" s="736"/>
      <c r="I973" s="736"/>
      <c r="J973" s="736"/>
      <c r="K973" s="736"/>
      <c r="L973" s="736"/>
      <c r="M973" s="736"/>
      <c r="N973" s="736"/>
      <c r="O973" s="736"/>
      <c r="P973" s="736"/>
      <c r="Q973" s="736"/>
      <c r="R973" s="736"/>
      <c r="S973" s="736"/>
      <c r="T973" s="736"/>
      <c r="U973" s="736"/>
    </row>
    <row r="974">
      <c r="A974" s="736"/>
      <c r="B974" s="736"/>
      <c r="C974" s="747"/>
      <c r="D974" s="746"/>
      <c r="E974" s="747"/>
      <c r="F974" s="746"/>
      <c r="G974" s="746"/>
      <c r="H974" s="736"/>
      <c r="I974" s="736"/>
      <c r="J974" s="736"/>
      <c r="K974" s="736"/>
      <c r="L974" s="736"/>
      <c r="M974" s="736"/>
      <c r="N974" s="736"/>
      <c r="O974" s="736"/>
      <c r="P974" s="736"/>
      <c r="Q974" s="736"/>
      <c r="R974" s="736"/>
      <c r="S974" s="736"/>
      <c r="T974" s="736"/>
      <c r="U974" s="736"/>
    </row>
    <row r="975">
      <c r="A975" s="736"/>
      <c r="B975" s="736"/>
      <c r="C975" s="747"/>
      <c r="D975" s="746"/>
      <c r="E975" s="747"/>
      <c r="F975" s="746"/>
      <c r="G975" s="746"/>
      <c r="H975" s="736"/>
      <c r="I975" s="736"/>
      <c r="J975" s="736"/>
      <c r="K975" s="736"/>
      <c r="L975" s="736"/>
      <c r="M975" s="736"/>
      <c r="N975" s="736"/>
      <c r="O975" s="736"/>
      <c r="P975" s="736"/>
      <c r="Q975" s="736"/>
      <c r="R975" s="736"/>
      <c r="S975" s="736"/>
      <c r="T975" s="736"/>
      <c r="U975" s="736"/>
    </row>
    <row r="976">
      <c r="A976" s="736"/>
      <c r="B976" s="736"/>
      <c r="C976" s="747"/>
      <c r="D976" s="746"/>
      <c r="E976" s="747"/>
      <c r="F976" s="746"/>
      <c r="G976" s="746"/>
      <c r="H976" s="736"/>
      <c r="I976" s="736"/>
      <c r="J976" s="736"/>
      <c r="K976" s="736"/>
      <c r="L976" s="736"/>
      <c r="M976" s="736"/>
      <c r="N976" s="736"/>
      <c r="O976" s="736"/>
      <c r="P976" s="736"/>
      <c r="Q976" s="736"/>
      <c r="R976" s="736"/>
      <c r="S976" s="736"/>
      <c r="T976" s="736"/>
      <c r="U976" s="736"/>
    </row>
    <row r="977">
      <c r="A977" s="736"/>
      <c r="B977" s="736"/>
      <c r="C977" s="747"/>
      <c r="D977" s="746"/>
      <c r="E977" s="747"/>
      <c r="F977" s="746"/>
      <c r="G977" s="746"/>
      <c r="H977" s="736"/>
      <c r="I977" s="736"/>
      <c r="J977" s="736"/>
      <c r="K977" s="736"/>
      <c r="L977" s="736"/>
      <c r="M977" s="736"/>
      <c r="N977" s="736"/>
      <c r="O977" s="736"/>
      <c r="P977" s="736"/>
      <c r="Q977" s="736"/>
      <c r="R977" s="736"/>
      <c r="S977" s="736"/>
      <c r="T977" s="736"/>
      <c r="U977" s="736"/>
    </row>
    <row r="978">
      <c r="A978" s="736"/>
      <c r="B978" s="736"/>
      <c r="C978" s="747"/>
      <c r="D978" s="746"/>
      <c r="E978" s="747"/>
      <c r="F978" s="746"/>
      <c r="G978" s="746"/>
      <c r="H978" s="736"/>
      <c r="I978" s="736"/>
      <c r="J978" s="736"/>
      <c r="K978" s="736"/>
      <c r="L978" s="736"/>
      <c r="M978" s="736"/>
      <c r="N978" s="736"/>
      <c r="O978" s="736"/>
      <c r="P978" s="736"/>
      <c r="Q978" s="736"/>
      <c r="R978" s="736"/>
      <c r="S978" s="736"/>
      <c r="T978" s="736"/>
      <c r="U978" s="736"/>
    </row>
    <row r="979">
      <c r="A979" s="736"/>
      <c r="B979" s="736"/>
      <c r="C979" s="747"/>
      <c r="D979" s="746"/>
      <c r="E979" s="747"/>
      <c r="F979" s="746"/>
      <c r="G979" s="746"/>
      <c r="H979" s="736"/>
      <c r="I979" s="736"/>
      <c r="J979" s="736"/>
      <c r="K979" s="736"/>
      <c r="L979" s="736"/>
      <c r="M979" s="736"/>
      <c r="N979" s="736"/>
      <c r="O979" s="736"/>
      <c r="P979" s="736"/>
      <c r="Q979" s="736"/>
      <c r="R979" s="736"/>
      <c r="S979" s="736"/>
      <c r="T979" s="736"/>
      <c r="U979" s="736"/>
    </row>
    <row r="980">
      <c r="A980" s="736"/>
      <c r="B980" s="736"/>
      <c r="C980" s="747"/>
      <c r="D980" s="746"/>
      <c r="E980" s="747"/>
      <c r="F980" s="746"/>
      <c r="G980" s="746"/>
      <c r="H980" s="736"/>
      <c r="I980" s="736"/>
      <c r="J980" s="736"/>
      <c r="K980" s="736"/>
      <c r="L980" s="736"/>
      <c r="M980" s="736"/>
      <c r="N980" s="736"/>
      <c r="O980" s="736"/>
      <c r="P980" s="736"/>
      <c r="Q980" s="736"/>
      <c r="R980" s="736"/>
      <c r="S980" s="736"/>
      <c r="T980" s="736"/>
      <c r="U980" s="736"/>
    </row>
    <row r="981">
      <c r="A981" s="736"/>
      <c r="B981" s="736"/>
      <c r="C981" s="747"/>
      <c r="D981" s="746"/>
      <c r="E981" s="747"/>
      <c r="F981" s="746"/>
      <c r="G981" s="746"/>
      <c r="H981" s="736"/>
      <c r="I981" s="736"/>
      <c r="J981" s="736"/>
      <c r="K981" s="736"/>
      <c r="L981" s="736"/>
      <c r="M981" s="736"/>
      <c r="N981" s="736"/>
      <c r="O981" s="736"/>
      <c r="P981" s="736"/>
      <c r="Q981" s="736"/>
      <c r="R981" s="736"/>
      <c r="S981" s="736"/>
      <c r="T981" s="736"/>
      <c r="U981" s="736"/>
    </row>
    <row r="982">
      <c r="A982" s="736"/>
      <c r="B982" s="736"/>
      <c r="C982" s="747"/>
      <c r="D982" s="746"/>
      <c r="E982" s="747"/>
      <c r="F982" s="746"/>
      <c r="G982" s="746"/>
      <c r="H982" s="736"/>
      <c r="I982" s="736"/>
      <c r="J982" s="736"/>
      <c r="K982" s="736"/>
      <c r="L982" s="736"/>
      <c r="M982" s="736"/>
      <c r="N982" s="736"/>
      <c r="O982" s="736"/>
      <c r="P982" s="736"/>
      <c r="Q982" s="736"/>
      <c r="R982" s="736"/>
      <c r="S982" s="736"/>
      <c r="T982" s="736"/>
      <c r="U982" s="736"/>
    </row>
    <row r="983">
      <c r="A983" s="736"/>
      <c r="B983" s="736"/>
      <c r="C983" s="747"/>
      <c r="D983" s="746"/>
      <c r="E983" s="747"/>
      <c r="F983" s="746"/>
      <c r="G983" s="746"/>
      <c r="H983" s="736"/>
      <c r="I983" s="736"/>
      <c r="J983" s="736"/>
      <c r="K983" s="736"/>
      <c r="L983" s="736"/>
      <c r="M983" s="736"/>
      <c r="N983" s="736"/>
      <c r="O983" s="736"/>
      <c r="P983" s="736"/>
      <c r="Q983" s="736"/>
      <c r="R983" s="736"/>
      <c r="S983" s="736"/>
      <c r="T983" s="736"/>
      <c r="U983" s="736"/>
    </row>
    <row r="984">
      <c r="A984" s="736"/>
      <c r="B984" s="736"/>
      <c r="C984" s="747"/>
      <c r="D984" s="746"/>
      <c r="E984" s="747"/>
      <c r="F984" s="746"/>
      <c r="G984" s="746"/>
      <c r="H984" s="736"/>
      <c r="I984" s="736"/>
      <c r="J984" s="736"/>
      <c r="K984" s="736"/>
      <c r="L984" s="736"/>
      <c r="M984" s="736"/>
      <c r="N984" s="736"/>
      <c r="O984" s="736"/>
      <c r="P984" s="736"/>
      <c r="Q984" s="736"/>
      <c r="R984" s="736"/>
      <c r="S984" s="736"/>
      <c r="T984" s="736"/>
      <c r="U984" s="736"/>
    </row>
    <row r="985">
      <c r="A985" s="736"/>
      <c r="B985" s="736"/>
      <c r="C985" s="747"/>
      <c r="D985" s="746"/>
      <c r="E985" s="747"/>
      <c r="F985" s="746"/>
      <c r="G985" s="746"/>
      <c r="H985" s="736"/>
      <c r="I985" s="736"/>
      <c r="J985" s="736"/>
      <c r="K985" s="736"/>
      <c r="L985" s="736"/>
      <c r="M985" s="736"/>
      <c r="N985" s="736"/>
      <c r="O985" s="736"/>
      <c r="P985" s="736"/>
      <c r="Q985" s="736"/>
      <c r="R985" s="736"/>
      <c r="S985" s="736"/>
      <c r="T985" s="736"/>
      <c r="U985" s="736"/>
    </row>
    <row r="986">
      <c r="A986" s="736"/>
      <c r="B986" s="736"/>
      <c r="C986" s="747"/>
      <c r="D986" s="746"/>
      <c r="E986" s="747"/>
      <c r="F986" s="746"/>
      <c r="G986" s="746"/>
      <c r="H986" s="736"/>
      <c r="I986" s="736"/>
      <c r="J986" s="736"/>
      <c r="K986" s="736"/>
      <c r="L986" s="736"/>
      <c r="M986" s="736"/>
      <c r="N986" s="736"/>
      <c r="O986" s="736"/>
      <c r="P986" s="736"/>
      <c r="Q986" s="736"/>
      <c r="R986" s="736"/>
      <c r="S986" s="736"/>
      <c r="T986" s="736"/>
      <c r="U986" s="736"/>
    </row>
    <row r="987">
      <c r="A987" s="736"/>
      <c r="B987" s="736"/>
      <c r="C987" s="747"/>
      <c r="D987" s="746"/>
      <c r="E987" s="747"/>
      <c r="F987" s="746"/>
      <c r="G987" s="746"/>
      <c r="H987" s="736"/>
      <c r="I987" s="736"/>
      <c r="J987" s="736"/>
      <c r="K987" s="736"/>
      <c r="L987" s="736"/>
      <c r="M987" s="736"/>
      <c r="N987" s="736"/>
      <c r="O987" s="736"/>
      <c r="P987" s="736"/>
      <c r="Q987" s="736"/>
      <c r="R987" s="736"/>
      <c r="S987" s="736"/>
      <c r="T987" s="736"/>
      <c r="U987" s="736"/>
    </row>
    <row r="988">
      <c r="A988" s="736"/>
      <c r="B988" s="736"/>
      <c r="C988" s="747"/>
      <c r="D988" s="746"/>
      <c r="E988" s="747"/>
      <c r="F988" s="746"/>
      <c r="G988" s="746"/>
      <c r="H988" s="736"/>
      <c r="I988" s="736"/>
      <c r="J988" s="736"/>
      <c r="K988" s="736"/>
      <c r="L988" s="736"/>
      <c r="M988" s="736"/>
      <c r="N988" s="736"/>
      <c r="O988" s="736"/>
      <c r="P988" s="736"/>
      <c r="Q988" s="736"/>
      <c r="R988" s="736"/>
      <c r="S988" s="736"/>
      <c r="T988" s="736"/>
      <c r="U988" s="736"/>
    </row>
    <row r="989">
      <c r="A989" s="736"/>
      <c r="B989" s="736"/>
      <c r="C989" s="747"/>
      <c r="D989" s="746"/>
      <c r="E989" s="747"/>
      <c r="F989" s="746"/>
      <c r="G989" s="746"/>
      <c r="H989" s="736"/>
      <c r="I989" s="736"/>
      <c r="J989" s="736"/>
      <c r="K989" s="736"/>
      <c r="L989" s="736"/>
      <c r="M989" s="736"/>
      <c r="N989" s="736"/>
      <c r="O989" s="736"/>
      <c r="P989" s="736"/>
      <c r="Q989" s="736"/>
      <c r="R989" s="736"/>
      <c r="S989" s="736"/>
      <c r="T989" s="736"/>
      <c r="U989" s="736"/>
    </row>
    <row r="990">
      <c r="A990" s="736"/>
      <c r="B990" s="736"/>
      <c r="C990" s="747"/>
      <c r="D990" s="746"/>
      <c r="E990" s="747"/>
      <c r="F990" s="746"/>
      <c r="G990" s="746"/>
      <c r="H990" s="736"/>
      <c r="I990" s="736"/>
      <c r="J990" s="736"/>
      <c r="K990" s="736"/>
      <c r="L990" s="736"/>
      <c r="M990" s="736"/>
      <c r="N990" s="736"/>
      <c r="O990" s="736"/>
      <c r="P990" s="736"/>
      <c r="Q990" s="736"/>
      <c r="R990" s="736"/>
      <c r="S990" s="736"/>
      <c r="T990" s="736"/>
      <c r="U990" s="736"/>
    </row>
    <row r="991">
      <c r="A991" s="736"/>
      <c r="B991" s="736"/>
      <c r="C991" s="747"/>
      <c r="D991" s="746"/>
      <c r="E991" s="747"/>
      <c r="F991" s="746"/>
      <c r="G991" s="746"/>
      <c r="H991" s="736"/>
      <c r="I991" s="736"/>
      <c r="J991" s="736"/>
      <c r="K991" s="736"/>
      <c r="L991" s="736"/>
      <c r="M991" s="736"/>
      <c r="N991" s="736"/>
      <c r="O991" s="736"/>
      <c r="P991" s="736"/>
      <c r="Q991" s="736"/>
      <c r="R991" s="736"/>
      <c r="S991" s="736"/>
      <c r="T991" s="736"/>
      <c r="U991" s="736"/>
    </row>
    <row r="992">
      <c r="A992" s="736"/>
      <c r="B992" s="736"/>
      <c r="C992" s="747"/>
      <c r="D992" s="746"/>
      <c r="E992" s="747"/>
      <c r="F992" s="746"/>
      <c r="G992" s="746"/>
      <c r="H992" s="736"/>
      <c r="I992" s="736"/>
      <c r="J992" s="736"/>
      <c r="K992" s="736"/>
      <c r="L992" s="736"/>
      <c r="M992" s="736"/>
      <c r="N992" s="736"/>
      <c r="O992" s="736"/>
      <c r="P992" s="736"/>
      <c r="Q992" s="736"/>
      <c r="R992" s="736"/>
      <c r="S992" s="736"/>
      <c r="T992" s="736"/>
      <c r="U992" s="736"/>
    </row>
    <row r="993">
      <c r="A993" s="736"/>
      <c r="B993" s="736"/>
      <c r="C993" s="747"/>
      <c r="D993" s="746"/>
      <c r="E993" s="747"/>
      <c r="F993" s="746"/>
      <c r="G993" s="746"/>
      <c r="H993" s="736"/>
      <c r="I993" s="736"/>
      <c r="J993" s="736"/>
      <c r="K993" s="736"/>
      <c r="L993" s="736"/>
      <c r="M993" s="736"/>
      <c r="N993" s="736"/>
      <c r="O993" s="736"/>
      <c r="P993" s="736"/>
      <c r="Q993" s="736"/>
      <c r="R993" s="736"/>
      <c r="S993" s="736"/>
      <c r="T993" s="736"/>
      <c r="U993" s="736"/>
    </row>
    <row r="994">
      <c r="A994" s="736"/>
      <c r="B994" s="736"/>
      <c r="C994" s="747"/>
      <c r="D994" s="746"/>
      <c r="E994" s="747"/>
      <c r="F994" s="746"/>
      <c r="G994" s="746"/>
      <c r="H994" s="736"/>
      <c r="I994" s="736"/>
      <c r="J994" s="736"/>
      <c r="K994" s="736"/>
      <c r="L994" s="736"/>
      <c r="M994" s="736"/>
      <c r="N994" s="736"/>
      <c r="O994" s="736"/>
      <c r="P994" s="736"/>
      <c r="Q994" s="736"/>
      <c r="R994" s="736"/>
      <c r="S994" s="736"/>
      <c r="T994" s="736"/>
      <c r="U994" s="736"/>
    </row>
    <row r="995">
      <c r="A995" s="736"/>
      <c r="B995" s="736"/>
      <c r="C995" s="747"/>
      <c r="D995" s="746"/>
      <c r="E995" s="747"/>
      <c r="F995" s="746"/>
      <c r="G995" s="746"/>
      <c r="H995" s="736"/>
      <c r="I995" s="736"/>
      <c r="J995" s="736"/>
      <c r="K995" s="736"/>
      <c r="L995" s="736"/>
      <c r="M995" s="736"/>
      <c r="N995" s="736"/>
      <c r="O995" s="736"/>
      <c r="P995" s="736"/>
      <c r="Q995" s="736"/>
      <c r="R995" s="736"/>
      <c r="S995" s="736"/>
      <c r="T995" s="736"/>
      <c r="U995" s="736"/>
    </row>
    <row r="996">
      <c r="A996" s="736"/>
      <c r="B996" s="736"/>
      <c r="C996" s="747"/>
      <c r="D996" s="746"/>
      <c r="E996" s="747"/>
      <c r="F996" s="746"/>
      <c r="G996" s="746"/>
      <c r="H996" s="736"/>
      <c r="I996" s="736"/>
      <c r="J996" s="736"/>
      <c r="K996" s="736"/>
      <c r="L996" s="736"/>
      <c r="M996" s="736"/>
      <c r="N996" s="736"/>
      <c r="O996" s="736"/>
      <c r="P996" s="736"/>
      <c r="Q996" s="736"/>
      <c r="R996" s="736"/>
      <c r="S996" s="736"/>
      <c r="T996" s="736"/>
      <c r="U996" s="736"/>
    </row>
    <row r="997">
      <c r="A997" s="736"/>
      <c r="B997" s="736"/>
      <c r="C997" s="747"/>
      <c r="D997" s="746"/>
      <c r="E997" s="747"/>
      <c r="F997" s="746"/>
      <c r="G997" s="746"/>
      <c r="H997" s="736"/>
      <c r="I997" s="736"/>
      <c r="J997" s="736"/>
      <c r="K997" s="736"/>
      <c r="L997" s="736"/>
      <c r="M997" s="736"/>
      <c r="N997" s="736"/>
      <c r="O997" s="736"/>
      <c r="P997" s="736"/>
      <c r="Q997" s="736"/>
      <c r="R997" s="736"/>
      <c r="S997" s="736"/>
      <c r="T997" s="736"/>
      <c r="U997" s="736"/>
    </row>
    <row r="998">
      <c r="A998" s="736"/>
      <c r="B998" s="736"/>
      <c r="C998" s="747"/>
      <c r="D998" s="746"/>
      <c r="E998" s="747"/>
      <c r="F998" s="746"/>
      <c r="G998" s="746"/>
      <c r="H998" s="736"/>
      <c r="I998" s="736"/>
      <c r="J998" s="736"/>
      <c r="K998" s="736"/>
      <c r="L998" s="736"/>
      <c r="M998" s="736"/>
      <c r="N998" s="736"/>
      <c r="O998" s="736"/>
      <c r="P998" s="736"/>
      <c r="Q998" s="736"/>
      <c r="R998" s="736"/>
      <c r="S998" s="736"/>
      <c r="T998" s="736"/>
      <c r="U998" s="736"/>
    </row>
    <row r="999">
      <c r="A999" s="736"/>
      <c r="B999" s="736"/>
      <c r="C999" s="747"/>
      <c r="D999" s="746"/>
      <c r="E999" s="747"/>
      <c r="F999" s="746"/>
      <c r="G999" s="746"/>
      <c r="H999" s="736"/>
      <c r="I999" s="736"/>
      <c r="J999" s="736"/>
      <c r="K999" s="736"/>
      <c r="L999" s="736"/>
      <c r="M999" s="736"/>
      <c r="N999" s="736"/>
      <c r="O999" s="736"/>
      <c r="P999" s="736"/>
      <c r="Q999" s="736"/>
      <c r="R999" s="736"/>
      <c r="S999" s="736"/>
      <c r="T999" s="736"/>
      <c r="U999" s="736"/>
    </row>
    <row r="1000">
      <c r="A1000" s="736"/>
      <c r="B1000" s="736"/>
      <c r="C1000" s="747"/>
      <c r="D1000" s="746"/>
      <c r="E1000" s="747"/>
      <c r="F1000" s="746"/>
      <c r="G1000" s="746"/>
      <c r="H1000" s="736"/>
      <c r="I1000" s="736"/>
      <c r="J1000" s="736"/>
      <c r="K1000" s="736"/>
      <c r="L1000" s="736"/>
      <c r="M1000" s="736"/>
      <c r="N1000" s="736"/>
      <c r="O1000" s="736"/>
      <c r="P1000" s="736"/>
      <c r="Q1000" s="736"/>
      <c r="R1000" s="736"/>
      <c r="S1000" s="736"/>
      <c r="T1000" s="736"/>
      <c r="U1000" s="736"/>
    </row>
    <row r="1001">
      <c r="A1001" s="736"/>
      <c r="B1001" s="736"/>
      <c r="C1001" s="747"/>
      <c r="D1001" s="746"/>
      <c r="E1001" s="747"/>
      <c r="F1001" s="746"/>
      <c r="G1001" s="746"/>
      <c r="H1001" s="736"/>
      <c r="I1001" s="736"/>
      <c r="J1001" s="736"/>
      <c r="K1001" s="736"/>
      <c r="L1001" s="736"/>
      <c r="M1001" s="736"/>
      <c r="N1001" s="736"/>
      <c r="O1001" s="736"/>
      <c r="P1001" s="736"/>
      <c r="Q1001" s="736"/>
      <c r="R1001" s="736"/>
      <c r="S1001" s="736"/>
      <c r="T1001" s="736"/>
      <c r="U1001" s="736"/>
    </row>
    <row r="1002">
      <c r="A1002" s="736"/>
      <c r="B1002" s="736"/>
      <c r="C1002" s="747"/>
      <c r="D1002" s="746"/>
      <c r="E1002" s="747"/>
      <c r="F1002" s="746"/>
      <c r="G1002" s="746"/>
      <c r="H1002" s="736"/>
      <c r="I1002" s="736"/>
      <c r="J1002" s="736"/>
      <c r="K1002" s="736"/>
      <c r="L1002" s="736"/>
      <c r="M1002" s="736"/>
      <c r="N1002" s="736"/>
      <c r="O1002" s="736"/>
      <c r="P1002" s="736"/>
      <c r="Q1002" s="736"/>
      <c r="R1002" s="736"/>
      <c r="S1002" s="736"/>
      <c r="T1002" s="736"/>
      <c r="U1002" s="736"/>
    </row>
    <row r="1003">
      <c r="A1003" s="736"/>
      <c r="B1003" s="736"/>
      <c r="C1003" s="747"/>
      <c r="D1003" s="746"/>
      <c r="E1003" s="747"/>
      <c r="F1003" s="746"/>
      <c r="G1003" s="746"/>
      <c r="H1003" s="736"/>
      <c r="I1003" s="736"/>
      <c r="J1003" s="736"/>
      <c r="K1003" s="736"/>
      <c r="L1003" s="736"/>
      <c r="M1003" s="736"/>
      <c r="N1003" s="736"/>
      <c r="O1003" s="736"/>
      <c r="P1003" s="736"/>
      <c r="Q1003" s="736"/>
      <c r="R1003" s="736"/>
      <c r="S1003" s="736"/>
      <c r="T1003" s="736"/>
      <c r="U1003" s="736"/>
    </row>
    <row r="1004">
      <c r="A1004" s="736"/>
      <c r="B1004" s="736"/>
      <c r="C1004" s="747"/>
      <c r="D1004" s="746"/>
      <c r="E1004" s="747"/>
      <c r="F1004" s="746"/>
      <c r="G1004" s="746"/>
      <c r="H1004" s="736"/>
      <c r="I1004" s="736"/>
      <c r="J1004" s="736"/>
      <c r="K1004" s="736"/>
      <c r="L1004" s="736"/>
      <c r="M1004" s="736"/>
      <c r="N1004" s="736"/>
      <c r="O1004" s="736"/>
      <c r="P1004" s="736"/>
      <c r="Q1004" s="736"/>
      <c r="R1004" s="736"/>
      <c r="S1004" s="736"/>
      <c r="T1004" s="736"/>
      <c r="U1004" s="736"/>
    </row>
    <row r="1005">
      <c r="A1005" s="736"/>
      <c r="B1005" s="736"/>
      <c r="C1005" s="747"/>
      <c r="D1005" s="746"/>
      <c r="E1005" s="747"/>
      <c r="F1005" s="746"/>
      <c r="G1005" s="746"/>
      <c r="H1005" s="736"/>
      <c r="I1005" s="736"/>
      <c r="J1005" s="736"/>
      <c r="K1005" s="736"/>
      <c r="L1005" s="736"/>
      <c r="M1005" s="736"/>
      <c r="N1005" s="736"/>
      <c r="O1005" s="736"/>
      <c r="P1005" s="736"/>
      <c r="Q1005" s="736"/>
      <c r="R1005" s="736"/>
      <c r="S1005" s="736"/>
      <c r="T1005" s="736"/>
      <c r="U1005" s="736"/>
    </row>
    <row r="1006">
      <c r="A1006" s="736"/>
      <c r="B1006" s="736"/>
      <c r="C1006" s="747"/>
      <c r="D1006" s="746"/>
      <c r="E1006" s="747"/>
      <c r="F1006" s="746"/>
      <c r="G1006" s="746"/>
      <c r="H1006" s="736"/>
      <c r="I1006" s="736"/>
      <c r="J1006" s="736"/>
      <c r="K1006" s="736"/>
      <c r="L1006" s="736"/>
      <c r="M1006" s="736"/>
      <c r="N1006" s="736"/>
      <c r="O1006" s="736"/>
      <c r="P1006" s="736"/>
      <c r="Q1006" s="736"/>
      <c r="R1006" s="736"/>
      <c r="S1006" s="736"/>
      <c r="T1006" s="736"/>
      <c r="U1006" s="736"/>
    </row>
    <row r="1007">
      <c r="A1007" s="736"/>
      <c r="B1007" s="736"/>
      <c r="C1007" s="747"/>
      <c r="D1007" s="746"/>
      <c r="E1007" s="747"/>
      <c r="F1007" s="746"/>
      <c r="G1007" s="746"/>
      <c r="H1007" s="736"/>
      <c r="I1007" s="736"/>
      <c r="J1007" s="736"/>
      <c r="K1007" s="736"/>
      <c r="L1007" s="736"/>
      <c r="M1007" s="736"/>
      <c r="N1007" s="736"/>
      <c r="O1007" s="736"/>
      <c r="P1007" s="736"/>
      <c r="Q1007" s="736"/>
      <c r="R1007" s="736"/>
      <c r="S1007" s="736"/>
      <c r="T1007" s="736"/>
      <c r="U1007" s="736"/>
    </row>
    <row r="1008">
      <c r="A1008" s="736"/>
      <c r="B1008" s="736"/>
      <c r="C1008" s="747"/>
      <c r="D1008" s="746"/>
      <c r="E1008" s="747"/>
      <c r="F1008" s="746"/>
      <c r="G1008" s="746"/>
      <c r="H1008" s="736"/>
      <c r="I1008" s="736"/>
      <c r="J1008" s="736"/>
      <c r="K1008" s="736"/>
      <c r="L1008" s="736"/>
      <c r="M1008" s="736"/>
      <c r="N1008" s="736"/>
      <c r="O1008" s="736"/>
      <c r="P1008" s="736"/>
      <c r="Q1008" s="736"/>
      <c r="R1008" s="736"/>
      <c r="S1008" s="736"/>
      <c r="T1008" s="736"/>
      <c r="U1008" s="736"/>
    </row>
    <row r="1009">
      <c r="A1009" s="736"/>
      <c r="B1009" s="736"/>
      <c r="C1009" s="747"/>
      <c r="D1009" s="746"/>
      <c r="E1009" s="747"/>
      <c r="F1009" s="746"/>
      <c r="G1009" s="746"/>
      <c r="H1009" s="736"/>
      <c r="I1009" s="736"/>
      <c r="J1009" s="736"/>
      <c r="K1009" s="736"/>
      <c r="L1009" s="736"/>
      <c r="M1009" s="736"/>
      <c r="N1009" s="736"/>
      <c r="O1009" s="736"/>
      <c r="P1009" s="736"/>
      <c r="Q1009" s="736"/>
      <c r="R1009" s="736"/>
      <c r="S1009" s="736"/>
      <c r="T1009" s="736"/>
      <c r="U1009" s="736"/>
    </row>
    <row r="1010">
      <c r="A1010" s="736"/>
      <c r="B1010" s="736"/>
      <c r="C1010" s="747"/>
      <c r="D1010" s="746"/>
      <c r="E1010" s="747"/>
      <c r="F1010" s="746"/>
      <c r="G1010" s="746"/>
      <c r="H1010" s="736"/>
      <c r="I1010" s="736"/>
      <c r="J1010" s="736"/>
      <c r="K1010" s="736"/>
      <c r="L1010" s="736"/>
      <c r="M1010" s="736"/>
      <c r="N1010" s="736"/>
      <c r="O1010" s="736"/>
      <c r="P1010" s="736"/>
      <c r="Q1010" s="736"/>
      <c r="R1010" s="736"/>
      <c r="S1010" s="736"/>
      <c r="T1010" s="736"/>
      <c r="U1010" s="736"/>
    </row>
    <row r="1011">
      <c r="A1011" s="736"/>
      <c r="B1011" s="736"/>
      <c r="C1011" s="747"/>
      <c r="D1011" s="746"/>
      <c r="E1011" s="747"/>
      <c r="F1011" s="746"/>
      <c r="G1011" s="746"/>
      <c r="H1011" s="736"/>
      <c r="I1011" s="736"/>
      <c r="J1011" s="736"/>
      <c r="K1011" s="736"/>
      <c r="L1011" s="736"/>
      <c r="M1011" s="736"/>
      <c r="N1011" s="736"/>
      <c r="O1011" s="736"/>
      <c r="P1011" s="736"/>
      <c r="Q1011" s="736"/>
      <c r="R1011" s="736"/>
      <c r="S1011" s="736"/>
      <c r="T1011" s="736"/>
      <c r="U1011" s="736"/>
    </row>
    <row r="1012">
      <c r="A1012" s="736"/>
      <c r="B1012" s="736"/>
      <c r="C1012" s="747"/>
      <c r="D1012" s="746"/>
      <c r="E1012" s="747"/>
      <c r="F1012" s="746"/>
      <c r="G1012" s="746"/>
      <c r="H1012" s="736"/>
      <c r="I1012" s="736"/>
      <c r="J1012" s="736"/>
      <c r="K1012" s="736"/>
      <c r="L1012" s="736"/>
      <c r="M1012" s="736"/>
      <c r="N1012" s="736"/>
      <c r="O1012" s="736"/>
      <c r="P1012" s="736"/>
      <c r="Q1012" s="736"/>
      <c r="R1012" s="736"/>
      <c r="S1012" s="736"/>
      <c r="T1012" s="736"/>
      <c r="U1012" s="736"/>
    </row>
    <row r="1013">
      <c r="A1013" s="736"/>
      <c r="B1013" s="736"/>
      <c r="C1013" s="747"/>
      <c r="D1013" s="746"/>
      <c r="E1013" s="747"/>
      <c r="F1013" s="746"/>
      <c r="G1013" s="746"/>
      <c r="H1013" s="736"/>
      <c r="I1013" s="736"/>
      <c r="J1013" s="736"/>
      <c r="K1013" s="736"/>
      <c r="L1013" s="736"/>
      <c r="M1013" s="736"/>
      <c r="N1013" s="736"/>
      <c r="O1013" s="736"/>
      <c r="P1013" s="736"/>
      <c r="Q1013" s="736"/>
      <c r="R1013" s="736"/>
      <c r="S1013" s="736"/>
      <c r="T1013" s="736"/>
      <c r="U1013" s="736"/>
    </row>
    <row r="1014">
      <c r="A1014" s="736"/>
      <c r="B1014" s="736"/>
      <c r="C1014" s="747"/>
      <c r="D1014" s="746"/>
      <c r="E1014" s="747"/>
      <c r="F1014" s="746"/>
      <c r="G1014" s="746"/>
      <c r="H1014" s="736"/>
      <c r="I1014" s="736"/>
      <c r="J1014" s="736"/>
      <c r="K1014" s="736"/>
      <c r="L1014" s="736"/>
      <c r="M1014" s="736"/>
      <c r="N1014" s="736"/>
      <c r="O1014" s="736"/>
      <c r="P1014" s="736"/>
      <c r="Q1014" s="736"/>
      <c r="R1014" s="736"/>
      <c r="S1014" s="736"/>
      <c r="T1014" s="736"/>
      <c r="U1014" s="736"/>
    </row>
    <row r="1015">
      <c r="A1015" s="736"/>
      <c r="B1015" s="736"/>
      <c r="C1015" s="747"/>
      <c r="D1015" s="746"/>
      <c r="E1015" s="747"/>
      <c r="F1015" s="746"/>
      <c r="G1015" s="746"/>
      <c r="H1015" s="736"/>
      <c r="I1015" s="736"/>
      <c r="J1015" s="736"/>
      <c r="K1015" s="736"/>
      <c r="L1015" s="736"/>
      <c r="M1015" s="736"/>
      <c r="N1015" s="736"/>
      <c r="O1015" s="736"/>
      <c r="P1015" s="736"/>
      <c r="Q1015" s="736"/>
      <c r="R1015" s="736"/>
      <c r="S1015" s="736"/>
      <c r="T1015" s="736"/>
      <c r="U1015" s="736"/>
    </row>
    <row r="1016">
      <c r="A1016" s="736"/>
      <c r="B1016" s="736"/>
      <c r="C1016" s="747"/>
      <c r="D1016" s="746"/>
      <c r="E1016" s="747"/>
      <c r="F1016" s="746"/>
      <c r="G1016" s="746"/>
      <c r="H1016" s="736"/>
      <c r="I1016" s="736"/>
      <c r="J1016" s="736"/>
      <c r="K1016" s="736"/>
      <c r="L1016" s="736"/>
      <c r="M1016" s="736"/>
      <c r="N1016" s="736"/>
      <c r="O1016" s="736"/>
      <c r="P1016" s="736"/>
      <c r="Q1016" s="736"/>
      <c r="R1016" s="736"/>
      <c r="S1016" s="736"/>
      <c r="T1016" s="736"/>
      <c r="U1016" s="736"/>
    </row>
    <row r="1017">
      <c r="A1017" s="736"/>
      <c r="B1017" s="736"/>
      <c r="C1017" s="747"/>
      <c r="D1017" s="746"/>
      <c r="E1017" s="747"/>
      <c r="F1017" s="746"/>
      <c r="G1017" s="746"/>
      <c r="H1017" s="736"/>
      <c r="I1017" s="736"/>
      <c r="J1017" s="736"/>
      <c r="K1017" s="736"/>
      <c r="L1017" s="736"/>
      <c r="M1017" s="736"/>
      <c r="N1017" s="736"/>
      <c r="O1017" s="736"/>
      <c r="P1017" s="736"/>
      <c r="Q1017" s="736"/>
      <c r="R1017" s="736"/>
      <c r="S1017" s="736"/>
      <c r="T1017" s="736"/>
      <c r="U1017" s="736"/>
    </row>
    <row r="1018">
      <c r="A1018" s="736"/>
      <c r="B1018" s="736"/>
      <c r="C1018" s="747"/>
      <c r="D1018" s="746"/>
      <c r="E1018" s="747"/>
      <c r="F1018" s="746"/>
      <c r="G1018" s="746"/>
      <c r="H1018" s="736"/>
      <c r="I1018" s="736"/>
      <c r="J1018" s="736"/>
      <c r="K1018" s="736"/>
      <c r="L1018" s="736"/>
      <c r="M1018" s="736"/>
      <c r="N1018" s="736"/>
      <c r="O1018" s="736"/>
      <c r="P1018" s="736"/>
      <c r="Q1018" s="736"/>
      <c r="R1018" s="736"/>
      <c r="S1018" s="736"/>
      <c r="T1018" s="736"/>
      <c r="U1018" s="736"/>
    </row>
    <row r="1019">
      <c r="A1019" s="736"/>
      <c r="B1019" s="736"/>
      <c r="C1019" s="747"/>
      <c r="D1019" s="746"/>
      <c r="E1019" s="747"/>
      <c r="F1019" s="746"/>
      <c r="G1019" s="746"/>
      <c r="H1019" s="736"/>
      <c r="I1019" s="736"/>
      <c r="J1019" s="736"/>
      <c r="K1019" s="736"/>
      <c r="L1019" s="736"/>
      <c r="M1019" s="736"/>
      <c r="N1019" s="736"/>
      <c r="O1019" s="736"/>
      <c r="P1019" s="736"/>
      <c r="Q1019" s="736"/>
      <c r="R1019" s="736"/>
      <c r="S1019" s="736"/>
      <c r="T1019" s="736"/>
      <c r="U1019" s="736"/>
    </row>
    <row r="1020">
      <c r="A1020" s="736"/>
      <c r="B1020" s="736"/>
      <c r="C1020" s="747"/>
      <c r="D1020" s="746"/>
      <c r="E1020" s="747"/>
      <c r="F1020" s="746"/>
      <c r="G1020" s="746"/>
      <c r="H1020" s="736"/>
      <c r="I1020" s="736"/>
      <c r="J1020" s="736"/>
      <c r="K1020" s="736"/>
      <c r="L1020" s="736"/>
      <c r="M1020" s="736"/>
      <c r="N1020" s="736"/>
      <c r="O1020" s="736"/>
      <c r="P1020" s="736"/>
      <c r="Q1020" s="736"/>
      <c r="R1020" s="736"/>
      <c r="S1020" s="736"/>
      <c r="T1020" s="736"/>
      <c r="U1020" s="736"/>
    </row>
    <row r="1021">
      <c r="A1021" s="736"/>
      <c r="B1021" s="736"/>
      <c r="C1021" s="747"/>
      <c r="D1021" s="746"/>
      <c r="E1021" s="747"/>
      <c r="F1021" s="746"/>
      <c r="G1021" s="746"/>
      <c r="H1021" s="736"/>
      <c r="I1021" s="736"/>
      <c r="J1021" s="736"/>
      <c r="K1021" s="736"/>
      <c r="L1021" s="736"/>
      <c r="M1021" s="736"/>
      <c r="N1021" s="736"/>
      <c r="O1021" s="736"/>
      <c r="P1021" s="736"/>
      <c r="Q1021" s="736"/>
      <c r="R1021" s="736"/>
      <c r="S1021" s="736"/>
      <c r="T1021" s="736"/>
      <c r="U1021" s="736"/>
    </row>
    <row r="1022">
      <c r="A1022" s="736"/>
      <c r="B1022" s="736"/>
      <c r="C1022" s="747"/>
      <c r="D1022" s="746"/>
      <c r="E1022" s="747"/>
      <c r="F1022" s="746"/>
      <c r="G1022" s="746"/>
      <c r="H1022" s="736"/>
      <c r="I1022" s="736"/>
      <c r="J1022" s="736"/>
      <c r="K1022" s="736"/>
      <c r="L1022" s="736"/>
      <c r="M1022" s="736"/>
      <c r="N1022" s="736"/>
      <c r="O1022" s="736"/>
      <c r="P1022" s="736"/>
      <c r="Q1022" s="736"/>
      <c r="R1022" s="736"/>
      <c r="S1022" s="736"/>
      <c r="T1022" s="736"/>
      <c r="U1022" s="736"/>
    </row>
    <row r="1023">
      <c r="A1023" s="736"/>
      <c r="B1023" s="736"/>
      <c r="C1023" s="747"/>
      <c r="D1023" s="746"/>
      <c r="E1023" s="747"/>
      <c r="F1023" s="746"/>
      <c r="G1023" s="746"/>
      <c r="H1023" s="736"/>
      <c r="I1023" s="736"/>
      <c r="J1023" s="736"/>
      <c r="K1023" s="736"/>
      <c r="L1023" s="736"/>
      <c r="M1023" s="736"/>
      <c r="N1023" s="736"/>
      <c r="O1023" s="736"/>
      <c r="P1023" s="736"/>
      <c r="Q1023" s="736"/>
      <c r="R1023" s="736"/>
      <c r="S1023" s="736"/>
      <c r="T1023" s="736"/>
      <c r="U1023" s="736"/>
    </row>
    <row r="1024">
      <c r="A1024" s="736"/>
      <c r="B1024" s="736"/>
      <c r="C1024" s="747"/>
      <c r="D1024" s="746"/>
      <c r="E1024" s="747"/>
      <c r="F1024" s="746"/>
      <c r="G1024" s="746"/>
      <c r="H1024" s="736"/>
      <c r="I1024" s="736"/>
      <c r="J1024" s="736"/>
      <c r="K1024" s="736"/>
      <c r="L1024" s="736"/>
      <c r="M1024" s="736"/>
      <c r="N1024" s="736"/>
      <c r="O1024" s="736"/>
      <c r="P1024" s="736"/>
      <c r="Q1024" s="736"/>
      <c r="R1024" s="736"/>
      <c r="S1024" s="736"/>
      <c r="T1024" s="736"/>
      <c r="U1024" s="736"/>
    </row>
    <row r="1025">
      <c r="A1025" s="736"/>
      <c r="B1025" s="736"/>
      <c r="C1025" s="747"/>
      <c r="D1025" s="746"/>
      <c r="E1025" s="747"/>
      <c r="F1025" s="746"/>
      <c r="G1025" s="746"/>
      <c r="H1025" s="736"/>
      <c r="I1025" s="736"/>
      <c r="J1025" s="736"/>
      <c r="K1025" s="736"/>
      <c r="L1025" s="736"/>
      <c r="M1025" s="736"/>
      <c r="N1025" s="736"/>
      <c r="O1025" s="736"/>
      <c r="P1025" s="736"/>
      <c r="Q1025" s="736"/>
      <c r="R1025" s="736"/>
      <c r="S1025" s="736"/>
      <c r="T1025" s="736"/>
      <c r="U1025" s="736"/>
    </row>
    <row r="1026">
      <c r="A1026" s="736"/>
      <c r="B1026" s="736"/>
      <c r="C1026" s="747"/>
      <c r="D1026" s="746"/>
      <c r="E1026" s="747"/>
      <c r="F1026" s="746"/>
      <c r="G1026" s="746"/>
      <c r="H1026" s="736"/>
      <c r="I1026" s="736"/>
      <c r="J1026" s="736"/>
      <c r="K1026" s="736"/>
      <c r="L1026" s="736"/>
      <c r="M1026" s="736"/>
      <c r="N1026" s="736"/>
      <c r="O1026" s="736"/>
      <c r="P1026" s="736"/>
      <c r="Q1026" s="736"/>
      <c r="R1026" s="736"/>
      <c r="S1026" s="736"/>
      <c r="T1026" s="736"/>
      <c r="U1026" s="736"/>
    </row>
    <row r="1027">
      <c r="A1027" s="736"/>
      <c r="B1027" s="736"/>
      <c r="C1027" s="747"/>
      <c r="D1027" s="746"/>
      <c r="E1027" s="747"/>
      <c r="F1027" s="746"/>
      <c r="G1027" s="746"/>
      <c r="H1027" s="736"/>
      <c r="I1027" s="736"/>
      <c r="J1027" s="736"/>
      <c r="K1027" s="736"/>
      <c r="L1027" s="736"/>
      <c r="M1027" s="736"/>
      <c r="N1027" s="736"/>
      <c r="O1027" s="736"/>
      <c r="P1027" s="736"/>
      <c r="Q1027" s="736"/>
      <c r="R1027" s="736"/>
      <c r="S1027" s="736"/>
      <c r="T1027" s="736"/>
      <c r="U1027" s="736"/>
    </row>
    <row r="1028">
      <c r="A1028" s="736"/>
      <c r="B1028" s="736"/>
      <c r="C1028" s="747"/>
      <c r="D1028" s="746"/>
      <c r="E1028" s="747"/>
      <c r="F1028" s="746"/>
      <c r="G1028" s="746"/>
      <c r="H1028" s="736"/>
      <c r="I1028" s="736"/>
      <c r="J1028" s="736"/>
      <c r="K1028" s="736"/>
      <c r="L1028" s="736"/>
      <c r="M1028" s="736"/>
      <c r="N1028" s="736"/>
      <c r="O1028" s="736"/>
      <c r="P1028" s="736"/>
      <c r="Q1028" s="736"/>
      <c r="R1028" s="736"/>
      <c r="S1028" s="736"/>
      <c r="T1028" s="736"/>
      <c r="U1028" s="736"/>
    </row>
    <row r="1029">
      <c r="A1029" s="736"/>
      <c r="B1029" s="736"/>
      <c r="C1029" s="747"/>
      <c r="D1029" s="746"/>
      <c r="E1029" s="747"/>
      <c r="F1029" s="746"/>
      <c r="G1029" s="746"/>
      <c r="H1029" s="736"/>
      <c r="I1029" s="736"/>
      <c r="J1029" s="736"/>
      <c r="K1029" s="736"/>
      <c r="L1029" s="736"/>
      <c r="M1029" s="736"/>
      <c r="N1029" s="736"/>
      <c r="O1029" s="736"/>
      <c r="P1029" s="736"/>
      <c r="Q1029" s="736"/>
      <c r="R1029" s="736"/>
      <c r="S1029" s="736"/>
      <c r="T1029" s="736"/>
      <c r="U1029" s="736"/>
    </row>
    <row r="1030">
      <c r="A1030" s="736"/>
      <c r="B1030" s="736"/>
      <c r="C1030" s="747"/>
      <c r="D1030" s="746"/>
      <c r="E1030" s="747"/>
      <c r="F1030" s="746"/>
      <c r="G1030" s="746"/>
      <c r="H1030" s="736"/>
      <c r="I1030" s="736"/>
      <c r="J1030" s="736"/>
      <c r="K1030" s="736"/>
      <c r="L1030" s="736"/>
      <c r="M1030" s="736"/>
      <c r="N1030" s="736"/>
      <c r="O1030" s="736"/>
      <c r="P1030" s="736"/>
      <c r="Q1030" s="736"/>
      <c r="R1030" s="736"/>
      <c r="S1030" s="736"/>
      <c r="T1030" s="736"/>
      <c r="U1030" s="736"/>
    </row>
    <row r="1031">
      <c r="A1031" s="736"/>
      <c r="B1031" s="736"/>
      <c r="C1031" s="747"/>
      <c r="D1031" s="746"/>
      <c r="E1031" s="747"/>
      <c r="F1031" s="746"/>
      <c r="G1031" s="746"/>
      <c r="H1031" s="736"/>
      <c r="I1031" s="736"/>
      <c r="J1031" s="736"/>
      <c r="K1031" s="736"/>
      <c r="L1031" s="736"/>
      <c r="M1031" s="736"/>
      <c r="N1031" s="736"/>
      <c r="O1031" s="736"/>
      <c r="P1031" s="736"/>
      <c r="Q1031" s="736"/>
      <c r="R1031" s="736"/>
      <c r="S1031" s="736"/>
      <c r="T1031" s="736"/>
      <c r="U1031" s="736"/>
    </row>
    <row r="1032">
      <c r="A1032" s="736"/>
      <c r="B1032" s="736"/>
      <c r="C1032" s="747"/>
      <c r="D1032" s="746"/>
      <c r="E1032" s="747"/>
      <c r="F1032" s="746"/>
      <c r="G1032" s="746"/>
      <c r="H1032" s="736"/>
      <c r="I1032" s="736"/>
      <c r="J1032" s="736"/>
      <c r="K1032" s="736"/>
      <c r="L1032" s="736"/>
      <c r="M1032" s="736"/>
      <c r="N1032" s="736"/>
      <c r="O1032" s="736"/>
      <c r="P1032" s="736"/>
      <c r="Q1032" s="736"/>
      <c r="R1032" s="736"/>
      <c r="S1032" s="736"/>
      <c r="T1032" s="736"/>
      <c r="U1032" s="736"/>
    </row>
    <row r="1033">
      <c r="A1033" s="736"/>
      <c r="B1033" s="736"/>
      <c r="C1033" s="747"/>
      <c r="D1033" s="746"/>
      <c r="E1033" s="747"/>
      <c r="F1033" s="746"/>
      <c r="G1033" s="746"/>
      <c r="H1033" s="736"/>
      <c r="I1033" s="736"/>
      <c r="J1033" s="736"/>
      <c r="K1033" s="736"/>
      <c r="L1033" s="736"/>
      <c r="M1033" s="736"/>
      <c r="N1033" s="736"/>
      <c r="O1033" s="736"/>
      <c r="P1033" s="736"/>
      <c r="Q1033" s="736"/>
      <c r="R1033" s="736"/>
      <c r="S1033" s="736"/>
      <c r="T1033" s="736"/>
      <c r="U1033" s="736"/>
    </row>
    <row r="1034">
      <c r="A1034" s="736"/>
      <c r="B1034" s="736"/>
      <c r="C1034" s="747"/>
      <c r="D1034" s="746"/>
      <c r="E1034" s="747"/>
      <c r="F1034" s="746"/>
      <c r="G1034" s="746"/>
      <c r="H1034" s="736"/>
      <c r="I1034" s="736"/>
      <c r="J1034" s="736"/>
      <c r="K1034" s="736"/>
      <c r="L1034" s="736"/>
      <c r="M1034" s="736"/>
      <c r="N1034" s="736"/>
      <c r="O1034" s="736"/>
      <c r="P1034" s="736"/>
      <c r="Q1034" s="736"/>
      <c r="R1034" s="736"/>
      <c r="S1034" s="736"/>
      <c r="T1034" s="736"/>
      <c r="U1034" s="736"/>
    </row>
    <row r="1035">
      <c r="A1035" s="736"/>
      <c r="B1035" s="736"/>
      <c r="C1035" s="747"/>
      <c r="D1035" s="746"/>
      <c r="E1035" s="747"/>
      <c r="F1035" s="746"/>
      <c r="G1035" s="746"/>
      <c r="H1035" s="736"/>
      <c r="I1035" s="736"/>
      <c r="J1035" s="736"/>
      <c r="K1035" s="736"/>
      <c r="L1035" s="736"/>
      <c r="M1035" s="736"/>
      <c r="N1035" s="736"/>
      <c r="O1035" s="736"/>
      <c r="P1035" s="736"/>
      <c r="Q1035" s="736"/>
      <c r="R1035" s="736"/>
      <c r="S1035" s="736"/>
      <c r="T1035" s="736"/>
      <c r="U1035" s="736"/>
    </row>
    <row r="1036">
      <c r="A1036" s="736"/>
      <c r="B1036" s="736"/>
      <c r="C1036" s="747"/>
      <c r="D1036" s="746"/>
      <c r="E1036" s="747"/>
      <c r="F1036" s="746"/>
      <c r="G1036" s="746"/>
      <c r="H1036" s="736"/>
      <c r="I1036" s="736"/>
      <c r="J1036" s="736"/>
      <c r="K1036" s="736"/>
      <c r="L1036" s="736"/>
      <c r="M1036" s="736"/>
      <c r="N1036" s="736"/>
      <c r="O1036" s="736"/>
      <c r="P1036" s="736"/>
      <c r="Q1036" s="736"/>
      <c r="R1036" s="736"/>
      <c r="S1036" s="736"/>
      <c r="T1036" s="736"/>
      <c r="U1036" s="736"/>
    </row>
    <row r="1037">
      <c r="A1037" s="736"/>
      <c r="B1037" s="736"/>
      <c r="C1037" s="747"/>
      <c r="D1037" s="746"/>
      <c r="E1037" s="747"/>
      <c r="F1037" s="746"/>
      <c r="G1037" s="746"/>
      <c r="H1037" s="736"/>
      <c r="I1037" s="736"/>
      <c r="J1037" s="736"/>
      <c r="K1037" s="736"/>
      <c r="L1037" s="736"/>
      <c r="M1037" s="736"/>
      <c r="N1037" s="736"/>
      <c r="O1037" s="736"/>
      <c r="P1037" s="736"/>
      <c r="Q1037" s="736"/>
      <c r="R1037" s="736"/>
      <c r="S1037" s="736"/>
      <c r="T1037" s="736"/>
      <c r="U1037" s="736"/>
    </row>
    <row r="1038">
      <c r="A1038" s="736"/>
      <c r="B1038" s="736"/>
      <c r="C1038" s="747"/>
      <c r="D1038" s="746"/>
      <c r="E1038" s="747"/>
      <c r="F1038" s="746"/>
      <c r="G1038" s="746"/>
      <c r="H1038" s="736"/>
      <c r="I1038" s="736"/>
      <c r="J1038" s="736"/>
      <c r="K1038" s="736"/>
      <c r="L1038" s="736"/>
      <c r="M1038" s="736"/>
      <c r="N1038" s="736"/>
      <c r="O1038" s="736"/>
      <c r="P1038" s="736"/>
      <c r="Q1038" s="736"/>
      <c r="R1038" s="736"/>
      <c r="S1038" s="736"/>
      <c r="T1038" s="736"/>
      <c r="U1038" s="736"/>
    </row>
    <row r="1039">
      <c r="A1039" s="736"/>
      <c r="B1039" s="736"/>
      <c r="C1039" s="747"/>
      <c r="D1039" s="746"/>
      <c r="E1039" s="747"/>
      <c r="F1039" s="746"/>
      <c r="G1039" s="746"/>
      <c r="H1039" s="736"/>
      <c r="I1039" s="736"/>
      <c r="J1039" s="736"/>
      <c r="K1039" s="736"/>
      <c r="L1039" s="736"/>
      <c r="M1039" s="736"/>
      <c r="N1039" s="736"/>
      <c r="O1039" s="736"/>
      <c r="P1039" s="736"/>
      <c r="Q1039" s="736"/>
      <c r="R1039" s="736"/>
      <c r="S1039" s="736"/>
      <c r="T1039" s="736"/>
      <c r="U1039" s="736"/>
    </row>
    <row r="1040">
      <c r="A1040" s="736"/>
      <c r="B1040" s="736"/>
      <c r="C1040" s="747"/>
      <c r="D1040" s="746"/>
      <c r="E1040" s="747"/>
      <c r="F1040" s="746"/>
      <c r="G1040" s="746"/>
      <c r="H1040" s="736"/>
      <c r="I1040" s="736"/>
      <c r="J1040" s="736"/>
      <c r="K1040" s="736"/>
      <c r="L1040" s="736"/>
      <c r="M1040" s="736"/>
      <c r="N1040" s="736"/>
      <c r="O1040" s="736"/>
      <c r="P1040" s="736"/>
      <c r="Q1040" s="736"/>
      <c r="R1040" s="736"/>
      <c r="S1040" s="736"/>
      <c r="T1040" s="736"/>
      <c r="U1040" s="736"/>
    </row>
    <row r="1041">
      <c r="A1041" s="736"/>
      <c r="B1041" s="736"/>
      <c r="C1041" s="747"/>
      <c r="D1041" s="746"/>
      <c r="E1041" s="747"/>
      <c r="F1041" s="746"/>
      <c r="G1041" s="746"/>
      <c r="H1041" s="736"/>
      <c r="I1041" s="736"/>
      <c r="J1041" s="736"/>
      <c r="K1041" s="736"/>
      <c r="L1041" s="736"/>
      <c r="M1041" s="736"/>
      <c r="N1041" s="736"/>
      <c r="O1041" s="736"/>
      <c r="P1041" s="736"/>
      <c r="Q1041" s="736"/>
      <c r="R1041" s="736"/>
      <c r="S1041" s="736"/>
      <c r="T1041" s="736"/>
      <c r="U1041" s="736"/>
    </row>
    <row r="1042">
      <c r="A1042" s="736"/>
      <c r="B1042" s="736"/>
      <c r="C1042" s="747"/>
      <c r="D1042" s="746"/>
      <c r="E1042" s="747"/>
      <c r="F1042" s="746"/>
      <c r="G1042" s="746"/>
      <c r="H1042" s="736"/>
      <c r="I1042" s="736"/>
      <c r="J1042" s="736"/>
      <c r="K1042" s="736"/>
      <c r="L1042" s="736"/>
      <c r="M1042" s="736"/>
      <c r="N1042" s="736"/>
      <c r="O1042" s="736"/>
      <c r="P1042" s="736"/>
      <c r="Q1042" s="736"/>
      <c r="R1042" s="736"/>
      <c r="S1042" s="736"/>
      <c r="T1042" s="736"/>
      <c r="U1042" s="736"/>
    </row>
    <row r="1043">
      <c r="A1043" s="736"/>
      <c r="B1043" s="736"/>
      <c r="C1043" s="747"/>
      <c r="D1043" s="746"/>
      <c r="E1043" s="747"/>
      <c r="F1043" s="746"/>
      <c r="G1043" s="746"/>
      <c r="H1043" s="736"/>
      <c r="I1043" s="736"/>
      <c r="J1043" s="736"/>
      <c r="K1043" s="736"/>
      <c r="L1043" s="736"/>
      <c r="M1043" s="736"/>
      <c r="N1043" s="736"/>
      <c r="O1043" s="736"/>
      <c r="P1043" s="736"/>
      <c r="Q1043" s="736"/>
      <c r="R1043" s="736"/>
      <c r="S1043" s="736"/>
      <c r="T1043" s="736"/>
      <c r="U1043" s="736"/>
    </row>
    <row r="1044">
      <c r="A1044" s="736"/>
      <c r="B1044" s="736"/>
      <c r="C1044" s="747"/>
      <c r="D1044" s="746"/>
      <c r="E1044" s="747"/>
      <c r="F1044" s="746"/>
      <c r="G1044" s="746"/>
      <c r="H1044" s="736"/>
      <c r="I1044" s="736"/>
      <c r="J1044" s="736"/>
      <c r="K1044" s="736"/>
      <c r="L1044" s="736"/>
      <c r="M1044" s="736"/>
      <c r="N1044" s="736"/>
      <c r="O1044" s="736"/>
      <c r="P1044" s="736"/>
      <c r="Q1044" s="736"/>
      <c r="R1044" s="736"/>
      <c r="S1044" s="736"/>
      <c r="T1044" s="736"/>
      <c r="U1044" s="736"/>
    </row>
    <row r="1045">
      <c r="A1045" s="736"/>
      <c r="B1045" s="736"/>
      <c r="C1045" s="747"/>
      <c r="D1045" s="746"/>
      <c r="E1045" s="747"/>
      <c r="F1045" s="746"/>
      <c r="G1045" s="746"/>
      <c r="H1045" s="736"/>
      <c r="I1045" s="736"/>
      <c r="J1045" s="736"/>
      <c r="K1045" s="736"/>
      <c r="L1045" s="736"/>
      <c r="M1045" s="736"/>
      <c r="N1045" s="736"/>
      <c r="O1045" s="736"/>
      <c r="P1045" s="736"/>
      <c r="Q1045" s="736"/>
      <c r="R1045" s="736"/>
      <c r="S1045" s="736"/>
      <c r="T1045" s="736"/>
      <c r="U1045" s="736"/>
    </row>
    <row r="1046">
      <c r="A1046" s="736"/>
      <c r="B1046" s="736"/>
      <c r="C1046" s="747"/>
      <c r="D1046" s="746"/>
      <c r="E1046" s="747"/>
      <c r="F1046" s="746"/>
      <c r="G1046" s="746"/>
      <c r="H1046" s="736"/>
      <c r="I1046" s="736"/>
      <c r="J1046" s="736"/>
      <c r="K1046" s="736"/>
      <c r="L1046" s="736"/>
      <c r="M1046" s="736"/>
      <c r="N1046" s="736"/>
      <c r="O1046" s="736"/>
      <c r="P1046" s="736"/>
      <c r="Q1046" s="736"/>
      <c r="R1046" s="736"/>
      <c r="S1046" s="736"/>
      <c r="T1046" s="736"/>
      <c r="U1046" s="736"/>
    </row>
    <row r="1047">
      <c r="A1047" s="736"/>
      <c r="B1047" s="736"/>
      <c r="C1047" s="747"/>
      <c r="D1047" s="746"/>
      <c r="E1047" s="747"/>
      <c r="F1047" s="746"/>
      <c r="G1047" s="746"/>
      <c r="H1047" s="736"/>
      <c r="I1047" s="736"/>
      <c r="J1047" s="736"/>
      <c r="K1047" s="736"/>
      <c r="L1047" s="736"/>
      <c r="M1047" s="736"/>
      <c r="N1047" s="736"/>
      <c r="O1047" s="736"/>
      <c r="P1047" s="736"/>
      <c r="Q1047" s="736"/>
      <c r="R1047" s="736"/>
      <c r="S1047" s="736"/>
      <c r="T1047" s="736"/>
      <c r="U1047" s="736"/>
    </row>
    <row r="1048">
      <c r="A1048" s="736"/>
      <c r="B1048" s="736"/>
      <c r="C1048" s="747"/>
      <c r="D1048" s="746"/>
      <c r="E1048" s="747"/>
      <c r="F1048" s="746"/>
      <c r="G1048" s="746"/>
      <c r="H1048" s="736"/>
      <c r="I1048" s="736"/>
      <c r="J1048" s="736"/>
      <c r="K1048" s="736"/>
      <c r="L1048" s="736"/>
      <c r="M1048" s="736"/>
      <c r="N1048" s="736"/>
      <c r="O1048" s="736"/>
      <c r="P1048" s="736"/>
      <c r="Q1048" s="736"/>
      <c r="R1048" s="736"/>
      <c r="S1048" s="736"/>
      <c r="T1048" s="736"/>
      <c r="U1048" s="736"/>
    </row>
    <row r="1049">
      <c r="A1049" s="736"/>
      <c r="B1049" s="736"/>
      <c r="C1049" s="747"/>
      <c r="D1049" s="746"/>
      <c r="E1049" s="747"/>
      <c r="F1049" s="746"/>
      <c r="G1049" s="746"/>
      <c r="H1049" s="736"/>
      <c r="I1049" s="736"/>
      <c r="J1049" s="736"/>
      <c r="K1049" s="736"/>
      <c r="L1049" s="736"/>
      <c r="M1049" s="736"/>
      <c r="N1049" s="736"/>
      <c r="O1049" s="736"/>
      <c r="P1049" s="736"/>
      <c r="Q1049" s="736"/>
      <c r="R1049" s="736"/>
      <c r="S1049" s="736"/>
      <c r="T1049" s="736"/>
      <c r="U1049" s="736"/>
    </row>
    <row r="1050">
      <c r="A1050" s="736"/>
      <c r="B1050" s="736"/>
      <c r="C1050" s="747"/>
      <c r="D1050" s="746"/>
      <c r="E1050" s="747"/>
      <c r="F1050" s="746"/>
      <c r="G1050" s="746"/>
      <c r="H1050" s="736"/>
      <c r="I1050" s="736"/>
      <c r="J1050" s="736"/>
      <c r="K1050" s="736"/>
      <c r="L1050" s="736"/>
      <c r="M1050" s="736"/>
      <c r="N1050" s="736"/>
      <c r="O1050" s="736"/>
      <c r="P1050" s="736"/>
      <c r="Q1050" s="736"/>
      <c r="R1050" s="736"/>
      <c r="S1050" s="736"/>
      <c r="T1050" s="736"/>
      <c r="U1050" s="736"/>
    </row>
  </sheetData>
  <mergeCells count="2">
    <mergeCell ref="A1:D1"/>
    <mergeCell ref="E1:H1"/>
  </mergeCells>
  <conditionalFormatting sqref="A1:A1050">
    <cfRule type="expression" dxfId="6" priority="1">
      <formula>COUNTIF(A:A,A1)&gt;1</formula>
    </cfRule>
  </conditionalFormatting>
  <dataValidations>
    <dataValidation type="list" allowBlank="1" sqref="D3:D61 F3:F61 D63:D1050 F63:F1050">
      <formula1>"0.0,OST,(T1)  110.9,(T2)  123.0,(T3)  131.8,(T4)  136.5,(T5)  146.2,(T6)  156.7,(T7)  167.9,(T8)  103.5,(T9)  100.0,(T10) 107.2,(T11) 114.8,(T12) 127.3,(T13) 141.3,(T14) 151.4,(T15) 162.2,(T16) 192.8,(T17) 67.0,(T18) 71.9,(T19) 74.4,(T20) 77.0,(T21) 79.7,"&amp;"(T22) 82.5,(T23) 85.4,(T24) 88.5,(T25) 91.5,(T26) 94.8,(T27) 97.4,(T28) 118.8,(T29) 173.8,(T30) 179.9,(T31) 186.2,(T32) 203.5"</formula1>
    </dataValidation>
    <dataValidation type="list" allowBlank="1" sqref="B3:B61 B63:B171 B173:B1050">
      <formula1>"A/G CMD,A/G TAC,A/G,COMMAND,DISPATCH,FOREST,FUTURE,LOGS,MARINE,TACTICAL"</formula1>
    </dataValidation>
    <dataValidation type="list" allowBlank="1" sqref="B172">
      <formula1>"AIRGUARD"</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pageSetUpPr fitToPage="1"/>
  </sheetPr>
  <sheetViews>
    <sheetView showGridLines="0" workbookViewId="0"/>
  </sheetViews>
  <sheetFormatPr customHeight="1" defaultColWidth="12.63" defaultRowHeight="15.75"/>
  <cols>
    <col customWidth="1" min="1" max="1" width="5.25"/>
    <col customWidth="1" min="2" max="2" width="14.25"/>
    <col customWidth="1" min="3" max="3" width="12.38"/>
    <col customWidth="1" min="4" max="4" width="19.13"/>
    <col customWidth="1" min="5" max="5" width="9.38"/>
    <col customWidth="1" min="6" max="6" width="9.25"/>
    <col customWidth="1" min="7" max="7" width="9.5"/>
    <col customWidth="1" min="8" max="9" width="9.63"/>
    <col customWidth="1" min="10" max="10" width="32.75"/>
  </cols>
  <sheetData>
    <row r="1" ht="19.5" customHeight="1">
      <c r="A1" s="748" t="s">
        <v>1131</v>
      </c>
      <c r="B1" s="77"/>
      <c r="C1" s="77"/>
      <c r="D1" s="77"/>
      <c r="E1" s="77"/>
      <c r="F1" s="77"/>
      <c r="G1" s="77"/>
      <c r="H1" s="77"/>
      <c r="I1" s="748"/>
      <c r="J1" s="677" t="s">
        <v>414</v>
      </c>
    </row>
    <row r="2">
      <c r="A2" s="399" t="s">
        <v>282</v>
      </c>
      <c r="B2" s="165"/>
      <c r="C2" s="165"/>
      <c r="D2" s="432" t="s">
        <v>471</v>
      </c>
      <c r="F2" s="432" t="s">
        <v>472</v>
      </c>
      <c r="G2" s="581"/>
      <c r="H2" s="581"/>
      <c r="I2" s="581"/>
      <c r="J2" s="749"/>
    </row>
    <row r="3">
      <c r="A3" s="404" t="str">
        <f>IncName</f>
        <v>NO NAME</v>
      </c>
      <c r="D3" s="750" t="s">
        <v>473</v>
      </c>
      <c r="E3" s="751">
        <f>G3-1</f>
        <v>43892</v>
      </c>
      <c r="F3" s="423" t="s">
        <v>284</v>
      </c>
      <c r="G3" s="407">
        <f>OpDate</f>
        <v>43893</v>
      </c>
      <c r="H3" s="408" t="s">
        <v>130</v>
      </c>
      <c r="I3" s="408"/>
      <c r="J3" s="752">
        <f>OpDateTo</f>
        <v>43894</v>
      </c>
    </row>
    <row r="4">
      <c r="A4" s="753" t="str">
        <f>'205 Worksheet'!B7</f>
        <v>Incident Channels</v>
      </c>
      <c r="B4" s="77"/>
      <c r="C4" s="77"/>
      <c r="D4" s="754" t="s">
        <v>476</v>
      </c>
      <c r="E4" s="755">
        <f>'205 Worksheet'!E4</f>
        <v>1930</v>
      </c>
      <c r="F4" s="427" t="s">
        <v>131</v>
      </c>
      <c r="G4" s="756" t="str">
        <f>OpStart</f>
        <v>0700</v>
      </c>
      <c r="H4" s="757" t="s">
        <v>133</v>
      </c>
      <c r="I4" s="757"/>
      <c r="J4" s="758" t="str">
        <f>OpEnd</f>
        <v>0700</v>
      </c>
    </row>
    <row r="5">
      <c r="A5" s="444" t="s">
        <v>478</v>
      </c>
      <c r="B5" s="74"/>
      <c r="C5" s="45"/>
      <c r="D5" s="759"/>
      <c r="E5" s="74"/>
      <c r="F5" s="74"/>
      <c r="G5" s="74"/>
      <c r="H5" s="74"/>
      <c r="I5" s="74"/>
      <c r="J5" s="45"/>
    </row>
    <row r="6">
      <c r="A6" s="601" t="s">
        <v>1132</v>
      </c>
      <c r="B6" s="604" t="s">
        <v>485</v>
      </c>
      <c r="C6" s="604" t="s">
        <v>352</v>
      </c>
      <c r="D6" s="603" t="s">
        <v>1133</v>
      </c>
      <c r="E6" s="602" t="s">
        <v>486</v>
      </c>
      <c r="F6" s="602" t="s">
        <v>487</v>
      </c>
      <c r="G6" s="602" t="s">
        <v>488</v>
      </c>
      <c r="H6" s="602" t="s">
        <v>489</v>
      </c>
      <c r="I6" s="602" t="s">
        <v>433</v>
      </c>
      <c r="J6" s="602" t="s">
        <v>434</v>
      </c>
    </row>
    <row r="7" ht="21.75" customHeight="1">
      <c r="A7" s="760">
        <v>1.0</v>
      </c>
      <c r="B7" s="761" t="str">
        <f> IF(ISERROR(vlookup(A7,Order205,4,FALSE)), "", vlookup(A7,Order205,4,FALSE))</f>
        <v>COMMAND</v>
      </c>
      <c r="C7" s="762" t="str">
        <f> IF(ISERROR(vlookup(A7,Order205,2,FALSE)), "", vlookup(A7,Order205,2,FALSE))</f>
        <v>CDF C1</v>
      </c>
      <c r="D7" s="763" t="str">
        <f> IF(ISERROR(vlookup(A7,Order205,3,FALSE)), "", vlookup(A7,Order205,3,FALSE))</f>
        <v>ALL DIVS</v>
      </c>
      <c r="E7" s="764">
        <f> IF(ISERROR(vlookup(A7,Order205,5,FALSE)), "", vlookup(A7,Order205,5,FALSE))</f>
        <v>151.355</v>
      </c>
      <c r="F7" s="765" t="str">
        <f> IF(ISERROR(vlookup(A7,Order205,6,FALSE)), "", vlookup(A7,Order205,6,FALSE))</f>
        <v>(T8)  103.5</v>
      </c>
      <c r="G7" s="764">
        <f> IF(ISERROR(vlookup(A7,Order205,7,FALSE)), "", vlookup(A7,Order205,7,FALSE))</f>
        <v>159.3</v>
      </c>
      <c r="H7" s="765" t="str">
        <f> IF(ISERROR(vlookup(A7,Order205,8,FALSE)), "", vlookup(A7,Order205,8,FALSE))</f>
        <v>OST</v>
      </c>
      <c r="I7" s="765" t="str">
        <f> IF(ISERROR(vlookup(A7,Order205,9,FALSE)), "", vlookup(A7,Order205,9,FALSE))</f>
        <v>A</v>
      </c>
      <c r="J7" s="766" t="str">
        <f> IF(ISERROR(vlookup(A7,Order205,10,FALSE)), "", vlookup(A7,Order205,10,FALSE))</f>
        <v/>
      </c>
    </row>
    <row r="8" ht="21.75" customHeight="1">
      <c r="A8" s="760">
        <v>2.0</v>
      </c>
      <c r="B8" s="767" t="str">
        <f> IF(ISERROR(vlookup(A8,Order205,4,FALSE)), "", vlookup(A8,Order205,4,FALSE))</f>
        <v>TACTICAL</v>
      </c>
      <c r="C8" s="768" t="str">
        <f> IF(ISERROR(vlookup(A8,Order205,2,FALSE)), "", vlookup(A8,Order205,2,FALSE))</f>
        <v>CDF T3</v>
      </c>
      <c r="D8" s="769" t="str">
        <f> IF(ISERROR(vlookup(A8,Order205,3,FALSE)), "", vlookup(A8,Order205,3,FALSE))</f>
        <v>DIV A</v>
      </c>
      <c r="E8" s="239">
        <f> IF(ISERROR(vlookup(A8,Order205,5,FALSE)), "", vlookup(A8,Order205,5,FALSE))</f>
        <v>151.175</v>
      </c>
      <c r="F8" s="770" t="str">
        <f> IF(ISERROR(vlookup(A8,Order205,6,FALSE)), "", vlookup(A8,Order205,6,FALSE))</f>
        <v>(T16) 192.8</v>
      </c>
      <c r="G8" s="239">
        <f> IF(ISERROR(vlookup(A8,Order205,7,FALSE)), "", vlookup(A8,Order205,7,FALSE))</f>
        <v>151.175</v>
      </c>
      <c r="H8" s="770" t="str">
        <f> IF(ISERROR(vlookup(A8,Order205,8,FALSE)), "", vlookup(A8,Order205,8,FALSE))</f>
        <v>(T16) 192.8</v>
      </c>
      <c r="I8" s="765" t="str">
        <f> IF(ISERROR(vlookup(A8,Order205,9,FALSE)), "", vlookup(A8,Order205,9,FALSE))</f>
        <v>A</v>
      </c>
      <c r="J8" s="766" t="str">
        <f> IF(ISERROR(vlookup(A8,Order205,10,FALSE)), "", vlookup(A8,Order205,10,FALSE))</f>
        <v/>
      </c>
    </row>
    <row r="9" ht="21.75" customHeight="1">
      <c r="A9" s="760">
        <v>3.0</v>
      </c>
      <c r="B9" s="767" t="str">
        <f> IF(ISERROR(vlookup(A9,Order205,4,FALSE)), "", vlookup(A9,Order205,4,FALSE))</f>
        <v>TACTICAL</v>
      </c>
      <c r="C9" s="768" t="str">
        <f> IF(ISERROR(vlookup(A9,Order205,2,FALSE)), "", vlookup(A9,Order205,2,FALSE))</f>
        <v>CDF T4</v>
      </c>
      <c r="D9" s="769" t="str">
        <f> IF(ISERROR(vlookup(A9,Order205,3,FALSE)), "", vlookup(A9,Order205,3,FALSE))</f>
        <v>DIV B</v>
      </c>
      <c r="E9" s="239">
        <f> IF(ISERROR(vlookup(A9,Order205,5,FALSE)), "", vlookup(A9,Order205,5,FALSE))</f>
        <v>151.19</v>
      </c>
      <c r="F9" s="770" t="str">
        <f> IF(ISERROR(vlookup(A9,Order205,6,FALSE)), "", vlookup(A9,Order205,6,FALSE))</f>
        <v>(T16) 192.8</v>
      </c>
      <c r="G9" s="239">
        <f> IF(ISERROR(vlookup(A9,Order205,7,FALSE)), "", vlookup(A9,Order205,7,FALSE))</f>
        <v>151.19</v>
      </c>
      <c r="H9" s="770" t="str">
        <f> IF(ISERROR(vlookup(A9,Order205,8,FALSE)), "", vlookup(A9,Order205,8,FALSE))</f>
        <v>(T16) 192.8</v>
      </c>
      <c r="I9" s="765" t="str">
        <f> IF(ISERROR(vlookup(A9,Order205,9,FALSE)), "", vlookup(A9,Order205,9,FALSE))</f>
        <v>A</v>
      </c>
      <c r="J9" s="766" t="str">
        <f> IF(ISERROR(vlookup(A9,Order205,10,FALSE)), "", vlookup(A9,Order205,10,FALSE))</f>
        <v/>
      </c>
    </row>
    <row r="10" ht="21.75" customHeight="1">
      <c r="A10" s="760">
        <v>4.0</v>
      </c>
      <c r="B10" s="767" t="str">
        <f> IF(ISERROR(vlookup(A10,Order205,4,FALSE)), "", vlookup(A10,Order205,4,FALSE))</f>
        <v>TACTICAL</v>
      </c>
      <c r="C10" s="768" t="str">
        <f> IF(ISERROR(vlookup(A10,Order205,2,FALSE)), "", vlookup(A10,Order205,2,FALSE))</f>
        <v>CDF T35</v>
      </c>
      <c r="D10" s="769" t="str">
        <f> IF(ISERROR(vlookup(A10,Order205,3,FALSE)), "", vlookup(A10,Order205,3,FALSE))</f>
        <v/>
      </c>
      <c r="E10" s="239">
        <f> IF(ISERROR(vlookup(A10,Order205,5,FALSE)), "", vlookup(A10,Order205,5,FALSE))</f>
        <v>159.3225</v>
      </c>
      <c r="F10" s="770" t="str">
        <f> IF(ISERROR(vlookup(A10,Order205,6,FALSE)), "", vlookup(A10,Order205,6,FALSE))</f>
        <v>(T16) 192.8</v>
      </c>
      <c r="G10" s="239">
        <f> IF(ISERROR(vlookup(A10,Order205,7,FALSE)), "", vlookup(A10,Order205,7,FALSE))</f>
        <v>159.3225</v>
      </c>
      <c r="H10" s="770" t="str">
        <f> IF(ISERROR(vlookup(A10,Order205,8,FALSE)), "", vlookup(A10,Order205,8,FALSE))</f>
        <v>(T16) 192.8</v>
      </c>
      <c r="I10" s="765" t="str">
        <f> IF(ISERROR(vlookup(A10,Order205,9,FALSE)), "", vlookup(A10,Order205,9,FALSE))</f>
        <v>A</v>
      </c>
      <c r="J10" s="766" t="str">
        <f> IF(ISERROR(vlookup(A10,Order205,10,FALSE)), "", vlookup(A10,Order205,10,FALSE))</f>
        <v/>
      </c>
    </row>
    <row r="11" ht="21.75" customHeight="1">
      <c r="A11" s="760">
        <v>5.0</v>
      </c>
      <c r="B11" s="767" t="str">
        <f> IF(ISERROR(vlookup(A11,Order205,4,FALSE)), "", vlookup(A11,Order205,4,FALSE))</f>
        <v/>
      </c>
      <c r="C11" s="768" t="str">
        <f> IF(ISERROR(vlookup(A11,Order205,2,FALSE)), "", vlookup(A11,Order205,2,FALSE))</f>
        <v/>
      </c>
      <c r="D11" s="769" t="str">
        <f> IF(ISERROR(vlookup(A11,Order205,3,FALSE)), "", vlookup(A11,Order205,3,FALSE))</f>
        <v/>
      </c>
      <c r="E11" s="239" t="str">
        <f> IF(ISERROR(vlookup(A11,Order205,5,FALSE)), "", vlookup(A11,Order205,5,FALSE))</f>
        <v/>
      </c>
      <c r="F11" s="769" t="str">
        <f> IF(ISERROR(vlookup(A11,Order205,6,FALSE)), "", vlookup(A11,Order205,6,FALSE))</f>
        <v/>
      </c>
      <c r="G11" s="239" t="str">
        <f> IF(ISERROR(vlookup(A11,Order205,7,FALSE)), "", vlookup(A11,Order205,7,FALSE))</f>
        <v/>
      </c>
      <c r="H11" s="769" t="str">
        <f> IF(ISERROR(vlookup(A11,Order205,8,FALSE)), "", vlookup(A11,Order205,8,FALSE))</f>
        <v/>
      </c>
      <c r="I11" s="763" t="str">
        <f> IF(ISERROR(vlookup(A11,Order205,9,FALSE)), "", vlookup(A11,Order205,9,FALSE))</f>
        <v/>
      </c>
      <c r="J11" s="766" t="str">
        <f> IF(ISERROR(vlookup(A11,Order205,10,FALSE)), "", vlookup(A11,Order205,10,FALSE))</f>
        <v/>
      </c>
    </row>
    <row r="12" ht="21.75" customHeight="1">
      <c r="A12" s="760">
        <v>6.0</v>
      </c>
      <c r="B12" s="767" t="str">
        <f> IF(ISERROR(vlookup(A12,Order205,4,FALSE)), "", vlookup(A12,Order205,4,FALSE))</f>
        <v/>
      </c>
      <c r="C12" s="768" t="str">
        <f> IF(ISERROR(vlookup(A12,Order205,2,FALSE)), "", vlookup(A12,Order205,2,FALSE))</f>
        <v/>
      </c>
      <c r="D12" s="769" t="str">
        <f> IF(ISERROR(vlookup(A12,Order205,3,FALSE)), "", vlookup(A12,Order205,3,FALSE))</f>
        <v/>
      </c>
      <c r="E12" s="239" t="str">
        <f> IF(ISERROR(vlookup(A12,Order205,5,FALSE)), "", vlookup(A12,Order205,5,FALSE))</f>
        <v/>
      </c>
      <c r="F12" s="262" t="str">
        <f> IF(ISERROR(vlookup(A12,Order205,6,FALSE)), "", vlookup(A12,Order205,6,FALSE))</f>
        <v/>
      </c>
      <c r="G12" s="239" t="str">
        <f> IF(ISERROR(vlookup(A12,Order205,7,FALSE)), "", vlookup(A12,Order205,7,FALSE))</f>
        <v/>
      </c>
      <c r="H12" s="769" t="str">
        <f> IF(ISERROR(vlookup(A12,Order205,8,FALSE)), "", vlookup(A12,Order205,8,FALSE))</f>
        <v/>
      </c>
      <c r="I12" s="763" t="str">
        <f> IF(ISERROR(vlookup(A12,Order205,9,FALSE)), "", vlookup(A12,Order205,9,FALSE))</f>
        <v/>
      </c>
      <c r="J12" s="766" t="str">
        <f> IF(ISERROR(vlookup(A12,Order205,10,FALSE)), "", vlookup(A12,Order205,10,FALSE))</f>
        <v/>
      </c>
    </row>
    <row r="13" ht="21.75" customHeight="1">
      <c r="A13" s="760">
        <v>7.0</v>
      </c>
      <c r="B13" s="767" t="str">
        <f> IF(ISERROR(vlookup(A13,Order205,4,FALSE)), "", vlookup(A13,Order205,4,FALSE))</f>
        <v/>
      </c>
      <c r="C13" s="768" t="str">
        <f> IF(ISERROR(vlookup(A13,Order205,2,FALSE)), "", vlookup(A13,Order205,2,FALSE))</f>
        <v/>
      </c>
      <c r="D13" s="769" t="str">
        <f> IF(ISERROR(vlookup(A13,Order205,3,FALSE)), "", vlookup(A13,Order205,3,FALSE))</f>
        <v/>
      </c>
      <c r="E13" s="239" t="str">
        <f> IF(ISERROR(vlookup(A13,Order205,5,FALSE)), "", vlookup(A13,Order205,5,FALSE))</f>
        <v/>
      </c>
      <c r="F13" s="769" t="str">
        <f> IF(ISERROR(vlookup(A13,Order205,6,FALSE)), "", vlookup(A13,Order205,6,FALSE))</f>
        <v/>
      </c>
      <c r="G13" s="239" t="str">
        <f> IF(ISERROR(vlookup(A13,Order205,7,FALSE)), "", vlookup(A13,Order205,7,FALSE))</f>
        <v/>
      </c>
      <c r="H13" s="769" t="str">
        <f> IF(ISERROR(vlookup(A13,Order205,8,FALSE)), "", vlookup(A13,Order205,8,FALSE))</f>
        <v/>
      </c>
      <c r="I13" s="763" t="str">
        <f> IF(ISERROR(vlookup(A13,Order205,9,FALSE)), "", vlookup(A13,Order205,9,FALSE))</f>
        <v/>
      </c>
      <c r="J13" s="766" t="str">
        <f> IF(ISERROR(vlookup(A13,Order205,10,FALSE)), "", vlookup(A13,Order205,10,FALSE))</f>
        <v/>
      </c>
    </row>
    <row r="14" ht="21.75" customHeight="1">
      <c r="A14" s="760">
        <v>8.0</v>
      </c>
      <c r="B14" s="767" t="str">
        <f> IF(ISERROR(vlookup(A14,Order205,4,FALSE)), "", vlookup(A14,Order205,4,FALSE))</f>
        <v/>
      </c>
      <c r="C14" s="768" t="str">
        <f> IF(ISERROR(vlookup(A14,Order205,2,FALSE)), "", vlookup(A14,Order205,2,FALSE))</f>
        <v/>
      </c>
      <c r="D14" s="769" t="str">
        <f> IF(ISERROR(vlookup(A14,Order205,3,FALSE)), "", vlookup(A14,Order205,3,FALSE))</f>
        <v/>
      </c>
      <c r="E14" s="239" t="str">
        <f> IF(ISERROR(vlookup(A14,Order205,5,FALSE)), "", vlookup(A14,Order205,5,FALSE))</f>
        <v/>
      </c>
      <c r="F14" s="769" t="str">
        <f> IF(ISERROR(vlookup(A14,Order205,6,FALSE)), "", vlookup(A14,Order205,6,FALSE))</f>
        <v/>
      </c>
      <c r="G14" s="239" t="str">
        <f> IF(ISERROR(vlookup(A14,Order205,7,FALSE)), "", vlookup(A14,Order205,7,FALSE))</f>
        <v/>
      </c>
      <c r="H14" s="769" t="str">
        <f> IF(ISERROR(vlookup(A14,Order205,8,FALSE)), "", vlookup(A14,Order205,8,FALSE))</f>
        <v/>
      </c>
      <c r="I14" s="763" t="str">
        <f> IF(ISERROR(vlookup(A14,Order205,9,FALSE)), "", vlookup(A14,Order205,9,FALSE))</f>
        <v/>
      </c>
      <c r="J14" s="766" t="str">
        <f> IF(ISERROR(vlookup(A14,Order205,10,FALSE)), "", vlookup(A14,Order205,10,FALSE))</f>
        <v/>
      </c>
    </row>
    <row r="15" ht="21.75" customHeight="1">
      <c r="A15" s="760">
        <v>9.0</v>
      </c>
      <c r="B15" s="767" t="str">
        <f> IF(ISERROR(vlookup(A15,Order205,4,FALSE)), "", vlookup(A15,Order205,4,FALSE))</f>
        <v/>
      </c>
      <c r="C15" s="768" t="str">
        <f> IF(ISERROR(vlookup(A15,Order205,2,FALSE)), "", vlookup(A15,Order205,2,FALSE))</f>
        <v/>
      </c>
      <c r="D15" s="769" t="str">
        <f> IF(ISERROR(vlookup(A15,Order205,3,FALSE)), "", vlookup(A15,Order205,3,FALSE))</f>
        <v/>
      </c>
      <c r="E15" s="239" t="str">
        <f> IF(ISERROR(vlookup(A15,Order205,5,FALSE)), "", vlookup(A15,Order205,5,FALSE))</f>
        <v/>
      </c>
      <c r="F15" s="769" t="str">
        <f> IF(ISERROR(vlookup(A15,Order205,6,FALSE)), "", vlookup(A15,Order205,6,FALSE))</f>
        <v/>
      </c>
      <c r="G15" s="239" t="str">
        <f> IF(ISERROR(vlookup(A15,Order205,7,FALSE)), "", vlookup(A15,Order205,7,FALSE))</f>
        <v/>
      </c>
      <c r="H15" s="769" t="str">
        <f> IF(ISERROR(vlookup(A15,Order205,8,FALSE)), "", vlookup(A15,Order205,8,FALSE))</f>
        <v/>
      </c>
      <c r="I15" s="763" t="str">
        <f> IF(ISERROR(vlookup(A15,Order205,9,FALSE)), "", vlookup(A15,Order205,9,FALSE))</f>
        <v/>
      </c>
      <c r="J15" s="766" t="str">
        <f> IF(ISERROR(vlookup(A15,Order205,10,FALSE)), "", vlookup(A15,Order205,10,FALSE))</f>
        <v/>
      </c>
    </row>
    <row r="16" ht="21.75" customHeight="1">
      <c r="A16" s="760">
        <v>10.0</v>
      </c>
      <c r="B16" s="767" t="str">
        <f> IF(ISERROR(vlookup(A16,Order205,4,FALSE)), "", vlookup(A16,Order205,4,FALSE))</f>
        <v/>
      </c>
      <c r="C16" s="768" t="str">
        <f> IF(ISERROR(vlookup(A16,Order205,2,FALSE)), "", vlookup(A16,Order205,2,FALSE))</f>
        <v/>
      </c>
      <c r="D16" s="771" t="str">
        <f> IF(ISERROR(vlookup(A16,Order205,3,FALSE)), "", vlookup(A16,Order205,3,FALSE))</f>
        <v/>
      </c>
      <c r="E16" s="239" t="str">
        <f> IF(ISERROR(vlookup(A16,Order205,5,FALSE)), "", vlookup(A16,Order205,5,FALSE))</f>
        <v/>
      </c>
      <c r="F16" s="769" t="str">
        <f> IF(ISERROR(vlookup(A16,Order205,6,FALSE)), "", vlookup(A16,Order205,6,FALSE))</f>
        <v/>
      </c>
      <c r="G16" s="239" t="str">
        <f> IF(ISERROR(vlookup(A16,Order205,7,FALSE)), "", vlookup(A16,Order205,7,FALSE))</f>
        <v/>
      </c>
      <c r="H16" s="769" t="str">
        <f> IF(ISERROR(vlookup(A16,Order205,8,FALSE)), "", vlookup(A16,Order205,8,FALSE))</f>
        <v/>
      </c>
      <c r="I16" s="763" t="str">
        <f> IF(ISERROR(vlookup(A16,Order205,9,FALSE)), "", vlookup(A16,Order205,9,FALSE))</f>
        <v/>
      </c>
      <c r="J16" s="766" t="str">
        <f> IF(ISERROR(vlookup(A16,Order205,10,FALSE)), "", vlookup(A16,Order205,10,FALSE))</f>
        <v/>
      </c>
    </row>
    <row r="17" ht="21.75" customHeight="1">
      <c r="A17" s="760">
        <v>11.0</v>
      </c>
      <c r="B17" s="767" t="str">
        <f> IF(ISERROR(vlookup(A17,Order205,4,FALSE)), "", vlookup(A17,Order205,4,FALSE))</f>
        <v/>
      </c>
      <c r="C17" s="768" t="str">
        <f> IF(ISERROR(vlookup(A17,Order205,2,FALSE)), "", vlookup(A17,Order205,2,FALSE))</f>
        <v/>
      </c>
      <c r="D17" s="771" t="str">
        <f> IF(ISERROR(vlookup(A17,Order205,3,FALSE)), "", vlookup(A17,Order205,3,FALSE))</f>
        <v/>
      </c>
      <c r="E17" s="239" t="str">
        <f> IF(ISERROR(vlookup(A17,Order205,5,FALSE)), "", vlookup(A17,Order205,5,FALSE))</f>
        <v/>
      </c>
      <c r="F17" s="769" t="str">
        <f> IF(ISERROR(vlookup(A17,Order205,6,FALSE)), "", vlookup(A17,Order205,6,FALSE))</f>
        <v/>
      </c>
      <c r="G17" s="239" t="str">
        <f> IF(ISERROR(vlookup(A17,Order205,7,FALSE)), "", vlookup(A17,Order205,7,FALSE))</f>
        <v/>
      </c>
      <c r="H17" s="769" t="str">
        <f> IF(ISERROR(vlookup(A17,Order205,8,FALSE)), "", vlookup(A17,Order205,8,FALSE))</f>
        <v/>
      </c>
      <c r="I17" s="763" t="str">
        <f> IF(ISERROR(vlookup(A17,Order205,9,FALSE)), "", vlookup(A17,Order205,9,FALSE))</f>
        <v/>
      </c>
      <c r="J17" s="766" t="str">
        <f> IF(ISERROR(vlookup(A17,Order205,10,FALSE)), "", vlookup(A17,Order205,10,FALSE))</f>
        <v/>
      </c>
    </row>
    <row r="18" ht="21.75" customHeight="1">
      <c r="A18" s="760">
        <v>12.0</v>
      </c>
      <c r="B18" s="767" t="str">
        <f> IF(ISERROR(vlookup(A18,Order205,4,FALSE)), "", vlookup(A18,Order205,4,FALSE))</f>
        <v/>
      </c>
      <c r="C18" s="768" t="str">
        <f> IF(ISERROR(vlookup(A18,Order205,2,FALSE)), "", vlookup(A18,Order205,2,FALSE))</f>
        <v/>
      </c>
      <c r="D18" s="769" t="str">
        <f> IF(ISERROR(vlookup(A18,Order205,3,FALSE)), "", vlookup(A18,Order205,3,FALSE))</f>
        <v/>
      </c>
      <c r="E18" s="239" t="str">
        <f> IF(ISERROR(vlookup(A18,Order205,5,FALSE)), "", vlookup(A18,Order205,5,FALSE))</f>
        <v/>
      </c>
      <c r="F18" s="769" t="str">
        <f> IF(ISERROR(vlookup(A18,Order205,6,FALSE)), "", vlookup(A18,Order205,6,FALSE))</f>
        <v/>
      </c>
      <c r="G18" s="239" t="str">
        <f> IF(ISERROR(vlookup(A18,Order205,7,FALSE)), "", vlookup(A18,Order205,7,FALSE))</f>
        <v/>
      </c>
      <c r="H18" s="769" t="str">
        <f> IF(ISERROR(vlookup(A18,Order205,8,FALSE)), "", vlookup(A18,Order205,8,FALSE))</f>
        <v/>
      </c>
      <c r="I18" s="763" t="str">
        <f> IF(ISERROR(vlookup(A18,Order205,9,FALSE)), "", vlookup(A18,Order205,9,FALSE))</f>
        <v/>
      </c>
      <c r="J18" s="766" t="str">
        <f> IF(ISERROR(vlookup(A18,Order205,10,FALSE)), "", vlookup(A18,Order205,10,FALSE))</f>
        <v/>
      </c>
    </row>
    <row r="19" ht="21.75" customHeight="1">
      <c r="A19" s="760">
        <v>13.0</v>
      </c>
      <c r="B19" s="767" t="str">
        <f> IF(ISERROR(vlookup(A19,Order205,4,FALSE)), "", vlookup(A19,Order205,4,FALSE))</f>
        <v/>
      </c>
      <c r="C19" s="768" t="str">
        <f> IF(ISERROR(vlookup(A19,Order205,2,FALSE)), "", vlookup(A19,Order205,2,FALSE))</f>
        <v/>
      </c>
      <c r="D19" s="769" t="str">
        <f> IF(ISERROR(vlookup(A19,Order205,3,FALSE)), "", vlookup(A19,Order205,3,FALSE))</f>
        <v/>
      </c>
      <c r="E19" s="239" t="str">
        <f> IF(ISERROR(vlookup(A19,Order205,5,FALSE)), "", vlookup(A19,Order205,5,FALSE))</f>
        <v/>
      </c>
      <c r="F19" s="769" t="str">
        <f> IF(ISERROR(vlookup(A19,Order205,6,FALSE)), "", vlookup(A19,Order205,6,FALSE))</f>
        <v/>
      </c>
      <c r="G19" s="239" t="str">
        <f> IF(ISERROR(vlookup(A19,Order205,7,FALSE)), "", vlookup(A19,Order205,7,FALSE))</f>
        <v/>
      </c>
      <c r="H19" s="769" t="str">
        <f> IF(ISERROR(vlookup(A19,Order205,8,FALSE)), "", vlookup(A19,Order205,8,FALSE))</f>
        <v/>
      </c>
      <c r="I19" s="763" t="str">
        <f> IF(ISERROR(vlookup(A19,Order205,9,FALSE)), "", vlookup(A19,Order205,9,FALSE))</f>
        <v/>
      </c>
      <c r="J19" s="766" t="str">
        <f> IF(ISERROR(vlookup(A19,Order205,10,FALSE)), "", vlookup(A19,Order205,10,FALSE))</f>
        <v/>
      </c>
    </row>
    <row r="20" ht="21.75" customHeight="1">
      <c r="A20" s="760">
        <v>14.0</v>
      </c>
      <c r="B20" s="767" t="str">
        <f> IF(ISERROR(vlookup(A20,Order205,4,FALSE)), "", vlookup(A20,Order205,4,FALSE))</f>
        <v>A/G CMD</v>
      </c>
      <c r="C20" s="768" t="str">
        <f> IF(ISERROR(vlookup(A20,Order205,2,FALSE)), "", vlookup(A20,Order205,2,FALSE))</f>
        <v>A/G CMD</v>
      </c>
      <c r="D20" s="769" t="str">
        <f> IF(ISERROR(vlookup(A20,Order205,3,FALSE)), "", vlookup(A20,Order205,3,FALSE))</f>
        <v>ALL DIVS</v>
      </c>
      <c r="E20" s="239" t="str">
        <f> IF(ISERROR(vlookup(A20,Order205,5,FALSE)), "", vlookup(A20,Order205,5,FALSE))</f>
        <v>166.6125</v>
      </c>
      <c r="F20" s="770" t="str">
        <f> IF(ISERROR(vlookup(A20,Order205,6,FALSE)), "", vlookup(A20,Order205,6,FALSE))</f>
        <v/>
      </c>
      <c r="G20" s="239" t="str">
        <f> IF(ISERROR(vlookup(A20,Order205,7,FALSE)), "", vlookup(A20,Order205,7,FALSE))</f>
        <v>166.6125</v>
      </c>
      <c r="H20" s="770">
        <f> IF(ISERROR(vlookup(A20,Order205,8,FALSE)), "", vlookup(A20,Order205,8,FALSE))</f>
        <v>0</v>
      </c>
      <c r="I20" s="765" t="str">
        <f> IF(ISERROR(vlookup(A20,Order205,9,FALSE)), "", vlookup(A20,Order205,9,FALSE))</f>
        <v>A</v>
      </c>
      <c r="J20" s="766" t="str">
        <f> IF(ISERROR(vlookup(A20,Order205,10,FALSE)), "", vlookup(A20,Order205,10,FALSE))</f>
        <v/>
      </c>
    </row>
    <row r="21" ht="21.75" customHeight="1">
      <c r="A21" s="760">
        <v>15.0</v>
      </c>
      <c r="B21" s="767" t="str">
        <f> IF(ISERROR(vlookup(A21,Order205,4,FALSE)), "", vlookup(A21,Order205,4,FALSE))</f>
        <v>TACTICAL</v>
      </c>
      <c r="C21" s="768" t="str">
        <f> IF(ISERROR(vlookup(A21,Order205,2,FALSE)), "", vlookup(A21,Order205,2,FALSE))</f>
        <v>CALCORD</v>
      </c>
      <c r="D21" s="769" t="str">
        <f> IF(ISERROR(vlookup(A21,Order205,3,FALSE)), "", vlookup(A21,Order205,3,FALSE))</f>
        <v>ALL DIVS</v>
      </c>
      <c r="E21" s="239">
        <f> IF(ISERROR(vlookup(A21,Order205,5,FALSE)), "", vlookup(A21,Order205,5,FALSE))</f>
        <v>156.075</v>
      </c>
      <c r="F21" s="770" t="str">
        <f> IF(ISERROR(vlookup(A21,Order205,6,FALSE)), "", vlookup(A21,Order205,6,FALSE))</f>
        <v>(T6)  156.7</v>
      </c>
      <c r="G21" s="239">
        <f> IF(ISERROR(vlookup(A21,Order205,7,FALSE)), "", vlookup(A21,Order205,7,FALSE))</f>
        <v>156.075</v>
      </c>
      <c r="H21" s="770" t="str">
        <f> IF(ISERROR(vlookup(A21,Order205,8,FALSE)), "", vlookup(A21,Order205,8,FALSE))</f>
        <v>(T6)  156.7</v>
      </c>
      <c r="I21" s="765" t="str">
        <f> IF(ISERROR(vlookup(A21,Order205,9,FALSE)), "", vlookup(A21,Order205,9,FALSE))</f>
        <v>A</v>
      </c>
      <c r="J21" s="766" t="str">
        <f> IF(ISERROR(vlookup(A21,Order205,10,FALSE)), "", vlookup(A21,Order205,10,FALSE))</f>
        <v/>
      </c>
    </row>
    <row r="22" ht="21.75" customHeight="1">
      <c r="A22" s="760">
        <v>16.0</v>
      </c>
      <c r="B22" s="767" t="str">
        <f> IF(ISERROR(vlookup(A22,Order205,4,FALSE)), "", vlookup(A22,Order205,4,FALSE))</f>
        <v>A/G</v>
      </c>
      <c r="C22" s="768" t="str">
        <f> IF(ISERROR(vlookup(A22,Order205,2,FALSE)), "", vlookup(A22,Order205,2,FALSE))</f>
        <v>A/G YNP</v>
      </c>
      <c r="D22" s="769" t="str">
        <f> IF(ISERROR(vlookup(A22,Order205,3,FALSE)), "", vlookup(A22,Order205,3,FALSE))</f>
        <v>ALL DIVS</v>
      </c>
      <c r="E22" s="239" t="str">
        <f> IF(ISERROR(vlookup(A22,Order205,5,FALSE)), "", vlookup(A22,Order205,5,FALSE))</f>
        <v>168.5625</v>
      </c>
      <c r="F22" s="770" t="str">
        <f> IF(ISERROR(vlookup(A22,Order205,6,FALSE)), "", vlookup(A22,Order205,6,FALSE))</f>
        <v/>
      </c>
      <c r="G22" s="239" t="str">
        <f> IF(ISERROR(vlookup(A22,Order205,7,FALSE)), "", vlookup(A22,Order205,7,FALSE))</f>
        <v>168.5625</v>
      </c>
      <c r="H22" s="770">
        <f> IF(ISERROR(vlookup(A22,Order205,8,FALSE)), "", vlookup(A22,Order205,8,FALSE))</f>
        <v>0</v>
      </c>
      <c r="I22" s="765" t="str">
        <f> IF(ISERROR(vlookup(A22,Order205,9,FALSE)), "", vlookup(A22,Order205,9,FALSE))</f>
        <v>A</v>
      </c>
      <c r="J22" s="766" t="str">
        <f> IF(ISERROR(vlookup(A22,Order205,10,FALSE)), "", vlookup(A22,Order205,10,FALSE))</f>
        <v/>
      </c>
    </row>
    <row r="23" ht="21.75" customHeight="1">
      <c r="A23" s="760">
        <v>17.0</v>
      </c>
      <c r="B23" s="767" t="str">
        <f> IF(ISERROR(vlookup(A23,Order205,4,FALSE)), "", vlookup(A23,Order205,4,FALSE))</f>
        <v/>
      </c>
      <c r="C23" s="768" t="str">
        <f> IF(ISERROR(vlookup(A23,Order205,2,FALSE)), "", vlookup(A23,Order205,2,FALSE))</f>
        <v/>
      </c>
      <c r="D23" s="769" t="str">
        <f> IF(ISERROR(vlookup(A23,Order205,3,FALSE)), "", vlookup(A23,Order205,3,FALSE))</f>
        <v/>
      </c>
      <c r="E23" s="239" t="str">
        <f> IF(ISERROR(vlookup(A23,Order205,5,FALSE)), "", vlookup(A23,Order205,5,FALSE))</f>
        <v/>
      </c>
      <c r="F23" s="769" t="str">
        <f> IF(ISERROR(vlookup(A23,Order205,6,FALSE)), "", vlookup(A23,Order205,6,FALSE))</f>
        <v/>
      </c>
      <c r="G23" s="239" t="str">
        <f> IF(ISERROR(vlookup(A23,Order205,7,FALSE)), "", vlookup(A23,Order205,7,FALSE))</f>
        <v/>
      </c>
      <c r="H23" s="769" t="str">
        <f> IF(ISERROR(vlookup(A23,Order205,8,FALSE)), "", vlookup(A23,Order205,8,FALSE))</f>
        <v/>
      </c>
      <c r="I23" s="763" t="str">
        <f> IF(ISERROR(vlookup(A23,Order205,9,FALSE)), "", vlookup(A23,Order205,9,FALSE))</f>
        <v/>
      </c>
      <c r="J23" s="766" t="str">
        <f> IF(ISERROR(vlookup(A23,Order205,10,FALSE)), "", vlookup(A23,Order205,10,FALSE))</f>
        <v/>
      </c>
    </row>
    <row r="24" ht="21.75" customHeight="1">
      <c r="A24" s="760">
        <v>18.0</v>
      </c>
      <c r="B24" s="767" t="str">
        <f> IF(ISERROR(vlookup(A24,Order205,4,FALSE)), "", vlookup(A24,Order205,4,FALSE))</f>
        <v/>
      </c>
      <c r="C24" s="768" t="str">
        <f> IF(ISERROR(vlookup(A24,Order205,2,FALSE)), "", vlookup(A24,Order205,2,FALSE))</f>
        <v/>
      </c>
      <c r="D24" s="769" t="str">
        <f> IF(ISERROR(vlookup(A24,Order205,3,FALSE)), "", vlookup(A24,Order205,3,FALSE))</f>
        <v/>
      </c>
      <c r="E24" s="239" t="str">
        <f> IF(ISERROR(vlookup(A24,Order205,5,FALSE)), "", vlookup(A24,Order205,5,FALSE))</f>
        <v/>
      </c>
      <c r="F24" s="769" t="str">
        <f> IF(ISERROR(vlookup(A24,Order205,6,FALSE)), "", vlookup(A24,Order205,6,FALSE))</f>
        <v/>
      </c>
      <c r="G24" s="239" t="str">
        <f> IF(ISERROR(vlookup(A24,Order205,7,FALSE)), "", vlookup(A24,Order205,7,FALSE))</f>
        <v/>
      </c>
      <c r="H24" s="769" t="str">
        <f> IF(ISERROR(vlookup(A24,Order205,8,FALSE)), "", vlookup(A24,Order205,8,FALSE))</f>
        <v/>
      </c>
      <c r="I24" s="763" t="str">
        <f> IF(ISERROR(vlookup(A24,Order205,9,FALSE)), "", vlookup(A24,Order205,9,FALSE))</f>
        <v/>
      </c>
      <c r="J24" s="766" t="str">
        <f> IF(ISERROR(vlookup(A24,Order205,10,FALSE)), "", vlookup(A24,Order205,10,FALSE))</f>
        <v/>
      </c>
    </row>
    <row r="25" ht="21.75" customHeight="1">
      <c r="A25" s="772">
        <v>19.0</v>
      </c>
      <c r="B25" s="773" t="str">
        <f> IF(ISERROR(vlookup(A25,Order205,4,FALSE)), "", vlookup(A25,Order205,4,FALSE))</f>
        <v/>
      </c>
      <c r="C25" s="773" t="str">
        <f> IF(ISERROR(vlookup(A25,Order205,2,FALSE)), "", vlookup(A25,Order205,2,FALSE))</f>
        <v/>
      </c>
      <c r="D25" s="769" t="str">
        <f> IF(ISERROR(vlookup(A25,Order205,3,FALSE)), "", vlookup(A25,Order205,3,FALSE))</f>
        <v/>
      </c>
      <c r="E25" s="462" t="str">
        <f> IF(ISERROR(vlookup(A25,Order205,5,FALSE)), "", vlookup(A25,Order205,5,FALSE))</f>
        <v/>
      </c>
      <c r="F25" s="462" t="str">
        <f> IF(ISERROR(vlookup(A25,Order205,6,FALSE)), "", vlookup(A25,Order205,6,FALSE))</f>
        <v/>
      </c>
      <c r="G25" s="462" t="str">
        <f> IF(ISERROR(vlookup(A25,Order205,7,FALSE)), "", vlookup(A25,Order205,7,FALSE))</f>
        <v/>
      </c>
      <c r="H25" s="462" t="str">
        <f> IF(ISERROR(vlookup(A25,Order205,8,FALSE)), "", vlookup(A25,Order205,8,FALSE))</f>
        <v/>
      </c>
      <c r="I25" s="763" t="str">
        <f> IF(ISERROR(vlookup(A25,Order205,9,FALSE)), "", vlookup(A25,Order205,9,FALSE))</f>
        <v/>
      </c>
      <c r="J25" s="766" t="str">
        <f> IF(ISERROR(vlookup(A25,Order205,10,FALSE)), "", vlookup(A25,Order205,10,FALSE))</f>
        <v/>
      </c>
    </row>
    <row r="26" ht="21.75" customHeight="1">
      <c r="A26" s="772">
        <v>20.0</v>
      </c>
      <c r="B26" s="773" t="str">
        <f> IF(ISERROR(vlookup(A26,Order205,4,FALSE)), "", vlookup(A26,Order205,4,FALSE))</f>
        <v/>
      </c>
      <c r="C26" s="773" t="str">
        <f> IF(ISERROR(vlookup(A26,Order205,2,FALSE)), "", vlookup(A26,Order205,2,FALSE))</f>
        <v/>
      </c>
      <c r="D26" s="769" t="str">
        <f> IF(ISERROR(vlookup(A26,Order205,3,FALSE)), "", vlookup(A26,Order205,3,FALSE))</f>
        <v/>
      </c>
      <c r="E26" s="462" t="str">
        <f> IF(ISERROR(vlookup(A26,Order205,5,FALSE)), "", vlookup(A26,Order205,5,FALSE))</f>
        <v/>
      </c>
      <c r="F26" s="462" t="str">
        <f> IF(ISERROR(vlookup(A26,Order205,6,FALSE)), "", vlookup(A26,Order205,6,FALSE))</f>
        <v/>
      </c>
      <c r="G26" s="462" t="str">
        <f> IF(ISERROR(vlookup(A26,Order205,7,FALSE)), "", vlookup(A26,Order205,7,FALSE))</f>
        <v/>
      </c>
      <c r="H26" s="462" t="str">
        <f> IF(ISERROR(vlookup(A26,Order205,8,FALSE)), "", vlookup(A26,Order205,8,FALSE))</f>
        <v/>
      </c>
      <c r="I26" s="763" t="str">
        <f> IF(ISERROR(vlookup(A26,Order205,9,FALSE)), "", vlookup(A26,Order205,9,FALSE))</f>
        <v/>
      </c>
      <c r="J26" s="766" t="str">
        <f> IF(ISERROR(vlookup(A26,Order205,10,FALSE)), "", vlookup(A26,Order205,10,FALSE))</f>
        <v/>
      </c>
    </row>
    <row r="27">
      <c r="A27" s="774" t="s">
        <v>558</v>
      </c>
      <c r="B27" s="74"/>
      <c r="C27" s="74"/>
      <c r="D27" s="74"/>
      <c r="E27" s="74"/>
      <c r="F27" s="74"/>
      <c r="G27" s="74"/>
      <c r="H27" s="74"/>
      <c r="I27" s="74"/>
      <c r="J27" s="45"/>
    </row>
    <row r="28">
      <c r="A28" s="775" t="str">
        <f>'205 Worksheet'!A148</f>
        <v>This is a test</v>
      </c>
      <c r="B28" s="165"/>
      <c r="C28" s="165"/>
      <c r="D28" s="165"/>
      <c r="E28" s="165"/>
      <c r="F28" s="165"/>
      <c r="G28" s="165"/>
      <c r="H28" s="165"/>
      <c r="I28" s="165"/>
      <c r="J28" s="210"/>
    </row>
    <row r="29">
      <c r="A29" s="104"/>
      <c r="B29" s="77"/>
      <c r="C29" s="77"/>
      <c r="D29" s="77"/>
      <c r="E29" s="77"/>
      <c r="F29" s="77"/>
      <c r="G29" s="77"/>
      <c r="H29" s="77"/>
      <c r="I29" s="77"/>
      <c r="J29" s="55"/>
    </row>
    <row r="30" ht="24.0" customHeight="1">
      <c r="A30" s="776" t="str">
        <f>Concatenate("6. Prepared by (Communications Unit Leader): Name: ", '205 Worksheet'!E150)  </f>
        <v>6. Prepared by (Communications Unit Leader): Name: </v>
      </c>
      <c r="B30" s="74"/>
      <c r="C30" s="74"/>
      <c r="D30" s="74"/>
      <c r="E30" s="74"/>
      <c r="F30" s="45"/>
      <c r="G30" s="777" t="s">
        <v>1134</v>
      </c>
      <c r="H30" s="74"/>
      <c r="I30" s="74"/>
      <c r="J30" s="45"/>
    </row>
    <row r="31">
      <c r="A31" s="778" t="s">
        <v>1135</v>
      </c>
      <c r="B31" s="779"/>
      <c r="C31" s="779"/>
      <c r="D31" s="779"/>
      <c r="E31" s="281"/>
      <c r="F31" s="389" t="s">
        <v>332</v>
      </c>
      <c r="G31" s="780" t="s">
        <v>389</v>
      </c>
      <c r="H31" s="781">
        <f>G3-1</f>
        <v>43892</v>
      </c>
      <c r="I31" s="782"/>
      <c r="J31" s="783">
        <f>E4</f>
        <v>1930</v>
      </c>
    </row>
  </sheetData>
  <mergeCells count="10">
    <mergeCell ref="A28:J29"/>
    <mergeCell ref="A30:F30"/>
    <mergeCell ref="G30:J30"/>
    <mergeCell ref="A1:H1"/>
    <mergeCell ref="A2:C2"/>
    <mergeCell ref="A3:C3"/>
    <mergeCell ref="A4:C4"/>
    <mergeCell ref="A5:C5"/>
    <mergeCell ref="D5:J5"/>
    <mergeCell ref="A27:J27"/>
  </mergeCells>
  <printOptions gridLines="1" horizontalCentered="1"/>
  <pageMargins bottom="0.28205128205128205" footer="0.0" header="0.0" left="0.25" right="0.25" top="0.2575609756097561"/>
  <pageSetup fitToHeight="0" cellComments="atEnd" orientation="landscape" pageOrder="overThenDown"/>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pageSetUpPr fitToPage="1"/>
  </sheetPr>
  <sheetViews>
    <sheetView showGridLines="0" workbookViewId="0"/>
  </sheetViews>
  <sheetFormatPr customHeight="1" defaultColWidth="12.63" defaultRowHeight="15.75"/>
  <cols>
    <col customWidth="1" min="1" max="1" width="5.25"/>
    <col customWidth="1" min="2" max="2" width="14.25"/>
    <col customWidth="1" min="3" max="3" width="12.38"/>
    <col customWidth="1" min="4" max="4" width="19.13"/>
    <col customWidth="1" min="5" max="5" width="9.38"/>
    <col customWidth="1" min="6" max="6" width="9.25"/>
    <col customWidth="1" min="7" max="7" width="9.5"/>
    <col customWidth="1" min="8" max="9" width="9.63"/>
    <col customWidth="1" min="10" max="10" width="32.75"/>
  </cols>
  <sheetData>
    <row r="1">
      <c r="A1" s="419" t="s">
        <v>1131</v>
      </c>
      <c r="B1" s="77"/>
      <c r="C1" s="77"/>
      <c r="D1" s="77"/>
      <c r="E1" s="77"/>
      <c r="F1" s="77"/>
      <c r="G1" s="77"/>
      <c r="H1" s="77"/>
      <c r="I1" s="784"/>
      <c r="J1" s="785" t="s">
        <v>414</v>
      </c>
    </row>
    <row r="2">
      <c r="A2" s="399" t="s">
        <v>282</v>
      </c>
      <c r="B2" s="165"/>
      <c r="C2" s="165"/>
      <c r="D2" s="432" t="s">
        <v>471</v>
      </c>
      <c r="F2" s="432" t="s">
        <v>472</v>
      </c>
      <c r="G2" s="581"/>
      <c r="H2" s="581"/>
      <c r="I2" s="581"/>
      <c r="J2" s="749"/>
    </row>
    <row r="3">
      <c r="A3" s="404" t="str">
        <f>IncName</f>
        <v>NO NAME</v>
      </c>
      <c r="D3" s="750" t="s">
        <v>473</v>
      </c>
      <c r="E3" s="751">
        <f>G3-1</f>
        <v>43892</v>
      </c>
      <c r="F3" s="423" t="s">
        <v>284</v>
      </c>
      <c r="G3" s="407">
        <f>OpDate</f>
        <v>43893</v>
      </c>
      <c r="H3" s="408" t="s">
        <v>130</v>
      </c>
      <c r="I3" s="408"/>
      <c r="J3" s="752">
        <f>OpDateTo</f>
        <v>43894</v>
      </c>
    </row>
    <row r="4">
      <c r="A4" s="786" t="str">
        <f>'205 Worksheet'!B36</f>
        <v>Page 2</v>
      </c>
      <c r="B4" s="77"/>
      <c r="C4" s="77"/>
      <c r="D4" s="754" t="s">
        <v>476</v>
      </c>
      <c r="E4" s="755">
        <f>'205 Worksheet'!E4</f>
        <v>1930</v>
      </c>
      <c r="F4" s="427" t="s">
        <v>131</v>
      </c>
      <c r="G4" s="756" t="str">
        <f>OpStart</f>
        <v>0700</v>
      </c>
      <c r="H4" s="757" t="s">
        <v>133</v>
      </c>
      <c r="I4" s="757"/>
      <c r="J4" s="758" t="str">
        <f>OpEnd</f>
        <v>0700</v>
      </c>
    </row>
    <row r="5">
      <c r="A5" s="444" t="s">
        <v>478</v>
      </c>
      <c r="B5" s="74"/>
      <c r="C5" s="45"/>
      <c r="D5" s="759"/>
      <c r="E5" s="74"/>
      <c r="F5" s="74"/>
      <c r="G5" s="74"/>
      <c r="H5" s="74"/>
      <c r="I5" s="74"/>
      <c r="J5" s="45"/>
    </row>
    <row r="6">
      <c r="A6" s="601" t="s">
        <v>1132</v>
      </c>
      <c r="B6" s="604" t="s">
        <v>485</v>
      </c>
      <c r="C6" s="604" t="s">
        <v>352</v>
      </c>
      <c r="D6" s="603" t="s">
        <v>1133</v>
      </c>
      <c r="E6" s="602" t="s">
        <v>486</v>
      </c>
      <c r="F6" s="602" t="s">
        <v>487</v>
      </c>
      <c r="G6" s="602" t="s">
        <v>488</v>
      </c>
      <c r="H6" s="602" t="s">
        <v>489</v>
      </c>
      <c r="I6" s="602" t="s">
        <v>433</v>
      </c>
      <c r="J6" s="602" t="s">
        <v>434</v>
      </c>
    </row>
    <row r="7" ht="22.5" customHeight="1">
      <c r="A7" s="760">
        <v>1.0</v>
      </c>
      <c r="B7" s="761" t="str">
        <f> IF(ISERROR(vlookup(Concatenate("P2.",A7),Order205,4,FALSE)), "", vlookup(Concatenate("P2.",A7),Order205,4,FALSE))</f>
        <v>COMMAND</v>
      </c>
      <c r="C7" s="762" t="str">
        <f> IF(ISERROR(vlookup(Concatenate("P2.",A7),Order205,2,FALSE)), "", vlookup(Concatenate("P2.",A7),Order205,2,FALSE))</f>
        <v>CDF C1</v>
      </c>
      <c r="D7" s="763" t="str">
        <f> IF(ISERROR(vlookup(Concatenate("P2.",A7),Order205,3,FALSE)), "", vlookup(Concatenate("P2.",A7),Order205,3,FALSE))</f>
        <v>FIRE NET</v>
      </c>
      <c r="E7" s="764">
        <f> IF(ISERROR(vlookup(Concatenate("P2.",A7),Order205,5,FALSE)), "", vlookup(Concatenate("P2.",A7),Order205,5,FALSE))</f>
        <v>151.355</v>
      </c>
      <c r="F7" s="765" t="str">
        <f> IF(ISERROR(vlookup(Concatenate("P2.",A7),Order205,6,FALSE)), "", vlookup(Concatenate("P2.",A7),Order205,6,FALSE))</f>
        <v>(T8)  103.5</v>
      </c>
      <c r="G7" s="764">
        <f> IF(ISERROR(vlookup(Concatenate("P2.",A7),Order205,7,FALSE)), "", vlookup(Concatenate("P2.",A7),Order205,7,FALSE))</f>
        <v>159.3</v>
      </c>
      <c r="H7" s="765" t="str">
        <f> IF(ISERROR(vlookup(Concatenate("P2.",A7),Order205,8,FALSE)), "", vlookup(Concatenate("P2.",A7),Order205,8,FALSE))</f>
        <v>OST</v>
      </c>
      <c r="I7" s="765" t="str">
        <f> IF(ISERROR(vlookup(Concatenate("P2.",A7),Order205,9,FALSE)), "", vlookup(Concatenate("P2.",A7),Order205,9,FALSE))</f>
        <v>A</v>
      </c>
      <c r="J7" s="787" t="str">
        <f> IF(ISERROR(vlookup(Concatenate("P2.",A7),Order205,10,FALSE)), "", vlookup(Concatenate("P2.",A7),Order205,10,FALSE))</f>
        <v/>
      </c>
    </row>
    <row r="8" ht="22.5" customHeight="1">
      <c r="A8" s="760">
        <v>2.0</v>
      </c>
      <c r="B8" s="761" t="str">
        <f> IF(ISERROR(vlookup(Concatenate("P2.",A8),Order205,4,FALSE)), "", vlookup(Concatenate("P2.",A8),Order205,4,FALSE))</f>
        <v>COMMAND</v>
      </c>
      <c r="C8" s="762" t="str">
        <f> IF(ISERROR(vlookup(Concatenate("P2.",A8),Order205,2,FALSE)), "", vlookup(Concatenate("P2.",A8),Order205,2,FALSE))</f>
        <v>STF OPS T2</v>
      </c>
      <c r="D8" s="763" t="str">
        <f> IF(ISERROR(vlookup(Concatenate("P2.",A8),Order205,3,FALSE)), "", vlookup(Concatenate("P2.",A8),Order205,3,FALSE))</f>
        <v>FIRE NET</v>
      </c>
      <c r="E8" s="764" t="str">
        <f> IF(ISERROR(vlookup(Concatenate("P2.",A8),Order205,5,FALSE)), "", vlookup(Concatenate("P2.",A8),Order205,5,FALSE))</f>
        <v>170.5000</v>
      </c>
      <c r="F8" s="765">
        <f> IF(ISERROR(vlookup(Concatenate("P2.",A8),Order205,6,FALSE)), "", vlookup(Concatenate("P2.",A8),Order205,6,FALSE))</f>
        <v>0</v>
      </c>
      <c r="G8" s="764" t="str">
        <f> IF(ISERROR(vlookup(Concatenate("P2.",A8),Order205,7,FALSE)), "", vlookup(Concatenate("P2.",A8),Order205,7,FALSE))</f>
        <v>168.7500</v>
      </c>
      <c r="H8" s="765">
        <f> IF(ISERROR(vlookup(Concatenate("P2.",A8),Order205,8,FALSE)), "", vlookup(Concatenate("P2.",A8),Order205,8,FALSE))</f>
        <v>0</v>
      </c>
      <c r="I8" s="765" t="str">
        <f> IF(ISERROR(vlookup(Concatenate("P2.",A8),Order205,9,FALSE)), "", vlookup(Concatenate("P2.",A8),Order205,9,FALSE))</f>
        <v>A</v>
      </c>
      <c r="J8" s="787" t="str">
        <f> IF(ISERROR(vlookup(Concatenate("P2.",A8),Order205,10,FALSE)), "", vlookup(Concatenate("P2.",A8),Order205,10,FALSE))</f>
        <v/>
      </c>
    </row>
    <row r="9" ht="22.5" customHeight="1">
      <c r="A9" s="760">
        <v>3.0</v>
      </c>
      <c r="B9" s="761" t="str">
        <f> IF(ISERROR(vlookup(Concatenate("P2.",A9),Order205,4,FALSE)), "", vlookup(Concatenate("P2.",A9),Order205,4,FALSE))</f>
        <v>COMMAND</v>
      </c>
      <c r="C9" s="762" t="str">
        <f> IF(ISERROR(vlookup(Concatenate("P2.",A9),Order205,2,FALSE)), "", vlookup(Concatenate("P2.",A9),Order205,2,FALSE))</f>
        <v>STF OPS T2</v>
      </c>
      <c r="D9" s="763" t="str">
        <f> IF(ISERROR(vlookup(Concatenate("P2.",A9),Order205,3,FALSE)), "", vlookup(Concatenate("P2.",A9),Order205,3,FALSE))</f>
        <v>FIRE NET</v>
      </c>
      <c r="E9" s="764" t="str">
        <f> IF(ISERROR(vlookup(Concatenate("P2.",A9),Order205,5,FALSE)), "", vlookup(Concatenate("P2.",A9),Order205,5,FALSE))</f>
        <v>170.5000</v>
      </c>
      <c r="F9" s="765">
        <f> IF(ISERROR(vlookup(Concatenate("P2.",A9),Order205,6,FALSE)), "", vlookup(Concatenate("P2.",A9),Order205,6,FALSE))</f>
        <v>0</v>
      </c>
      <c r="G9" s="764" t="str">
        <f> IF(ISERROR(vlookup(Concatenate("P2.",A9),Order205,7,FALSE)), "", vlookup(Concatenate("P2.",A9),Order205,7,FALSE))</f>
        <v>168.7500</v>
      </c>
      <c r="H9" s="765">
        <f> IF(ISERROR(vlookup(Concatenate("P2.",A9),Order205,8,FALSE)), "", vlookup(Concatenate("P2.",A9),Order205,8,FALSE))</f>
        <v>0</v>
      </c>
      <c r="I9" s="765" t="str">
        <f> IF(ISERROR(vlookup(Concatenate("P2.",A9),Order205,9,FALSE)), "", vlookup(Concatenate("P2.",A9),Order205,9,FALSE))</f>
        <v>A</v>
      </c>
      <c r="J9" s="787" t="str">
        <f> IF(ISERROR(vlookup(Concatenate("P2.",A9),Order205,10,FALSE)), "", vlookup(Concatenate("P2.",A9),Order205,10,FALSE))</f>
        <v/>
      </c>
    </row>
    <row r="10" ht="22.5" customHeight="1">
      <c r="A10" s="760">
        <v>4.0</v>
      </c>
      <c r="B10" s="761" t="str">
        <f> IF(ISERROR(vlookup(Concatenate("P2.",A10),Order205,4,FALSE)), "", vlookup(Concatenate("P2.",A10),Order205,4,FALSE))</f>
        <v>COMMAND</v>
      </c>
      <c r="C10" s="762" t="str">
        <f> IF(ISERROR(vlookup(Concatenate("P2.",A10),Order205,2,FALSE)), "", vlookup(Concatenate("P2.",A10),Order205,2,FALSE))</f>
        <v>STF OPS T2</v>
      </c>
      <c r="D10" s="763" t="str">
        <f> IF(ISERROR(vlookup(Concatenate("P2.",A10),Order205,3,FALSE)), "", vlookup(Concatenate("P2.",A10),Order205,3,FALSE))</f>
        <v>FIRE NET</v>
      </c>
      <c r="E10" s="764" t="str">
        <f> IF(ISERROR(vlookup(Concatenate("P2.",A10),Order205,5,FALSE)), "", vlookup(Concatenate("P2.",A10),Order205,5,FALSE))</f>
        <v>170.5000</v>
      </c>
      <c r="F10" s="765">
        <f> IF(ISERROR(vlookup(Concatenate("P2.",A10),Order205,6,FALSE)), "", vlookup(Concatenate("P2.",A10),Order205,6,FALSE))</f>
        <v>0</v>
      </c>
      <c r="G10" s="764" t="str">
        <f> IF(ISERROR(vlookup(Concatenate("P2.",A10),Order205,7,FALSE)), "", vlookup(Concatenate("P2.",A10),Order205,7,FALSE))</f>
        <v>168.7500</v>
      </c>
      <c r="H10" s="765">
        <f> IF(ISERROR(vlookup(Concatenate("P2.",A10),Order205,8,FALSE)), "", vlookup(Concatenate("P2.",A10),Order205,8,FALSE))</f>
        <v>0</v>
      </c>
      <c r="I10" s="765" t="str">
        <f> IF(ISERROR(vlookup(Concatenate("P2.",A10),Order205,9,FALSE)), "", vlookup(Concatenate("P2.",A10),Order205,9,FALSE))</f>
        <v>A</v>
      </c>
      <c r="J10" s="787" t="str">
        <f> IF(ISERROR(vlookup(Concatenate("P2.",A10),Order205,10,FALSE)), "", vlookup(Concatenate("P2.",A10),Order205,10,FALSE))</f>
        <v/>
      </c>
    </row>
    <row r="11" ht="22.5" customHeight="1">
      <c r="A11" s="760">
        <v>5.0</v>
      </c>
      <c r="B11" s="761" t="str">
        <f> IF(ISERROR(vlookup(Concatenate("P2.",A11),Order205,4,FALSE)), "", vlookup(Concatenate("P2.",A11),Order205,4,FALSE))</f>
        <v>COMMAND</v>
      </c>
      <c r="C11" s="762" t="str">
        <f> IF(ISERROR(vlookup(Concatenate("P2.",A11),Order205,2,FALSE)), "", vlookup(Concatenate("P2.",A11),Order205,2,FALSE))</f>
        <v>STF OPS T2</v>
      </c>
      <c r="D11" s="763" t="str">
        <f> IF(ISERROR(vlookup(Concatenate("P2.",A11),Order205,3,FALSE)), "", vlookup(Concatenate("P2.",A11),Order205,3,FALSE))</f>
        <v>FIRE NET</v>
      </c>
      <c r="E11" s="764" t="str">
        <f> IF(ISERROR(vlookup(Concatenate("P2.",A11),Order205,5,FALSE)), "", vlookup(Concatenate("P2.",A11),Order205,5,FALSE))</f>
        <v>170.5000</v>
      </c>
      <c r="F11" s="765">
        <f> IF(ISERROR(vlookup(Concatenate("P2.",A11),Order205,6,FALSE)), "", vlookup(Concatenate("P2.",A11),Order205,6,FALSE))</f>
        <v>0</v>
      </c>
      <c r="G11" s="764" t="str">
        <f> IF(ISERROR(vlookup(Concatenate("P2.",A11),Order205,7,FALSE)), "", vlookup(Concatenate("P2.",A11),Order205,7,FALSE))</f>
        <v>168.7500</v>
      </c>
      <c r="H11" s="765">
        <f> IF(ISERROR(vlookup(Concatenate("P2.",A11),Order205,8,FALSE)), "", vlookup(Concatenate("P2.",A11),Order205,8,FALSE))</f>
        <v>0</v>
      </c>
      <c r="I11" s="765" t="str">
        <f> IF(ISERROR(vlookup(Concatenate("P2.",A11),Order205,9,FALSE)), "", vlookup(Concatenate("P2.",A11),Order205,9,FALSE))</f>
        <v>A</v>
      </c>
      <c r="J11" s="787" t="str">
        <f> IF(ISERROR(vlookup(Concatenate("P2.",A11),Order205,10,FALSE)), "", vlookup(Concatenate("P2.",A11),Order205,10,FALSE))</f>
        <v/>
      </c>
    </row>
    <row r="12" ht="22.5" customHeight="1">
      <c r="A12" s="760">
        <v>6.0</v>
      </c>
      <c r="B12" s="761" t="str">
        <f> IF(ISERROR(vlookup(Concatenate("P2.",A12),Order205,4,FALSE)), "", vlookup(Concatenate("P2.",A12),Order205,4,FALSE))</f>
        <v>COMMAND</v>
      </c>
      <c r="C12" s="762" t="str">
        <f> IF(ISERROR(vlookup(Concatenate("P2.",A12),Order205,2,FALSE)), "", vlookup(Concatenate("P2.",A12),Order205,2,FALSE))</f>
        <v>STF OPS T2</v>
      </c>
      <c r="D12" s="763" t="str">
        <f> IF(ISERROR(vlookup(Concatenate("P2.",A12),Order205,3,FALSE)), "", vlookup(Concatenate("P2.",A12),Order205,3,FALSE))</f>
        <v>FIRE NET</v>
      </c>
      <c r="E12" s="764" t="str">
        <f> IF(ISERROR(vlookup(Concatenate("P2.",A12),Order205,5,FALSE)), "", vlookup(Concatenate("P2.",A12),Order205,5,FALSE))</f>
        <v>170.5000</v>
      </c>
      <c r="F12" s="765">
        <f> IF(ISERROR(vlookup(Concatenate("P2.",A12),Order205,6,FALSE)), "", vlookup(Concatenate("P2.",A12),Order205,6,FALSE))</f>
        <v>0</v>
      </c>
      <c r="G12" s="764" t="str">
        <f> IF(ISERROR(vlookup(Concatenate("P2.",A12),Order205,7,FALSE)), "", vlookup(Concatenate("P2.",A12),Order205,7,FALSE))</f>
        <v>168.7500</v>
      </c>
      <c r="H12" s="765">
        <f> IF(ISERROR(vlookup(Concatenate("P2.",A12),Order205,8,FALSE)), "", vlookup(Concatenate("P2.",A12),Order205,8,FALSE))</f>
        <v>0</v>
      </c>
      <c r="I12" s="765" t="str">
        <f> IF(ISERROR(vlookup(Concatenate("P2.",A12),Order205,9,FALSE)), "", vlookup(Concatenate("P2.",A12),Order205,9,FALSE))</f>
        <v>A</v>
      </c>
      <c r="J12" s="787" t="str">
        <f> IF(ISERROR(vlookup(Concatenate("P2.",A12),Order205,10,FALSE)), "", vlookup(Concatenate("P2.",A12),Order205,10,FALSE))</f>
        <v/>
      </c>
    </row>
    <row r="13" ht="22.5" customHeight="1">
      <c r="A13" s="760">
        <v>7.0</v>
      </c>
      <c r="B13" s="761" t="str">
        <f> IF(ISERROR(vlookup(Concatenate("P2.",A13),Order205,4,FALSE)), "", vlookup(Concatenate("P2.",A13),Order205,4,FALSE))</f>
        <v>COMMAND</v>
      </c>
      <c r="C13" s="762" t="str">
        <f> IF(ISERROR(vlookup(Concatenate("P2.",A13),Order205,2,FALSE)), "", vlookup(Concatenate("P2.",A13),Order205,2,FALSE))</f>
        <v>STF OPS T2</v>
      </c>
      <c r="D13" s="763" t="str">
        <f> IF(ISERROR(vlookup(Concatenate("P2.",A13),Order205,3,FALSE)), "", vlookup(Concatenate("P2.",A13),Order205,3,FALSE))</f>
        <v>FIRE NET</v>
      </c>
      <c r="E13" s="764" t="str">
        <f> IF(ISERROR(vlookup(Concatenate("P2.",A13),Order205,5,FALSE)), "", vlookup(Concatenate("P2.",A13),Order205,5,FALSE))</f>
        <v>170.5000</v>
      </c>
      <c r="F13" s="765">
        <f> IF(ISERROR(vlookup(Concatenate("P2.",A13),Order205,6,FALSE)), "", vlookup(Concatenate("P2.",A13),Order205,6,FALSE))</f>
        <v>0</v>
      </c>
      <c r="G13" s="764" t="str">
        <f> IF(ISERROR(vlookup(Concatenate("P2.",A13),Order205,7,FALSE)), "", vlookup(Concatenate("P2.",A13),Order205,7,FALSE))</f>
        <v>168.7500</v>
      </c>
      <c r="H13" s="765">
        <f> IF(ISERROR(vlookup(Concatenate("P2.",A13),Order205,8,FALSE)), "", vlookup(Concatenate("P2.",A13),Order205,8,FALSE))</f>
        <v>0</v>
      </c>
      <c r="I13" s="765" t="str">
        <f> IF(ISERROR(vlookup(Concatenate("P2.",A13),Order205,9,FALSE)), "", vlookup(Concatenate("P2.",A13),Order205,9,FALSE))</f>
        <v>A</v>
      </c>
      <c r="J13" s="787" t="str">
        <f> IF(ISERROR(vlookup(Concatenate("P2.",A13),Order205,10,FALSE)), "", vlookup(Concatenate("P2.",A13),Order205,10,FALSE))</f>
        <v/>
      </c>
    </row>
    <row r="14" ht="22.5" customHeight="1">
      <c r="A14" s="760">
        <v>8.0</v>
      </c>
      <c r="B14" s="761" t="str">
        <f> IF(ISERROR(vlookup(Concatenate("P2.",A14),Order205,4,FALSE)), "", vlookup(Concatenate("P2.",A14),Order205,4,FALSE))</f>
        <v>COMMAND</v>
      </c>
      <c r="C14" s="762" t="str">
        <f> IF(ISERROR(vlookup(Concatenate("P2.",A14),Order205,2,FALSE)), "", vlookup(Concatenate("P2.",A14),Order205,2,FALSE))</f>
        <v>STF OPS T2</v>
      </c>
      <c r="D14" s="763" t="str">
        <f> IF(ISERROR(vlookup(Concatenate("P2.",A14),Order205,3,FALSE)), "", vlookup(Concatenate("P2.",A14),Order205,3,FALSE))</f>
        <v>FIRE NET</v>
      </c>
      <c r="E14" s="764" t="str">
        <f> IF(ISERROR(vlookup(Concatenate("P2.",A14),Order205,5,FALSE)), "", vlookup(Concatenate("P2.",A14),Order205,5,FALSE))</f>
        <v>170.5000</v>
      </c>
      <c r="F14" s="765">
        <f> IF(ISERROR(vlookup(Concatenate("P2.",A14),Order205,6,FALSE)), "", vlookup(Concatenate("P2.",A14),Order205,6,FALSE))</f>
        <v>0</v>
      </c>
      <c r="G14" s="764" t="str">
        <f> IF(ISERROR(vlookup(Concatenate("P2.",A14),Order205,7,FALSE)), "", vlookup(Concatenate("P2.",A14),Order205,7,FALSE))</f>
        <v>168.7500</v>
      </c>
      <c r="H14" s="765">
        <f> IF(ISERROR(vlookup(Concatenate("P2.",A14),Order205,8,FALSE)), "", vlookup(Concatenate("P2.",A14),Order205,8,FALSE))</f>
        <v>0</v>
      </c>
      <c r="I14" s="765" t="str">
        <f> IF(ISERROR(vlookup(Concatenate("P2.",A14),Order205,9,FALSE)), "", vlookup(Concatenate("P2.",A14),Order205,9,FALSE))</f>
        <v>A</v>
      </c>
      <c r="J14" s="787" t="str">
        <f> IF(ISERROR(vlookup(Concatenate("P2.",A14),Order205,10,FALSE)), "", vlookup(Concatenate("P2.",A14),Order205,10,FALSE))</f>
        <v/>
      </c>
    </row>
    <row r="15" ht="22.5" customHeight="1">
      <c r="A15" s="760">
        <v>9.0</v>
      </c>
      <c r="B15" s="761" t="str">
        <f> IF(ISERROR(vlookup(Concatenate("P2.",A15),Order205,4,FALSE)), "", vlookup(Concatenate("P2.",A15),Order205,4,FALSE))</f>
        <v>COMMAND</v>
      </c>
      <c r="C15" s="762" t="str">
        <f> IF(ISERROR(vlookup(Concatenate("P2.",A15),Order205,2,FALSE)), "", vlookup(Concatenate("P2.",A15),Order205,2,FALSE))</f>
        <v>STF OPS T2</v>
      </c>
      <c r="D15" s="763" t="str">
        <f> IF(ISERROR(vlookup(Concatenate("P2.",A15),Order205,3,FALSE)), "", vlookup(Concatenate("P2.",A15),Order205,3,FALSE))</f>
        <v>FIRE NET</v>
      </c>
      <c r="E15" s="764" t="str">
        <f> IF(ISERROR(vlookup(Concatenate("P2.",A15),Order205,5,FALSE)), "", vlookup(Concatenate("P2.",A15),Order205,5,FALSE))</f>
        <v>170.5000</v>
      </c>
      <c r="F15" s="765">
        <f> IF(ISERROR(vlookup(Concatenate("P2.",A15),Order205,6,FALSE)), "", vlookup(Concatenate("P2.",A15),Order205,6,FALSE))</f>
        <v>0</v>
      </c>
      <c r="G15" s="764" t="str">
        <f> IF(ISERROR(vlookup(Concatenate("P2.",A15),Order205,7,FALSE)), "", vlookup(Concatenate("P2.",A15),Order205,7,FALSE))</f>
        <v>168.7500</v>
      </c>
      <c r="H15" s="765">
        <f> IF(ISERROR(vlookup(Concatenate("P2.",A15),Order205,8,FALSE)), "", vlookup(Concatenate("P2.",A15),Order205,8,FALSE))</f>
        <v>0</v>
      </c>
      <c r="I15" s="765" t="str">
        <f> IF(ISERROR(vlookup(Concatenate("P2.",A15),Order205,9,FALSE)), "", vlookup(Concatenate("P2.",A15),Order205,9,FALSE))</f>
        <v>A</v>
      </c>
      <c r="J15" s="787" t="str">
        <f> IF(ISERROR(vlookup(Concatenate("P2.",A15),Order205,10,FALSE)), "", vlookup(Concatenate("P2.",A15),Order205,10,FALSE))</f>
        <v/>
      </c>
    </row>
    <row r="16" ht="22.5" customHeight="1">
      <c r="A16" s="760">
        <v>10.0</v>
      </c>
      <c r="B16" s="761" t="str">
        <f> IF(ISERROR(vlookup(Concatenate("P2.",A16),Order205,4,FALSE)), "", vlookup(Concatenate("P2.",A16),Order205,4,FALSE))</f>
        <v>COMMAND</v>
      </c>
      <c r="C16" s="762" t="str">
        <f> IF(ISERROR(vlookup(Concatenate("P2.",A16),Order205,2,FALSE)), "", vlookup(Concatenate("P2.",A16),Order205,2,FALSE))</f>
        <v>STF OPS T2</v>
      </c>
      <c r="D16" s="763" t="str">
        <f> IF(ISERROR(vlookup(Concatenate("P2.",A16),Order205,3,FALSE)), "", vlookup(Concatenate("P2.",A16),Order205,3,FALSE))</f>
        <v>FIRE NET</v>
      </c>
      <c r="E16" s="764" t="str">
        <f> IF(ISERROR(vlookup(Concatenate("P2.",A16),Order205,5,FALSE)), "", vlookup(Concatenate("P2.",A16),Order205,5,FALSE))</f>
        <v>170.5000</v>
      </c>
      <c r="F16" s="765">
        <f> IF(ISERROR(vlookup(Concatenate("P2.",A16),Order205,6,FALSE)), "", vlookup(Concatenate("P2.",A16),Order205,6,FALSE))</f>
        <v>0</v>
      </c>
      <c r="G16" s="764" t="str">
        <f> IF(ISERROR(vlookup(Concatenate("P2.",A16),Order205,7,FALSE)), "", vlookup(Concatenate("P2.",A16),Order205,7,FALSE))</f>
        <v>168.7500</v>
      </c>
      <c r="H16" s="765">
        <f> IF(ISERROR(vlookup(Concatenate("P2.",A16),Order205,8,FALSE)), "", vlookup(Concatenate("P2.",A16),Order205,8,FALSE))</f>
        <v>0</v>
      </c>
      <c r="I16" s="765" t="str">
        <f> IF(ISERROR(vlookup(Concatenate("P2.",A16),Order205,9,FALSE)), "", vlookup(Concatenate("P2.",A16),Order205,9,FALSE))</f>
        <v>A</v>
      </c>
      <c r="J16" s="787" t="str">
        <f> IF(ISERROR(vlookup(Concatenate("P2.",A16),Order205,10,FALSE)), "", vlookup(Concatenate("P2.",A16),Order205,10,FALSE))</f>
        <v/>
      </c>
    </row>
    <row r="17" ht="22.5" customHeight="1">
      <c r="A17" s="760">
        <v>11.0</v>
      </c>
      <c r="B17" s="761" t="str">
        <f> IF(ISERROR(vlookup(Concatenate("P2.",A17),Order205,4,FALSE)), "", vlookup(Concatenate("P2.",A17),Order205,4,FALSE))</f>
        <v>COMMAND</v>
      </c>
      <c r="C17" s="762" t="str">
        <f> IF(ISERROR(vlookup(Concatenate("P2.",A17),Order205,2,FALSE)), "", vlookup(Concatenate("P2.",A17),Order205,2,FALSE))</f>
        <v>STF OPS T2</v>
      </c>
      <c r="D17" s="763" t="str">
        <f> IF(ISERROR(vlookup(Concatenate("P2.",A17),Order205,3,FALSE)), "", vlookup(Concatenate("P2.",A17),Order205,3,FALSE))</f>
        <v>FIRE NET</v>
      </c>
      <c r="E17" s="764" t="str">
        <f> IF(ISERROR(vlookup(Concatenate("P2.",A17),Order205,5,FALSE)), "", vlookup(Concatenate("P2.",A17),Order205,5,FALSE))</f>
        <v>170.5000</v>
      </c>
      <c r="F17" s="765">
        <f> IF(ISERROR(vlookup(Concatenate("P2.",A17),Order205,6,FALSE)), "", vlookup(Concatenate("P2.",A17),Order205,6,FALSE))</f>
        <v>0</v>
      </c>
      <c r="G17" s="764" t="str">
        <f> IF(ISERROR(vlookup(Concatenate("P2.",A17),Order205,7,FALSE)), "", vlookup(Concatenate("P2.",A17),Order205,7,FALSE))</f>
        <v>168.7500</v>
      </c>
      <c r="H17" s="765">
        <f> IF(ISERROR(vlookup(Concatenate("P2.",A17),Order205,8,FALSE)), "", vlookup(Concatenate("P2.",A17),Order205,8,FALSE))</f>
        <v>0</v>
      </c>
      <c r="I17" s="765" t="str">
        <f> IF(ISERROR(vlookup(Concatenate("P2.",A17),Order205,9,FALSE)), "", vlookup(Concatenate("P2.",A17),Order205,9,FALSE))</f>
        <v>A</v>
      </c>
      <c r="J17" s="787" t="str">
        <f> IF(ISERROR(vlookup(Concatenate("P2.",A17),Order205,10,FALSE)), "", vlookup(Concatenate("P2.",A17),Order205,10,FALSE))</f>
        <v/>
      </c>
    </row>
    <row r="18" ht="22.5" customHeight="1">
      <c r="A18" s="760">
        <v>12.0</v>
      </c>
      <c r="B18" s="761" t="str">
        <f> IF(ISERROR(vlookup(Concatenate("P2.",A18),Order205,4,FALSE)), "", vlookup(Concatenate("P2.",A18),Order205,4,FALSE))</f>
        <v>COMMAND</v>
      </c>
      <c r="C18" s="762" t="str">
        <f> IF(ISERROR(vlookup(Concatenate("P2.",A18),Order205,2,FALSE)), "", vlookup(Concatenate("P2.",A18),Order205,2,FALSE))</f>
        <v>STF OPS T2</v>
      </c>
      <c r="D18" s="763" t="str">
        <f> IF(ISERROR(vlookup(Concatenate("P2.",A18),Order205,3,FALSE)), "", vlookup(Concatenate("P2.",A18),Order205,3,FALSE))</f>
        <v>FIRE NET</v>
      </c>
      <c r="E18" s="764" t="str">
        <f> IF(ISERROR(vlookup(Concatenate("P2.",A18),Order205,5,FALSE)), "", vlookup(Concatenate("P2.",A18),Order205,5,FALSE))</f>
        <v>170.5000</v>
      </c>
      <c r="F18" s="765">
        <f> IF(ISERROR(vlookup(Concatenate("P2.",A18),Order205,6,FALSE)), "", vlookup(Concatenate("P2.",A18),Order205,6,FALSE))</f>
        <v>0</v>
      </c>
      <c r="G18" s="764" t="str">
        <f> IF(ISERROR(vlookup(Concatenate("P2.",A18),Order205,7,FALSE)), "", vlookup(Concatenate("P2.",A18),Order205,7,FALSE))</f>
        <v>168.7500</v>
      </c>
      <c r="H18" s="765">
        <f> IF(ISERROR(vlookup(Concatenate("P2.",A18),Order205,8,FALSE)), "", vlookup(Concatenate("P2.",A18),Order205,8,FALSE))</f>
        <v>0</v>
      </c>
      <c r="I18" s="765" t="str">
        <f> IF(ISERROR(vlookup(Concatenate("P2.",A18),Order205,9,FALSE)), "", vlookup(Concatenate("P2.",A18),Order205,9,FALSE))</f>
        <v>A</v>
      </c>
      <c r="J18" s="787" t="str">
        <f> IF(ISERROR(vlookup(Concatenate("P2.",A18),Order205,10,FALSE)), "", vlookup(Concatenate("P2.",A18),Order205,10,FALSE))</f>
        <v/>
      </c>
    </row>
    <row r="19" ht="22.5" customHeight="1">
      <c r="A19" s="760">
        <v>13.0</v>
      </c>
      <c r="B19" s="761" t="str">
        <f> IF(ISERROR(vlookup(Concatenate("P2.",A19),Order205,4,FALSE)), "", vlookup(Concatenate("P2.",A19),Order205,4,FALSE))</f>
        <v>COMMAND</v>
      </c>
      <c r="C19" s="762" t="str">
        <f> IF(ISERROR(vlookup(Concatenate("P2.",A19),Order205,2,FALSE)), "", vlookup(Concatenate("P2.",A19),Order205,2,FALSE))</f>
        <v>STF OPS T2</v>
      </c>
      <c r="D19" s="763" t="str">
        <f> IF(ISERROR(vlookup(Concatenate("P2.",A19),Order205,3,FALSE)), "", vlookup(Concatenate("P2.",A19),Order205,3,FALSE))</f>
        <v>FIRE NET</v>
      </c>
      <c r="E19" s="764" t="str">
        <f> IF(ISERROR(vlookup(Concatenate("P2.",A19),Order205,5,FALSE)), "", vlookup(Concatenate("P2.",A19),Order205,5,FALSE))</f>
        <v>170.5000</v>
      </c>
      <c r="F19" s="765">
        <f> IF(ISERROR(vlookup(Concatenate("P2.",A19),Order205,6,FALSE)), "", vlookup(Concatenate("P2.",A19),Order205,6,FALSE))</f>
        <v>0</v>
      </c>
      <c r="G19" s="764" t="str">
        <f> IF(ISERROR(vlookup(Concatenate("P2.",A19),Order205,7,FALSE)), "", vlookup(Concatenate("P2.",A19),Order205,7,FALSE))</f>
        <v>168.7500</v>
      </c>
      <c r="H19" s="765">
        <f> IF(ISERROR(vlookup(Concatenate("P2.",A19),Order205,8,FALSE)), "", vlookup(Concatenate("P2.",A19),Order205,8,FALSE))</f>
        <v>0</v>
      </c>
      <c r="I19" s="765" t="str">
        <f> IF(ISERROR(vlookup(Concatenate("P2.",A19),Order205,9,FALSE)), "", vlookup(Concatenate("P2.",A19),Order205,9,FALSE))</f>
        <v>A</v>
      </c>
      <c r="J19" s="787" t="str">
        <f> IF(ISERROR(vlookup(Concatenate("P2.",A19),Order205,10,FALSE)), "", vlookup(Concatenate("P2.",A19),Order205,10,FALSE))</f>
        <v/>
      </c>
    </row>
    <row r="20" ht="22.5" customHeight="1">
      <c r="A20" s="760">
        <v>14.0</v>
      </c>
      <c r="B20" s="761" t="str">
        <f> IF(ISERROR(vlookup(Concatenate("P2.",A20),Order205,4,FALSE)), "", vlookup(Concatenate("P2.",A20),Order205,4,FALSE))</f>
        <v>TACTICAL</v>
      </c>
      <c r="C20" s="762" t="str">
        <f> IF(ISERROR(vlookup(Concatenate("P2.",A20),Order205,2,FALSE)), "", vlookup(Concatenate("P2.",A20),Order205,2,FALSE))</f>
        <v>CALCORD</v>
      </c>
      <c r="D20" s="763" t="str">
        <f> IF(ISERROR(vlookup(Concatenate("P2.",A20),Order205,3,FALSE)), "", vlookup(Concatenate("P2.",A20),Order205,3,FALSE))</f>
        <v>INCIDENT</v>
      </c>
      <c r="E20" s="764">
        <f> IF(ISERROR(vlookup(Concatenate("P2.",A20),Order205,5,FALSE)), "", vlookup(Concatenate("P2.",A20),Order205,5,FALSE))</f>
        <v>156.075</v>
      </c>
      <c r="F20" s="765" t="str">
        <f> IF(ISERROR(vlookup(Concatenate("P2.",A20),Order205,6,FALSE)), "", vlookup(Concatenate("P2.",A20),Order205,6,FALSE))</f>
        <v>(T6)  156.7</v>
      </c>
      <c r="G20" s="764">
        <f> IF(ISERROR(vlookup(Concatenate("P2.",A20),Order205,7,FALSE)), "", vlookup(Concatenate("P2.",A20),Order205,7,FALSE))</f>
        <v>156.075</v>
      </c>
      <c r="H20" s="765" t="str">
        <f> IF(ISERROR(vlookup(Concatenate("P2.",A20),Order205,8,FALSE)), "", vlookup(Concatenate("P2.",A20),Order205,8,FALSE))</f>
        <v>(T6)  156.7</v>
      </c>
      <c r="I20" s="765" t="str">
        <f> IF(ISERROR(vlookup(Concatenate("P2.",A20),Order205,9,FALSE)), "", vlookup(Concatenate("P2.",A20),Order205,9,FALSE))</f>
        <v>A</v>
      </c>
      <c r="J20" s="787" t="str">
        <f> IF(ISERROR(vlookup(Concatenate("P2.",A20),Order205,10,FALSE)), "", vlookup(Concatenate("P2.",A20),Order205,10,FALSE))</f>
        <v/>
      </c>
    </row>
    <row r="21" ht="22.5" customHeight="1">
      <c r="A21" s="772">
        <v>15.0</v>
      </c>
      <c r="B21" s="761" t="str">
        <f> IF(ISERROR(vlookup(Concatenate("P2.",A21),Order205,4,FALSE)), "", vlookup(Concatenate("P2.",A21),Order205,4,FALSE))</f>
        <v>A/G CMD</v>
      </c>
      <c r="C21" s="762" t="str">
        <f> IF(ISERROR(vlookup(Concatenate("P2.",A21),Order205,2,FALSE)), "", vlookup(Concatenate("P2.",A21),Order205,2,FALSE))</f>
        <v>A/G CMD</v>
      </c>
      <c r="D21" s="763" t="str">
        <f> IF(ISERROR(vlookup(Concatenate("P2.",A21),Order205,3,FALSE)), "", vlookup(Concatenate("P2.",A21),Order205,3,FALSE))</f>
        <v>ALL DIVS</v>
      </c>
      <c r="E21" s="764" t="str">
        <f> IF(ISERROR(vlookup(Concatenate("P2.",A21),Order205,5,FALSE)), "", vlookup(Concatenate("P2.",A21),Order205,5,FALSE))</f>
        <v>166.6125</v>
      </c>
      <c r="F21" s="765" t="str">
        <f> IF(ISERROR(vlookup(Concatenate("P2.",A21),Order205,6,FALSE)), "", vlookup(Concatenate("P2.",A21),Order205,6,FALSE))</f>
        <v/>
      </c>
      <c r="G21" s="764" t="str">
        <f> IF(ISERROR(vlookup(Concatenate("P2.",A21),Order205,7,FALSE)), "", vlookup(Concatenate("P2.",A21),Order205,7,FALSE))</f>
        <v>166.6125</v>
      </c>
      <c r="H21" s="765">
        <f> IF(ISERROR(vlookup(Concatenate("P2.",A21),Order205,8,FALSE)), "", vlookup(Concatenate("P2.",A21),Order205,8,FALSE))</f>
        <v>0</v>
      </c>
      <c r="I21" s="765" t="str">
        <f> IF(ISERROR(vlookup(Concatenate("P2.",A21),Order205,9,FALSE)), "", vlookup(Concatenate("P2.",A21),Order205,9,FALSE))</f>
        <v>A</v>
      </c>
      <c r="J21" s="787" t="str">
        <f> IF(ISERROR(vlookup(Concatenate("P2.",A21),Order205,10,FALSE)), "", vlookup(Concatenate("P2.",A21),Order205,10,FALSE))</f>
        <v/>
      </c>
    </row>
    <row r="22" ht="22.5" customHeight="1">
      <c r="A22" s="772">
        <v>16.0</v>
      </c>
      <c r="B22" s="761" t="str">
        <f> IF(ISERROR(vlookup(Concatenate("P2.",A22),Order205,4,FALSE)), "", vlookup(Concatenate("P2.",A22),Order205,4,FALSE))</f>
        <v>AIRGUARD</v>
      </c>
      <c r="C22" s="762" t="str">
        <f> IF(ISERROR(vlookup(Concatenate("P2.",A22),Order205,2,FALSE)), "", vlookup(Concatenate("P2.",A22),Order205,2,FALSE))</f>
        <v>GUARD</v>
      </c>
      <c r="D22" s="763" t="str">
        <f> IF(ISERROR(vlookup(Concatenate("P2.",A22),Order205,3,FALSE)), "", vlookup(Concatenate("P2.",A22),Order205,3,FALSE))</f>
        <v>EMERGENCY</v>
      </c>
      <c r="E22" s="764">
        <f> IF(ISERROR(vlookup(Concatenate("P2.",A22),Order205,5,FALSE)), "", vlookup(Concatenate("P2.",A22),Order205,5,FALSE))</f>
        <v>168.625</v>
      </c>
      <c r="F22" s="765">
        <f> IF(ISERROR(vlookup(Concatenate("P2.",A22),Order205,6,FALSE)), "", vlookup(Concatenate("P2.",A22),Order205,6,FALSE))</f>
        <v>0</v>
      </c>
      <c r="G22" s="764">
        <f> IF(ISERROR(vlookup(Concatenate("P2.",A22),Order205,7,FALSE)), "", vlookup(Concatenate("P2.",A22),Order205,7,FALSE))</f>
        <v>168.625</v>
      </c>
      <c r="H22" s="765" t="str">
        <f> IF(ISERROR(vlookup(Concatenate("P2.",A22),Order205,8,FALSE)), "", vlookup(Concatenate("P2.",A22),Order205,8,FALSE))</f>
        <v>(T1)  110.9</v>
      </c>
      <c r="I22" s="765" t="str">
        <f> IF(ISERROR(vlookup(Concatenate("P2.",A22),Order205,9,FALSE)), "", vlookup(Concatenate("P2.",A22),Order205,9,FALSE))</f>
        <v>A</v>
      </c>
      <c r="J22" s="787" t="str">
        <f> IF(ISERROR(vlookup(Concatenate("P2.",A22),Order205,10,FALSE)), "", vlookup(Concatenate("P2.",A22),Order205,10,FALSE))</f>
        <v/>
      </c>
    </row>
    <row r="23" ht="22.5" customHeight="1">
      <c r="A23" s="772">
        <v>17.0</v>
      </c>
      <c r="B23" s="761" t="str">
        <f> IF(ISERROR(vlookup(Concatenate("P2.",A23),Order205,4,FALSE)), "", vlookup(Concatenate("P2.",A23),Order205,4,FALSE))</f>
        <v>COMMAND</v>
      </c>
      <c r="C23" s="762" t="str">
        <f> IF(ISERROR(vlookup(Concatenate("P2.",A23),Order205,2,FALSE)), "", vlookup(Concatenate("P2.",A23),Order205,2,FALSE))</f>
        <v>STF OPS T2</v>
      </c>
      <c r="D23" s="763" t="str">
        <f> IF(ISERROR(vlookup(Concatenate("P2.",A23),Order205,3,FALSE)), "", vlookup(Concatenate("P2.",A23),Order205,3,FALSE))</f>
        <v>FIRE NET</v>
      </c>
      <c r="E23" s="764" t="str">
        <f> IF(ISERROR(vlookup(Concatenate("P2.",A23),Order205,5,FALSE)), "", vlookup(Concatenate("P2.",A23),Order205,5,FALSE))</f>
        <v>170.5000</v>
      </c>
      <c r="F23" s="765">
        <f> IF(ISERROR(vlookup(Concatenate("P2.",A23),Order205,6,FALSE)), "", vlookup(Concatenate("P2.",A23),Order205,6,FALSE))</f>
        <v>0</v>
      </c>
      <c r="G23" s="764" t="str">
        <f> IF(ISERROR(vlookup(Concatenate("P2.",A23),Order205,7,FALSE)), "", vlookup(Concatenate("P2.",A23),Order205,7,FALSE))</f>
        <v>168.7500</v>
      </c>
      <c r="H23" s="765">
        <f> IF(ISERROR(vlookup(Concatenate("P2.",A23),Order205,8,FALSE)), "", vlookup(Concatenate("P2.",A23),Order205,8,FALSE))</f>
        <v>0</v>
      </c>
      <c r="I23" s="765" t="str">
        <f> IF(ISERROR(vlookup(Concatenate("P2.",A23),Order205,9,FALSE)), "", vlookup(Concatenate("P2.",A23),Order205,9,FALSE))</f>
        <v>A</v>
      </c>
      <c r="J23" s="787" t="str">
        <f> IF(ISERROR(vlookup(Concatenate("P2.",A23),Order205,10,FALSE)), "", vlookup(Concatenate("P2.",A23),Order205,10,FALSE))</f>
        <v/>
      </c>
    </row>
    <row r="24" ht="22.5" customHeight="1">
      <c r="A24" s="772">
        <v>18.0</v>
      </c>
      <c r="B24" s="761" t="str">
        <f> IF(ISERROR(vlookup(Concatenate("P2.",A24),Order205,4,FALSE)), "", vlookup(Concatenate("P2.",A24),Order205,4,FALSE))</f>
        <v>COMMAND</v>
      </c>
      <c r="C24" s="762" t="str">
        <f> IF(ISERROR(vlookup(Concatenate("P2.",A24),Order205,2,FALSE)), "", vlookup(Concatenate("P2.",A24),Order205,2,FALSE))</f>
        <v>STF OPS T2</v>
      </c>
      <c r="D24" s="763" t="str">
        <f> IF(ISERROR(vlookup(Concatenate("P2.",A24),Order205,3,FALSE)), "", vlookup(Concatenate("P2.",A24),Order205,3,FALSE))</f>
        <v>FIRE NET</v>
      </c>
      <c r="E24" s="764" t="str">
        <f> IF(ISERROR(vlookup(Concatenate("P2.",A24),Order205,5,FALSE)), "", vlookup(Concatenate("P2.",A24),Order205,5,FALSE))</f>
        <v>170.5000</v>
      </c>
      <c r="F24" s="765">
        <f> IF(ISERROR(vlookup(Concatenate("P2.",A24),Order205,6,FALSE)), "", vlookup(Concatenate("P2.",A24),Order205,6,FALSE))</f>
        <v>0</v>
      </c>
      <c r="G24" s="764" t="str">
        <f> IF(ISERROR(vlookup(Concatenate("P2.",A24),Order205,7,FALSE)), "", vlookup(Concatenate("P2.",A24),Order205,7,FALSE))</f>
        <v>168.7500</v>
      </c>
      <c r="H24" s="765">
        <f> IF(ISERROR(vlookup(Concatenate("P2.",A24),Order205,8,FALSE)), "", vlookup(Concatenate("P2.",A24),Order205,8,FALSE))</f>
        <v>0</v>
      </c>
      <c r="I24" s="765" t="str">
        <f> IF(ISERROR(vlookup(Concatenate("P2.",A24),Order205,9,FALSE)), "", vlookup(Concatenate("P2.",A24),Order205,9,FALSE))</f>
        <v>A</v>
      </c>
      <c r="J24" s="787" t="str">
        <f> IF(ISERROR(vlookup(Concatenate("P2.",A24),Order205,10,FALSE)), "", vlookup(Concatenate("P2.",A24),Order205,10,FALSE))</f>
        <v/>
      </c>
    </row>
    <row r="25" ht="22.5" customHeight="1">
      <c r="A25" s="772">
        <v>19.0</v>
      </c>
      <c r="B25" s="761" t="str">
        <f> IF(ISERROR(vlookup(Concatenate("P2.",A25),Order205,4,FALSE)), "", vlookup(Concatenate("P2.",A25),Order205,4,FALSE))</f>
        <v>COMMAND</v>
      </c>
      <c r="C25" s="762" t="str">
        <f> IF(ISERROR(vlookup(Concatenate("P2.",A25),Order205,2,FALSE)), "", vlookup(Concatenate("P2.",A25),Order205,2,FALSE))</f>
        <v>STF OPS T2</v>
      </c>
      <c r="D25" s="763" t="str">
        <f> IF(ISERROR(vlookup(Concatenate("P2.",A25),Order205,3,FALSE)), "", vlookup(Concatenate("P2.",A25),Order205,3,FALSE))</f>
        <v>FIRE NET</v>
      </c>
      <c r="E25" s="764" t="str">
        <f> IF(ISERROR(vlookup(Concatenate("P2.",A25),Order205,5,FALSE)), "", vlookup(Concatenate("P2.",A25),Order205,5,FALSE))</f>
        <v>170.5000</v>
      </c>
      <c r="F25" s="765">
        <f> IF(ISERROR(vlookup(Concatenate("P2.",A25),Order205,6,FALSE)), "", vlookup(Concatenate("P2.",A25),Order205,6,FALSE))</f>
        <v>0</v>
      </c>
      <c r="G25" s="764" t="str">
        <f> IF(ISERROR(vlookup(Concatenate("P2.",A25),Order205,7,FALSE)), "", vlookup(Concatenate("P2.",A25),Order205,7,FALSE))</f>
        <v>168.7500</v>
      </c>
      <c r="H25" s="765">
        <f> IF(ISERROR(vlookup(Concatenate("P2.",A25),Order205,8,FALSE)), "", vlookup(Concatenate("P2.",A25),Order205,8,FALSE))</f>
        <v>0</v>
      </c>
      <c r="I25" s="765" t="str">
        <f> IF(ISERROR(vlookup(Concatenate("P2.",A25),Order205,9,FALSE)), "", vlookup(Concatenate("P2.",A25),Order205,9,FALSE))</f>
        <v>A</v>
      </c>
      <c r="J25" s="787" t="str">
        <f> IF(ISERROR(vlookup(Concatenate("P2.",A25),Order205,10,FALSE)), "", vlookup(Concatenate("P2.",A25),Order205,10,FALSE))</f>
        <v/>
      </c>
    </row>
    <row r="26" ht="22.5" customHeight="1">
      <c r="A26" s="772">
        <v>20.0</v>
      </c>
      <c r="B26" s="761" t="str">
        <f> IF(ISERROR(vlookup(Concatenate("P2.",A26),Order205,4,FALSE)), "", vlookup(Concatenate("P2.",A26),Order205,4,FALSE))</f>
        <v>COMMAND</v>
      </c>
      <c r="C26" s="762" t="str">
        <f> IF(ISERROR(vlookup(Concatenate("P2.",A26),Order205,2,FALSE)), "", vlookup(Concatenate("P2.",A26),Order205,2,FALSE))</f>
        <v>STF OPS T2</v>
      </c>
      <c r="D26" s="763" t="str">
        <f> IF(ISERROR(vlookup(Concatenate("P2.",A26),Order205,3,FALSE)), "", vlookup(Concatenate("P2.",A26),Order205,3,FALSE))</f>
        <v>FIRE NET</v>
      </c>
      <c r="E26" s="764" t="str">
        <f> IF(ISERROR(vlookup(Concatenate("P2.",A26),Order205,5,FALSE)), "", vlookup(Concatenate("P2.",A26),Order205,5,FALSE))</f>
        <v>170.5000</v>
      </c>
      <c r="F26" s="765">
        <f> IF(ISERROR(vlookup(Concatenate("P2.",A26),Order205,6,FALSE)), "", vlookup(Concatenate("P2.",A26),Order205,6,FALSE))</f>
        <v>0</v>
      </c>
      <c r="G26" s="764" t="str">
        <f> IF(ISERROR(vlookup(Concatenate("P2.",A26),Order205,7,FALSE)), "", vlookup(Concatenate("P2.",A26),Order205,7,FALSE))</f>
        <v>168.7500</v>
      </c>
      <c r="H26" s="765">
        <f> IF(ISERROR(vlookup(Concatenate("P2.",A26),Order205,8,FALSE)), "", vlookup(Concatenate("P2.",A26),Order205,8,FALSE))</f>
        <v>0</v>
      </c>
      <c r="I26" s="765" t="str">
        <f> IF(ISERROR(vlookup(Concatenate("P2.",A26),Order205,9,FALSE)), "", vlookup(Concatenate("P2.",A26),Order205,9,FALSE))</f>
        <v>A</v>
      </c>
      <c r="J26" s="787" t="str">
        <f> IF(ISERROR(vlookup(Concatenate("P2.",A26),Order205,10,FALSE)), "", vlookup(Concatenate("P2.",A26),Order205,10,FALSE))</f>
        <v/>
      </c>
    </row>
    <row r="27">
      <c r="A27" s="774" t="s">
        <v>558</v>
      </c>
      <c r="B27" s="74"/>
      <c r="C27" s="74"/>
      <c r="D27" s="74"/>
      <c r="E27" s="74"/>
      <c r="F27" s="74"/>
      <c r="G27" s="74"/>
      <c r="H27" s="74"/>
      <c r="I27" s="74"/>
      <c r="J27" s="45"/>
    </row>
    <row r="28">
      <c r="A28" s="775" t="str">
        <f>'205 Worksheet'!A148</f>
        <v>This is a test</v>
      </c>
      <c r="B28" s="165"/>
      <c r="C28" s="165"/>
      <c r="D28" s="165"/>
      <c r="E28" s="165"/>
      <c r="F28" s="165"/>
      <c r="G28" s="165"/>
      <c r="H28" s="165"/>
      <c r="I28" s="165"/>
      <c r="J28" s="210"/>
    </row>
    <row r="29">
      <c r="A29" s="104"/>
      <c r="B29" s="77"/>
      <c r="C29" s="77"/>
      <c r="D29" s="77"/>
      <c r="E29" s="77"/>
      <c r="F29" s="77"/>
      <c r="G29" s="77"/>
      <c r="H29" s="77"/>
      <c r="I29" s="77"/>
      <c r="J29" s="55"/>
    </row>
    <row r="30" ht="24.75" customHeight="1">
      <c r="A30" s="776" t="str">
        <f>Concatenate("6. Prepared by (Communications Unit Leader): Name: ", '205 Worksheet'!E150)  </f>
        <v>6. Prepared by (Communications Unit Leader): Name: </v>
      </c>
      <c r="B30" s="74"/>
      <c r="C30" s="74"/>
      <c r="D30" s="74"/>
      <c r="E30" s="74"/>
      <c r="F30" s="45"/>
      <c r="G30" s="777" t="s">
        <v>1134</v>
      </c>
      <c r="H30" s="74"/>
      <c r="I30" s="74"/>
      <c r="J30" s="45"/>
    </row>
    <row r="31">
      <c r="A31" s="778" t="s">
        <v>1135</v>
      </c>
      <c r="B31" s="77"/>
      <c r="C31" s="77"/>
      <c r="D31" s="77"/>
      <c r="E31" s="281"/>
      <c r="F31" s="389" t="s">
        <v>332</v>
      </c>
      <c r="G31" s="780" t="s">
        <v>389</v>
      </c>
      <c r="H31" s="781">
        <f>G3-1</f>
        <v>43892</v>
      </c>
      <c r="I31" s="782"/>
      <c r="J31" s="783">
        <f>'205 Worksheet'!E4</f>
        <v>1930</v>
      </c>
    </row>
    <row r="32" hidden="1">
      <c r="J32" s="788" t="s">
        <v>414</v>
      </c>
    </row>
    <row r="33" hidden="1"/>
    <row r="34" hidden="1"/>
    <row r="35" hidden="1"/>
    <row r="36" hidden="1"/>
    <row r="37" hidden="1"/>
    <row r="38" hidden="1"/>
    <row r="39" hidden="1"/>
    <row r="40" hidden="1"/>
    <row r="41" hidden="1"/>
    <row r="42" hidden="1"/>
    <row r="43" hidden="1"/>
    <row r="44" hidden="1"/>
    <row r="45" hidden="1"/>
    <row r="46" hidden="1"/>
    <row r="47" hidden="1"/>
    <row r="48" hidden="1"/>
    <row r="49" hidden="1"/>
    <row r="50" hidden="1"/>
    <row r="51" hidden="1"/>
    <row r="52" hidden="1"/>
    <row r="53" hidden="1"/>
    <row r="54" hidden="1"/>
    <row r="55" hidden="1"/>
    <row r="56" hidden="1"/>
    <row r="57" hidden="1"/>
    <row r="58" hidden="1"/>
    <row r="59" hidden="1"/>
    <row r="60" hidden="1"/>
    <row r="61" hidden="1"/>
    <row r="62" hidden="1"/>
    <row r="63" hidden="1"/>
    <row r="64" hidden="1"/>
    <row r="65" hidden="1"/>
    <row r="66" hidden="1"/>
    <row r="67" hidden="1"/>
    <row r="68" hidden="1"/>
    <row r="69" hidden="1"/>
    <row r="70" hidden="1"/>
    <row r="71" hidden="1"/>
    <row r="72" hidden="1"/>
    <row r="73" hidden="1"/>
    <row r="74" hidden="1"/>
    <row r="75" hidden="1"/>
    <row r="76" hidden="1"/>
    <row r="77" hidden="1"/>
    <row r="78" hidden="1"/>
    <row r="79" hidden="1"/>
    <row r="80" hidden="1"/>
    <row r="81" hidden="1"/>
    <row r="82" hidden="1"/>
    <row r="83" hidden="1"/>
    <row r="84" hidden="1"/>
    <row r="85" hidden="1"/>
    <row r="86" hidden="1"/>
    <row r="87" hidden="1"/>
    <row r="88" hidden="1"/>
    <row r="89" hidden="1"/>
    <row r="90" hidden="1"/>
    <row r="91" hidden="1"/>
    <row r="92" hidden="1"/>
    <row r="93" hidden="1"/>
    <row r="94" hidden="1"/>
    <row r="95" hidden="1"/>
    <row r="96" hidden="1"/>
    <row r="97" hidden="1"/>
    <row r="98" hidden="1"/>
    <row r="99" hidden="1"/>
    <row r="100" hidden="1"/>
    <row r="101" hidden="1"/>
    <row r="102" hidden="1"/>
    <row r="103" hidden="1"/>
    <row r="104" hidden="1"/>
    <row r="105" hidden="1"/>
    <row r="106" hidden="1"/>
    <row r="107" hidden="1"/>
    <row r="108" hidden="1"/>
    <row r="109" hidden="1"/>
    <row r="110" hidden="1"/>
    <row r="111" hidden="1"/>
    <row r="112" hidden="1"/>
    <row r="113" hidden="1"/>
    <row r="114" hidden="1"/>
    <row r="115" hidden="1"/>
    <row r="116" hidden="1"/>
    <row r="117" hidden="1"/>
    <row r="118" hidden="1"/>
    <row r="119" hidden="1"/>
    <row r="120" hidden="1"/>
    <row r="121" hidden="1"/>
    <row r="122" hidden="1"/>
    <row r="123" hidden="1"/>
    <row r="124" hidden="1"/>
    <row r="125" hidden="1"/>
    <row r="126" hidden="1"/>
    <row r="127" hidden="1"/>
    <row r="128" hidden="1"/>
    <row r="129" hidden="1"/>
    <row r="130" hidden="1"/>
    <row r="131" hidden="1"/>
    <row r="132" hidden="1"/>
    <row r="133" hidden="1"/>
    <row r="134" hidden="1"/>
    <row r="135" hidden="1"/>
    <row r="136" hidden="1"/>
    <row r="137" hidden="1"/>
    <row r="138" hidden="1"/>
    <row r="139" hidden="1"/>
    <row r="140" hidden="1"/>
    <row r="141" hidden="1"/>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hidden="1"/>
    <row r="498" hidden="1"/>
    <row r="499" hidden="1"/>
    <row r="500" hidden="1"/>
    <row r="501" hidden="1"/>
    <row r="502" hidden="1"/>
    <row r="503" hidden="1"/>
    <row r="504" hidden="1"/>
    <row r="505" hidden="1"/>
    <row r="506" hidden="1"/>
    <row r="507" hidden="1"/>
    <row r="508" hidden="1"/>
    <row r="509" hidden="1"/>
    <row r="510" hidden="1"/>
    <row r="511" hidden="1"/>
    <row r="512"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hidden="1"/>
    <row r="546" hidden="1"/>
    <row r="547" hidden="1"/>
    <row r="548" hidden="1"/>
    <row r="549" hidden="1"/>
    <row r="550" hidden="1"/>
    <row r="551" hidden="1"/>
    <row r="552" hidden="1"/>
    <row r="553" hidden="1"/>
    <row r="554" hidden="1"/>
    <row r="555" hidden="1"/>
    <row r="556" hidden="1"/>
    <row r="557" hidden="1"/>
    <row r="558" hidden="1"/>
    <row r="559" hidden="1"/>
    <row r="560" hidden="1"/>
    <row r="561" hidden="1"/>
    <row r="562" hidden="1"/>
    <row r="563" hidden="1"/>
    <row r="564" hidden="1"/>
    <row r="565" hidden="1"/>
    <row r="566" hidden="1"/>
    <row r="567" hidden="1"/>
    <row r="568" hidden="1"/>
    <row r="569" hidden="1"/>
    <row r="570" hidden="1"/>
    <row r="571" hidden="1"/>
    <row r="572" hidden="1"/>
    <row r="573" hidden="1"/>
    <row r="574" hidden="1"/>
    <row r="575" hidden="1"/>
    <row r="576" hidden="1"/>
    <row r="577" hidden="1"/>
    <row r="578" hidden="1"/>
    <row r="579" hidden="1"/>
    <row r="580" hidden="1"/>
    <row r="581" hidden="1"/>
    <row r="582" hidden="1"/>
    <row r="583" hidden="1"/>
    <row r="584" hidden="1"/>
    <row r="585" hidden="1"/>
    <row r="586" hidden="1"/>
    <row r="587" hidden="1"/>
    <row r="588" hidden="1"/>
    <row r="589" hidden="1"/>
    <row r="590" hidden="1"/>
    <row r="591" hidden="1"/>
    <row r="592" hidden="1"/>
    <row r="593" hidden="1"/>
    <row r="594" hidden="1"/>
    <row r="595" hidden="1"/>
    <row r="596" hidden="1"/>
    <row r="597" hidden="1"/>
    <row r="598" hidden="1"/>
    <row r="599" hidden="1"/>
    <row r="600" hidden="1"/>
    <row r="601" hidden="1"/>
    <row r="602" hidden="1"/>
    <row r="603" hidden="1"/>
    <row r="604" hidden="1"/>
    <row r="605" hidden="1"/>
    <row r="606" hidden="1"/>
    <row r="607" hidden="1"/>
    <row r="608" hidden="1"/>
    <row r="609" hidden="1"/>
    <row r="610" hidden="1"/>
    <row r="611" hidden="1"/>
    <row r="612" hidden="1"/>
    <row r="613" hidden="1"/>
    <row r="614" hidden="1"/>
    <row r="615" hidden="1"/>
    <row r="616" hidden="1"/>
    <row r="617" hidden="1"/>
    <row r="618" hidden="1"/>
    <row r="619" hidden="1"/>
    <row r="620" hidden="1"/>
    <row r="621" hidden="1"/>
    <row r="622" hidden="1"/>
    <row r="623" hidden="1"/>
    <row r="624" hidden="1"/>
    <row r="625" hidden="1"/>
    <row r="626" hidden="1"/>
    <row r="627" hidden="1"/>
    <row r="628" hidden="1"/>
    <row r="629" hidden="1"/>
    <row r="630" hidden="1"/>
    <row r="631" hidden="1"/>
    <row r="632" hidden="1"/>
    <row r="633" hidden="1"/>
    <row r="634" hidden="1"/>
    <row r="635" hidden="1"/>
    <row r="636" hidden="1"/>
    <row r="637" hidden="1"/>
    <row r="638" hidden="1"/>
    <row r="639" hidden="1"/>
    <row r="640" hidden="1"/>
    <row r="641" hidden="1"/>
    <row r="642" hidden="1"/>
    <row r="643" hidden="1"/>
    <row r="644" hidden="1"/>
    <row r="645" hidden="1"/>
    <row r="646" hidden="1"/>
    <row r="647" hidden="1"/>
    <row r="648" hidden="1"/>
    <row r="649" hidden="1"/>
    <row r="650" hidden="1"/>
    <row r="651" hidden="1"/>
    <row r="652" hidden="1"/>
    <row r="653" hidden="1"/>
    <row r="654" hidden="1"/>
    <row r="655" hidden="1"/>
    <row r="656" hidden="1"/>
    <row r="657" hidden="1"/>
    <row r="658" hidden="1"/>
    <row r="659" hidden="1"/>
    <row r="660" hidden="1"/>
    <row r="661" hidden="1"/>
    <row r="662" hidden="1"/>
    <row r="663" hidden="1"/>
    <row r="664" hidden="1"/>
    <row r="665" hidden="1"/>
    <row r="666" hidden="1"/>
    <row r="667" hidden="1"/>
    <row r="668" hidden="1"/>
    <row r="669" hidden="1"/>
    <row r="670" hidden="1"/>
    <row r="671" hidden="1"/>
    <row r="672" hidden="1"/>
    <row r="673" hidden="1"/>
    <row r="674" hidden="1"/>
    <row r="675" hidden="1"/>
    <row r="676" hidden="1"/>
    <row r="677" hidden="1"/>
    <row r="678" hidden="1"/>
    <row r="679" hidden="1"/>
    <row r="680" hidden="1"/>
    <row r="681" hidden="1"/>
    <row r="682" hidden="1"/>
    <row r="683" hidden="1"/>
    <row r="684" hidden="1"/>
    <row r="685" hidden="1"/>
    <row r="686" hidden="1"/>
    <row r="687" hidden="1"/>
    <row r="688" hidden="1"/>
    <row r="689" hidden="1"/>
    <row r="690" hidden="1"/>
    <row r="691" hidden="1"/>
    <row r="692" hidden="1"/>
    <row r="693" hidden="1"/>
    <row r="694" hidden="1"/>
    <row r="695" hidden="1"/>
    <row r="696" hidden="1"/>
    <row r="697" hidden="1"/>
    <row r="698" hidden="1"/>
    <row r="699" hidden="1"/>
    <row r="700" hidden="1"/>
    <row r="701" hidden="1"/>
    <row r="702" hidden="1"/>
    <row r="703" hidden="1"/>
    <row r="704" hidden="1"/>
    <row r="705" hidden="1"/>
    <row r="706" hidden="1"/>
    <row r="707" hidden="1"/>
    <row r="708" hidden="1"/>
    <row r="709" hidden="1"/>
    <row r="710" hidden="1"/>
    <row r="711" hidden="1"/>
    <row r="712" hidden="1"/>
    <row r="713" hidden="1"/>
    <row r="714" hidden="1"/>
    <row r="715" hidden="1"/>
    <row r="716" hidden="1"/>
    <row r="717" hidden="1"/>
    <row r="718" hidden="1"/>
    <row r="719" hidden="1"/>
    <row r="720" hidden="1"/>
    <row r="721" hidden="1"/>
    <row r="722" hidden="1"/>
    <row r="723" hidden="1"/>
    <row r="724" hidden="1"/>
    <row r="725" hidden="1"/>
    <row r="726" hidden="1"/>
    <row r="727" hidden="1"/>
    <row r="728" hidden="1"/>
    <row r="729" hidden="1"/>
    <row r="730" hidden="1"/>
    <row r="731" hidden="1"/>
    <row r="732" hidden="1"/>
    <row r="733" hidden="1"/>
    <row r="734" hidden="1"/>
    <row r="735" hidden="1"/>
    <row r="736" hidden="1"/>
    <row r="737" hidden="1"/>
    <row r="738" hidden="1"/>
    <row r="739" hidden="1"/>
    <row r="740" hidden="1"/>
    <row r="741" hidden="1"/>
    <row r="742" hidden="1"/>
    <row r="743" hidden="1"/>
    <row r="744" hidden="1"/>
    <row r="745" hidden="1"/>
    <row r="746" hidden="1"/>
    <row r="747" hidden="1"/>
    <row r="748" hidden="1"/>
    <row r="749" hidden="1"/>
    <row r="750" hidden="1"/>
    <row r="751" hidden="1"/>
    <row r="752" hidden="1"/>
    <row r="753" hidden="1"/>
    <row r="754" hidden="1"/>
    <row r="755" hidden="1"/>
    <row r="756" hidden="1"/>
    <row r="757" hidden="1"/>
    <row r="758" hidden="1"/>
    <row r="759" hidden="1"/>
    <row r="760" hidden="1"/>
    <row r="761" hidden="1"/>
    <row r="762" hidden="1"/>
    <row r="763" hidden="1"/>
    <row r="764" hidden="1"/>
    <row r="765" hidden="1"/>
    <row r="766" hidden="1"/>
    <row r="767" hidden="1"/>
    <row r="768" hidden="1"/>
    <row r="769" hidden="1"/>
    <row r="770" hidden="1"/>
    <row r="771" hidden="1"/>
    <row r="772" hidden="1"/>
    <row r="773" hidden="1"/>
    <row r="774" hidden="1"/>
    <row r="775" hidden="1"/>
    <row r="776" hidden="1"/>
    <row r="777" hidden="1"/>
    <row r="778" hidden="1"/>
    <row r="779" hidden="1"/>
    <row r="780" hidden="1"/>
    <row r="781" hidden="1"/>
    <row r="782" hidden="1"/>
    <row r="783" hidden="1"/>
    <row r="784" hidden="1"/>
    <row r="785" hidden="1"/>
    <row r="786" hidden="1"/>
    <row r="787" hidden="1"/>
    <row r="788" hidden="1"/>
    <row r="789" hidden="1"/>
    <row r="790" hidden="1"/>
    <row r="791" hidden="1"/>
    <row r="792" hidden="1"/>
    <row r="793" hidden="1"/>
    <row r="794" hidden="1"/>
    <row r="795" hidden="1"/>
    <row r="796" hidden="1"/>
    <row r="797" hidden="1"/>
    <row r="798" hidden="1"/>
    <row r="799" hidden="1"/>
    <row r="800" hidden="1"/>
    <row r="801" hidden="1"/>
    <row r="802" hidden="1"/>
    <row r="803" hidden="1"/>
    <row r="804" hidden="1"/>
    <row r="805" hidden="1"/>
    <row r="806" hidden="1"/>
    <row r="807" hidden="1"/>
    <row r="808" hidden="1"/>
    <row r="809" hidden="1"/>
    <row r="810" hidden="1"/>
    <row r="811" hidden="1"/>
    <row r="812" hidden="1"/>
    <row r="813" hidden="1"/>
    <row r="814" hidden="1"/>
    <row r="815" hidden="1"/>
    <row r="816" hidden="1"/>
    <row r="817" hidden="1"/>
    <row r="818" hidden="1"/>
    <row r="819" hidden="1"/>
    <row r="820" hidden="1"/>
    <row r="821" hidden="1"/>
    <row r="822" hidden="1"/>
    <row r="823" hidden="1"/>
    <row r="824" hidden="1"/>
    <row r="825" hidden="1"/>
    <row r="826" hidden="1"/>
    <row r="827" hidden="1"/>
    <row r="828" hidden="1"/>
    <row r="829" hidden="1"/>
    <row r="830" hidden="1"/>
    <row r="831" hidden="1"/>
    <row r="832" hidden="1"/>
    <row r="833" hidden="1"/>
    <row r="834" hidden="1"/>
    <row r="835" hidden="1"/>
    <row r="836" hidden="1"/>
    <row r="837" hidden="1"/>
    <row r="838" hidden="1"/>
    <row r="839" hidden="1"/>
    <row r="840" hidden="1"/>
    <row r="841" hidden="1"/>
    <row r="842" hidden="1"/>
    <row r="843" hidden="1"/>
    <row r="844" hidden="1"/>
    <row r="845" hidden="1"/>
    <row r="846" hidden="1"/>
    <row r="847" hidden="1"/>
    <row r="848" hidden="1"/>
    <row r="849" hidden="1"/>
    <row r="850" hidden="1"/>
    <row r="851" hidden="1"/>
    <row r="852" hidden="1"/>
    <row r="853" hidden="1"/>
    <row r="854" hidden="1"/>
    <row r="855" hidden="1"/>
    <row r="856" hidden="1"/>
    <row r="857" hidden="1"/>
    <row r="858" hidden="1"/>
    <row r="859" hidden="1"/>
    <row r="860" hidden="1"/>
    <row r="861" hidden="1"/>
    <row r="862" hidden="1"/>
    <row r="863" hidden="1"/>
    <row r="864" hidden="1"/>
    <row r="865" hidden="1"/>
    <row r="866" hidden="1"/>
    <row r="867" hidden="1"/>
    <row r="868" hidden="1"/>
    <row r="869" hidden="1"/>
    <row r="870" hidden="1"/>
    <row r="871" hidden="1"/>
    <row r="872" hidden="1"/>
    <row r="873" hidden="1"/>
    <row r="874" hidden="1"/>
    <row r="875" hidden="1"/>
    <row r="876" hidden="1"/>
    <row r="877" hidden="1"/>
    <row r="878" hidden="1"/>
    <row r="879" hidden="1"/>
    <row r="880" hidden="1"/>
    <row r="881" hidden="1"/>
    <row r="882" hidden="1"/>
    <row r="883" hidden="1"/>
    <row r="884" hidden="1"/>
    <row r="885" hidden="1"/>
    <row r="886" hidden="1"/>
    <row r="887" hidden="1"/>
    <row r="888" hidden="1"/>
    <row r="889" hidden="1"/>
    <row r="890" hidden="1"/>
    <row r="891" hidden="1"/>
    <row r="892" hidden="1"/>
    <row r="893" hidden="1"/>
    <row r="894" hidden="1"/>
    <row r="895" hidden="1"/>
    <row r="896" hidden="1"/>
    <row r="897" hidden="1"/>
    <row r="898" hidden="1"/>
    <row r="899" hidden="1"/>
    <row r="900" hidden="1"/>
    <row r="901" hidden="1"/>
    <row r="902" hidden="1"/>
    <row r="903" hidden="1"/>
    <row r="904" hidden="1"/>
    <row r="905" hidden="1"/>
    <row r="906" hidden="1"/>
    <row r="907" hidden="1"/>
    <row r="908" hidden="1"/>
    <row r="909" hidden="1"/>
    <row r="910" hidden="1"/>
    <row r="911" hidden="1"/>
    <row r="912" hidden="1"/>
    <row r="913" hidden="1"/>
    <row r="914" hidden="1"/>
    <row r="915" hidden="1"/>
    <row r="916" hidden="1"/>
    <row r="917" hidden="1"/>
    <row r="918" hidden="1"/>
    <row r="919" hidden="1"/>
    <row r="920" hidden="1"/>
    <row r="921" hidden="1"/>
    <row r="922" hidden="1"/>
    <row r="923" hidden="1"/>
    <row r="924" hidden="1"/>
    <row r="925" hidden="1"/>
    <row r="926" hidden="1"/>
    <row r="927" hidden="1"/>
    <row r="928" hidden="1"/>
    <row r="929" hidden="1"/>
    <row r="930" hidden="1"/>
    <row r="931" hidden="1"/>
    <row r="932" hidden="1"/>
    <row r="933" hidden="1"/>
    <row r="934" hidden="1"/>
    <row r="935" hidden="1"/>
    <row r="936" hidden="1"/>
    <row r="937" hidden="1"/>
    <row r="938" hidden="1"/>
    <row r="939" hidden="1"/>
    <row r="940" hidden="1"/>
    <row r="941" hidden="1"/>
    <row r="942" hidden="1"/>
    <row r="943" hidden="1"/>
    <row r="944" hidden="1"/>
    <row r="945" hidden="1"/>
    <row r="946" hidden="1"/>
    <row r="947" hidden="1"/>
    <row r="948" hidden="1"/>
    <row r="949" hidden="1"/>
    <row r="950" hidden="1"/>
    <row r="951" hidden="1"/>
    <row r="952" hidden="1"/>
    <row r="953" hidden="1"/>
    <row r="954" hidden="1"/>
    <row r="955" hidden="1"/>
    <row r="956" hidden="1"/>
    <row r="957" hidden="1"/>
    <row r="958" hidden="1"/>
    <row r="959" hidden="1"/>
    <row r="960" hidden="1"/>
    <row r="961" hidden="1"/>
    <row r="962" hidden="1"/>
    <row r="963" hidden="1"/>
    <row r="964" hidden="1"/>
    <row r="965" hidden="1"/>
    <row r="966" hidden="1"/>
    <row r="967" hidden="1"/>
    <row r="968" hidden="1"/>
    <row r="969" hidden="1"/>
    <row r="970" hidden="1"/>
    <row r="971" hidden="1"/>
    <row r="972" hidden="1"/>
    <row r="973" hidden="1"/>
    <row r="974" hidden="1"/>
    <row r="975" hidden="1"/>
    <row r="976" hidden="1"/>
    <row r="977" hidden="1"/>
    <row r="978" hidden="1"/>
    <row r="979" hidden="1"/>
    <row r="980" hidden="1"/>
    <row r="981" hidden="1"/>
    <row r="982" hidden="1"/>
    <row r="983" hidden="1"/>
    <row r="984" hidden="1"/>
    <row r="985" hidden="1"/>
    <row r="986" hidden="1"/>
    <row r="987" hidden="1"/>
    <row r="988" hidden="1"/>
    <row r="989" hidden="1"/>
    <row r="990" hidden="1"/>
    <row r="991" hidden="1"/>
    <row r="992" hidden="1"/>
    <row r="993" hidden="1"/>
    <row r="994" hidden="1"/>
    <row r="995" hidden="1"/>
    <row r="996" hidden="1"/>
    <row r="997" hidden="1"/>
    <row r="998" hidden="1"/>
    <row r="999" hidden="1"/>
    <row r="1000" hidden="1"/>
    <row r="1001" hidden="1"/>
    <row r="1002" hidden="1"/>
    <row r="1003" hidden="1"/>
    <row r="1004" hidden="1"/>
  </sheetData>
  <mergeCells count="11">
    <mergeCell ref="A28:J29"/>
    <mergeCell ref="A30:F30"/>
    <mergeCell ref="G30:J30"/>
    <mergeCell ref="A31:D31"/>
    <mergeCell ref="A1:H1"/>
    <mergeCell ref="A2:C2"/>
    <mergeCell ref="A3:C3"/>
    <mergeCell ref="A4:C4"/>
    <mergeCell ref="A5:C5"/>
    <mergeCell ref="D5:J5"/>
    <mergeCell ref="A27:J27"/>
  </mergeCells>
  <printOptions horizontalCentered="1"/>
  <pageMargins bottom="0.2575609756097561" footer="0.0" header="0.0" left="0.25" right="0.25" top="0.27902439024390246"/>
  <pageSetup orientation="landscape" pageOrder="overThenDown"/>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pageSetUpPr fitToPage="1"/>
  </sheetPr>
  <sheetViews>
    <sheetView showGridLines="0" workbookViewId="0"/>
  </sheetViews>
  <sheetFormatPr customHeight="1" defaultColWidth="12.63" defaultRowHeight="15.75"/>
  <cols>
    <col customWidth="1" min="1" max="1" width="5.25"/>
    <col customWidth="1" min="2" max="2" width="14.25"/>
    <col customWidth="1" min="3" max="3" width="12.38"/>
    <col customWidth="1" min="4" max="4" width="19.13"/>
    <col customWidth="1" min="5" max="5" width="9.38"/>
    <col customWidth="1" min="6" max="6" width="9.25"/>
    <col customWidth="1" min="7" max="7" width="9.5"/>
    <col customWidth="1" min="8" max="9" width="9.63"/>
    <col customWidth="1" min="10" max="10" width="32.75"/>
  </cols>
  <sheetData>
    <row r="1">
      <c r="A1" s="419" t="s">
        <v>1131</v>
      </c>
      <c r="B1" s="77"/>
      <c r="C1" s="77"/>
      <c r="D1" s="77"/>
      <c r="E1" s="77"/>
      <c r="F1" s="77"/>
      <c r="G1" s="77"/>
      <c r="H1" s="77"/>
      <c r="I1" s="784"/>
      <c r="J1" s="785" t="s">
        <v>414</v>
      </c>
    </row>
    <row r="2">
      <c r="A2" s="399" t="s">
        <v>282</v>
      </c>
      <c r="B2" s="165"/>
      <c r="C2" s="165"/>
      <c r="D2" s="432" t="s">
        <v>471</v>
      </c>
      <c r="F2" s="432" t="s">
        <v>472</v>
      </c>
      <c r="G2" s="581"/>
      <c r="H2" s="581"/>
      <c r="I2" s="581"/>
      <c r="J2" s="749"/>
    </row>
    <row r="3">
      <c r="A3" s="404" t="str">
        <f>IncName</f>
        <v>NO NAME</v>
      </c>
      <c r="D3" s="750" t="s">
        <v>473</v>
      </c>
      <c r="E3" s="751">
        <f>G3-1</f>
        <v>43892</v>
      </c>
      <c r="F3" s="423" t="s">
        <v>284</v>
      </c>
      <c r="G3" s="407">
        <f>OpDate</f>
        <v>43893</v>
      </c>
      <c r="H3" s="408" t="s">
        <v>130</v>
      </c>
      <c r="I3" s="408"/>
      <c r="J3" s="752">
        <f>OpDateTo</f>
        <v>43894</v>
      </c>
    </row>
    <row r="4">
      <c r="A4" s="786" t="str">
        <f>'205 Worksheet'!B68</f>
        <v>Page 3</v>
      </c>
      <c r="B4" s="77"/>
      <c r="C4" s="77"/>
      <c r="D4" s="754" t="s">
        <v>476</v>
      </c>
      <c r="E4" s="755">
        <f>'205 Worksheet'!E4</f>
        <v>1930</v>
      </c>
      <c r="F4" s="427" t="s">
        <v>131</v>
      </c>
      <c r="G4" s="756" t="str">
        <f>OpStart</f>
        <v>0700</v>
      </c>
      <c r="H4" s="757" t="s">
        <v>133</v>
      </c>
      <c r="I4" s="757"/>
      <c r="J4" s="758" t="str">
        <f>OpEnd</f>
        <v>0700</v>
      </c>
    </row>
    <row r="5">
      <c r="A5" s="444" t="s">
        <v>478</v>
      </c>
      <c r="B5" s="74"/>
      <c r="C5" s="45"/>
      <c r="D5" s="759"/>
      <c r="E5" s="74"/>
      <c r="F5" s="74"/>
      <c r="G5" s="74"/>
      <c r="H5" s="74"/>
      <c r="I5" s="74"/>
      <c r="J5" s="45"/>
    </row>
    <row r="6">
      <c r="A6" s="601" t="s">
        <v>1132</v>
      </c>
      <c r="B6" s="604" t="s">
        <v>485</v>
      </c>
      <c r="C6" s="604" t="s">
        <v>352</v>
      </c>
      <c r="D6" s="603" t="s">
        <v>1133</v>
      </c>
      <c r="E6" s="602" t="s">
        <v>486</v>
      </c>
      <c r="F6" s="602" t="s">
        <v>487</v>
      </c>
      <c r="G6" s="602" t="s">
        <v>488</v>
      </c>
      <c r="H6" s="602" t="s">
        <v>489</v>
      </c>
      <c r="I6" s="602" t="s">
        <v>433</v>
      </c>
      <c r="J6" s="602" t="s">
        <v>434</v>
      </c>
    </row>
    <row r="7" ht="22.5" customHeight="1">
      <c r="A7" s="760">
        <v>1.0</v>
      </c>
      <c r="B7" s="761" t="str">
        <f> IF(ISERROR(vlookup(Concatenate("P3.",A7),Order205,4,FALSE)), "", vlookup(Concatenate("P3.",A7),Order205,4,FALSE))</f>
        <v>COMMAND</v>
      </c>
      <c r="C7" s="762" t="str">
        <f> IF(ISERROR(vlookup(Concatenate("P3.",A7),Order205,2,FALSE)), "", vlookup(Concatenate("P3.",A7),Order205,2,FALSE))</f>
        <v>CDF C2</v>
      </c>
      <c r="D7" s="763" t="str">
        <f> IF(ISERROR(vlookup(Concatenate("P3.",A7),Order205,3,FALSE)), "", vlookup(Concatenate("P3.",A7),Order205,3,FALSE))</f>
        <v>FIRE NET</v>
      </c>
      <c r="E7" s="764">
        <f> IF(ISERROR(vlookup(Concatenate("P3.",A7),Order205,5,FALSE)), "", vlookup(Concatenate("P3.",A7),Order205,5,FALSE))</f>
        <v>151.265</v>
      </c>
      <c r="F7" s="765" t="str">
        <f> IF(ISERROR(vlookup(Concatenate("P3.",A7),Order205,6,FALSE)), "", vlookup(Concatenate("P3.",A7),Order205,6,FALSE))</f>
        <v>(T8)  103.5</v>
      </c>
      <c r="G7" s="764">
        <f> IF(ISERROR(vlookup(Concatenate("P3.",A7),Order205,7,FALSE)), "", vlookup(Concatenate("P3.",A7),Order205,7,FALSE))</f>
        <v>159.33</v>
      </c>
      <c r="H7" s="765" t="str">
        <f> IF(ISERROR(vlookup(Concatenate("P3.",A7),Order205,8,FALSE)), "", vlookup(Concatenate("P3.",A7),Order205,8,FALSE))</f>
        <v>OST</v>
      </c>
      <c r="I7" s="765" t="str">
        <f> IF(ISERROR(vlookup(Concatenate("P3.",A7),Order205,9,FALSE)), "", vlookup(Concatenate("P3.",A7),Order205,9,FALSE))</f>
        <v>A</v>
      </c>
      <c r="J7" s="787" t="str">
        <f> IF(ISERROR(vlookup(Concatenate("P3.",A7),Order205,10,FALSE)), "", vlookup(Concatenate("P3.",A7),Order205,10,FALSE))</f>
        <v/>
      </c>
    </row>
    <row r="8" ht="22.5" customHeight="1">
      <c r="A8" s="760">
        <v>2.0</v>
      </c>
      <c r="B8" s="761" t="str">
        <f> IF(ISERROR(vlookup(Concatenate("P3.",A8),Order205,4,FALSE)), "", vlookup(Concatenate("P3.",A8),Order205,4,FALSE))</f>
        <v/>
      </c>
      <c r="C8" s="762" t="str">
        <f> IF(ISERROR(vlookup(Concatenate("P3.",A8),Order205,2,FALSE)), "", vlookup(Concatenate("P3.",A8),Order205,2,FALSE))</f>
        <v/>
      </c>
      <c r="D8" s="763" t="str">
        <f> IF(ISERROR(vlookup(Concatenate("P3.",A8),Order205,3,FALSE)), "", vlookup(Concatenate("P3.",A8),Order205,3,FALSE))</f>
        <v/>
      </c>
      <c r="E8" s="764" t="str">
        <f> IF(ISERROR(vlookup(Concatenate("P3.",A8),Order205,5,FALSE)), "", vlookup(Concatenate("P3.",A8),Order205,5,FALSE))</f>
        <v/>
      </c>
      <c r="F8" s="763" t="str">
        <f> IF(ISERROR(vlookup(Concatenate("P3.",A8),Order205,6,FALSE)), "", vlookup(Concatenate("P3.",A8),Order205,6,FALSE))</f>
        <v/>
      </c>
      <c r="G8" s="764" t="str">
        <f> IF(ISERROR(vlookup(Concatenate("P3.",A8),Order205,7,FALSE)), "", vlookup(Concatenate("P3.",A8),Order205,7,FALSE))</f>
        <v/>
      </c>
      <c r="H8" s="763" t="str">
        <f> IF(ISERROR(vlookup(Concatenate("P3.",A8),Order205,8,FALSE)), "", vlookup(Concatenate("P3.",A8),Order205,8,FALSE))</f>
        <v/>
      </c>
      <c r="I8" s="763" t="str">
        <f> IF(ISERROR(vlookup(Concatenate("P3.",A8),Order205,9,FALSE)), "", vlookup(Concatenate("P3.",A8),Order205,9,FALSE))</f>
        <v/>
      </c>
      <c r="J8" s="787" t="str">
        <f> IF(ISERROR(vlookup(Concatenate("P3.",A8),Order205,10,FALSE)), "", vlookup(Concatenate("P3.",A8),Order205,10,FALSE))</f>
        <v/>
      </c>
    </row>
    <row r="9" ht="22.5" customHeight="1">
      <c r="A9" s="760">
        <v>3.0</v>
      </c>
      <c r="B9" s="761" t="str">
        <f> IF(ISERROR(vlookup(Concatenate("P3.",A9),Order205,4,FALSE)), "", vlookup(Concatenate("P3.",A9),Order205,4,FALSE))</f>
        <v/>
      </c>
      <c r="C9" s="762" t="str">
        <f> IF(ISERROR(vlookup(Concatenate("P3.",A9),Order205,2,FALSE)), "", vlookup(Concatenate("P3.",A9),Order205,2,FALSE))</f>
        <v/>
      </c>
      <c r="D9" s="763" t="str">
        <f> IF(ISERROR(vlookup(Concatenate("P3.",A9),Order205,3,FALSE)), "", vlookup(Concatenate("P3.",A9),Order205,3,FALSE))</f>
        <v/>
      </c>
      <c r="E9" s="764" t="str">
        <f> IF(ISERROR(vlookup(Concatenate("P3.",A9),Order205,5,FALSE)), "", vlookup(Concatenate("P3.",A9),Order205,5,FALSE))</f>
        <v/>
      </c>
      <c r="F9" s="763" t="str">
        <f> IF(ISERROR(vlookup(Concatenate("P3.",A9),Order205,6,FALSE)), "", vlookup(Concatenate("P3.",A9),Order205,6,FALSE))</f>
        <v/>
      </c>
      <c r="G9" s="764" t="str">
        <f> IF(ISERROR(vlookup(Concatenate("P3.",A9),Order205,7,FALSE)), "", vlookup(Concatenate("P3.",A9),Order205,7,FALSE))</f>
        <v/>
      </c>
      <c r="H9" s="763" t="str">
        <f> IF(ISERROR(vlookup(Concatenate("P3.",A9),Order205,8,FALSE)), "", vlookup(Concatenate("P3.",A9),Order205,8,FALSE))</f>
        <v/>
      </c>
      <c r="I9" s="763" t="str">
        <f> IF(ISERROR(vlookup(Concatenate("P3.",A9),Order205,9,FALSE)), "", vlookup(Concatenate("P3.",A9),Order205,9,FALSE))</f>
        <v/>
      </c>
      <c r="J9" s="787" t="str">
        <f> IF(ISERROR(vlookup(Concatenate("P3.",A9),Order205,10,FALSE)), "", vlookup(Concatenate("P3.",A9),Order205,10,FALSE))</f>
        <v/>
      </c>
    </row>
    <row r="10" ht="22.5" customHeight="1">
      <c r="A10" s="760">
        <v>4.0</v>
      </c>
      <c r="B10" s="761" t="str">
        <f> IF(ISERROR(vlookup(Concatenate("P3.",A10),Order205,4,FALSE)), "", vlookup(Concatenate("P3.",A10),Order205,4,FALSE))</f>
        <v/>
      </c>
      <c r="C10" s="762" t="str">
        <f> IF(ISERROR(vlookup(Concatenate("P3.",A10),Order205,2,FALSE)), "", vlookup(Concatenate("P3.",A10),Order205,2,FALSE))</f>
        <v/>
      </c>
      <c r="D10" s="763" t="str">
        <f> IF(ISERROR(vlookup(Concatenate("P3.",A10),Order205,3,FALSE)), "", vlookup(Concatenate("P3.",A10),Order205,3,FALSE))</f>
        <v/>
      </c>
      <c r="E10" s="764" t="str">
        <f> IF(ISERROR(vlookup(Concatenate("P3.",A10),Order205,5,FALSE)), "", vlookup(Concatenate("P3.",A10),Order205,5,FALSE))</f>
        <v/>
      </c>
      <c r="F10" s="763" t="str">
        <f> IF(ISERROR(vlookup(Concatenate("P3.",A10),Order205,6,FALSE)), "", vlookup(Concatenate("P3.",A10),Order205,6,FALSE))</f>
        <v/>
      </c>
      <c r="G10" s="764" t="str">
        <f> IF(ISERROR(vlookup(Concatenate("P3.",A10),Order205,7,FALSE)), "", vlookup(Concatenate("P3.",A10),Order205,7,FALSE))</f>
        <v/>
      </c>
      <c r="H10" s="763" t="str">
        <f> IF(ISERROR(vlookup(Concatenate("P3.",A10),Order205,8,FALSE)), "", vlookup(Concatenate("P3.",A10),Order205,8,FALSE))</f>
        <v/>
      </c>
      <c r="I10" s="763" t="str">
        <f> IF(ISERROR(vlookup(Concatenate("P3.",A10),Order205,9,FALSE)), "", vlookup(Concatenate("P3.",A10),Order205,9,FALSE))</f>
        <v/>
      </c>
      <c r="J10" s="787" t="str">
        <f> IF(ISERROR(vlookup(Concatenate("P3.",A10),Order205,10,FALSE)), "", vlookup(Concatenate("P3.",A10),Order205,10,FALSE))</f>
        <v/>
      </c>
    </row>
    <row r="11" ht="22.5" customHeight="1">
      <c r="A11" s="760">
        <v>5.0</v>
      </c>
      <c r="B11" s="761" t="str">
        <f> IF(ISERROR(vlookup(Concatenate("P3.",A11),Order205,4,FALSE)), "", vlookup(Concatenate("P3.",A11),Order205,4,FALSE))</f>
        <v/>
      </c>
      <c r="C11" s="762" t="str">
        <f> IF(ISERROR(vlookup(Concatenate("P3.",A11),Order205,2,FALSE)), "", vlookup(Concatenate("P3.",A11),Order205,2,FALSE))</f>
        <v/>
      </c>
      <c r="D11" s="763" t="str">
        <f> IF(ISERROR(vlookup(Concatenate("P3.",A11),Order205,3,FALSE)), "", vlookup(Concatenate("P3.",A11),Order205,3,FALSE))</f>
        <v/>
      </c>
      <c r="E11" s="764" t="str">
        <f> IF(ISERROR(vlookup(Concatenate("P3.",A11),Order205,5,FALSE)), "", vlookup(Concatenate("P3.",A11),Order205,5,FALSE))</f>
        <v/>
      </c>
      <c r="F11" s="763" t="str">
        <f> IF(ISERROR(vlookup(Concatenate("P3.",A11),Order205,6,FALSE)), "", vlookup(Concatenate("P3.",A11),Order205,6,FALSE))</f>
        <v/>
      </c>
      <c r="G11" s="764" t="str">
        <f> IF(ISERROR(vlookup(Concatenate("P3.",A11),Order205,7,FALSE)), "", vlookup(Concatenate("P3.",A11),Order205,7,FALSE))</f>
        <v/>
      </c>
      <c r="H11" s="763" t="str">
        <f> IF(ISERROR(vlookup(Concatenate("P3.",A11),Order205,8,FALSE)), "", vlookup(Concatenate("P3.",A11),Order205,8,FALSE))</f>
        <v/>
      </c>
      <c r="I11" s="763" t="str">
        <f> IF(ISERROR(vlookup(Concatenate("P3.",A11),Order205,9,FALSE)), "", vlookup(Concatenate("P3.",A11),Order205,9,FALSE))</f>
        <v/>
      </c>
      <c r="J11" s="787" t="str">
        <f> IF(ISERROR(vlookup(Concatenate("P3.",A11),Order205,10,FALSE)), "", vlookup(Concatenate("P3.",A11),Order205,10,FALSE))</f>
        <v/>
      </c>
    </row>
    <row r="12" ht="22.5" customHeight="1">
      <c r="A12" s="760">
        <v>6.0</v>
      </c>
      <c r="B12" s="761" t="str">
        <f> IF(ISERROR(vlookup(Concatenate("P3.",A12),Order205,4,FALSE)), "", vlookup(Concatenate("P3.",A12),Order205,4,FALSE))</f>
        <v/>
      </c>
      <c r="C12" s="762" t="str">
        <f> IF(ISERROR(vlookup(Concatenate("P3.",A12),Order205,2,FALSE)), "", vlookup(Concatenate("P3.",A12),Order205,2,FALSE))</f>
        <v/>
      </c>
      <c r="D12" s="763" t="str">
        <f> IF(ISERROR(vlookup(Concatenate("P3.",A12),Order205,3,FALSE)), "", vlookup(Concatenate("P3.",A12),Order205,3,FALSE))</f>
        <v/>
      </c>
      <c r="E12" s="764" t="str">
        <f> IF(ISERROR(vlookup(Concatenate("P3.",A12),Order205,5,FALSE)), "", vlookup(Concatenate("P3.",A12),Order205,5,FALSE))</f>
        <v/>
      </c>
      <c r="F12" s="763" t="str">
        <f> IF(ISERROR(vlookup(Concatenate("P3.",A12),Order205,6,FALSE)), "", vlookup(Concatenate("P3.",A12),Order205,6,FALSE))</f>
        <v/>
      </c>
      <c r="G12" s="764" t="str">
        <f> IF(ISERROR(vlookup(Concatenate("P3.",A12),Order205,7,FALSE)), "", vlookup(Concatenate("P3.",A12),Order205,7,FALSE))</f>
        <v/>
      </c>
      <c r="H12" s="763" t="str">
        <f> IF(ISERROR(vlookup(Concatenate("P3.",A12),Order205,8,FALSE)), "", vlookup(Concatenate("P3.",A12),Order205,8,FALSE))</f>
        <v/>
      </c>
      <c r="I12" s="763" t="str">
        <f> IF(ISERROR(vlookup(Concatenate("P3.",A12),Order205,9,FALSE)), "", vlookup(Concatenate("P3.",A12),Order205,9,FALSE))</f>
        <v/>
      </c>
      <c r="J12" s="787" t="str">
        <f> IF(ISERROR(vlookup(Concatenate("P3.",A12),Order205,10,FALSE)), "", vlookup(Concatenate("P3.",A12),Order205,10,FALSE))</f>
        <v/>
      </c>
    </row>
    <row r="13" ht="22.5" customHeight="1">
      <c r="A13" s="760">
        <v>7.0</v>
      </c>
      <c r="B13" s="761" t="str">
        <f> IF(ISERROR(vlookup(Concatenate("P3.",A13),Order205,4,FALSE)), "", vlookup(Concatenate("P3.",A13),Order205,4,FALSE))</f>
        <v/>
      </c>
      <c r="C13" s="762" t="str">
        <f> IF(ISERROR(vlookup(Concatenate("P3.",A13),Order205,2,FALSE)), "", vlookup(Concatenate("P3.",A13),Order205,2,FALSE))</f>
        <v/>
      </c>
      <c r="D13" s="763" t="str">
        <f> IF(ISERROR(vlookup(Concatenate("P3.",A13),Order205,3,FALSE)), "", vlookup(Concatenate("P3.",A13),Order205,3,FALSE))</f>
        <v/>
      </c>
      <c r="E13" s="764" t="str">
        <f> IF(ISERROR(vlookup(Concatenate("P3.",A13),Order205,5,FALSE)), "", vlookup(Concatenate("P3.",A13),Order205,5,FALSE))</f>
        <v/>
      </c>
      <c r="F13" s="763" t="str">
        <f> IF(ISERROR(vlookup(Concatenate("P3.",A13),Order205,6,FALSE)), "", vlookup(Concatenate("P3.",A13),Order205,6,FALSE))</f>
        <v/>
      </c>
      <c r="G13" s="764" t="str">
        <f> IF(ISERROR(vlookup(Concatenate("P3.",A13),Order205,7,FALSE)), "", vlookup(Concatenate("P3.",A13),Order205,7,FALSE))</f>
        <v/>
      </c>
      <c r="H13" s="763" t="str">
        <f> IF(ISERROR(vlookup(Concatenate("P3.",A13),Order205,8,FALSE)), "", vlookup(Concatenate("P3.",A13),Order205,8,FALSE))</f>
        <v/>
      </c>
      <c r="I13" s="763" t="str">
        <f> IF(ISERROR(vlookup(Concatenate("P3.",A13),Order205,9,FALSE)), "", vlookup(Concatenate("P3.",A13),Order205,9,FALSE))</f>
        <v/>
      </c>
      <c r="J13" s="787" t="str">
        <f> IF(ISERROR(vlookup(Concatenate("P3.",A13),Order205,10,FALSE)), "", vlookup(Concatenate("P3.",A13),Order205,10,FALSE))</f>
        <v/>
      </c>
    </row>
    <row r="14" ht="22.5" customHeight="1">
      <c r="A14" s="760">
        <v>8.0</v>
      </c>
      <c r="B14" s="761" t="str">
        <f> IF(ISERROR(vlookup(Concatenate("P3.",A14),Order205,4,FALSE)), "", vlookup(Concatenate("P3.",A14),Order205,4,FALSE))</f>
        <v/>
      </c>
      <c r="C14" s="762" t="str">
        <f> IF(ISERROR(vlookup(Concatenate("P3.",A14),Order205,2,FALSE)), "", vlookup(Concatenate("P3.",A14),Order205,2,FALSE))</f>
        <v/>
      </c>
      <c r="D14" s="763" t="str">
        <f> IF(ISERROR(vlookup(Concatenate("P3.",A14),Order205,3,FALSE)), "", vlookup(Concatenate("P3.",A14),Order205,3,FALSE))</f>
        <v/>
      </c>
      <c r="E14" s="764" t="str">
        <f> IF(ISERROR(vlookup(Concatenate("P3.",A14),Order205,5,FALSE)), "", vlookup(Concatenate("P3.",A14),Order205,5,FALSE))</f>
        <v/>
      </c>
      <c r="F14" s="763" t="str">
        <f> IF(ISERROR(vlookup(Concatenate("P3.",A14),Order205,6,FALSE)), "", vlookup(Concatenate("P3.",A14),Order205,6,FALSE))</f>
        <v/>
      </c>
      <c r="G14" s="764" t="str">
        <f> IF(ISERROR(vlookup(Concatenate("P3.",A14),Order205,7,FALSE)), "", vlookup(Concatenate("P3.",A14),Order205,7,FALSE))</f>
        <v/>
      </c>
      <c r="H14" s="763" t="str">
        <f> IF(ISERROR(vlookup(Concatenate("P3.",A14),Order205,8,FALSE)), "", vlookup(Concatenate("P3.",A14),Order205,8,FALSE))</f>
        <v/>
      </c>
      <c r="I14" s="763" t="str">
        <f> IF(ISERROR(vlookup(Concatenate("P3.",A14),Order205,9,FALSE)), "", vlookup(Concatenate("P3.",A14),Order205,9,FALSE))</f>
        <v/>
      </c>
      <c r="J14" s="787" t="str">
        <f> IF(ISERROR(vlookup(Concatenate("P3.",A14),Order205,10,FALSE)), "", vlookup(Concatenate("P3.",A14),Order205,10,FALSE))</f>
        <v/>
      </c>
    </row>
    <row r="15" ht="22.5" customHeight="1">
      <c r="A15" s="760">
        <v>9.0</v>
      </c>
      <c r="B15" s="761" t="str">
        <f> IF(ISERROR(vlookup(Concatenate("P3.",A15),Order205,4,FALSE)), "", vlookup(Concatenate("P3.",A15),Order205,4,FALSE))</f>
        <v/>
      </c>
      <c r="C15" s="762" t="str">
        <f> IF(ISERROR(vlookup(Concatenate("P3.",A15),Order205,2,FALSE)), "", vlookup(Concatenate("P3.",A15),Order205,2,FALSE))</f>
        <v/>
      </c>
      <c r="D15" s="763" t="str">
        <f> IF(ISERROR(vlookup(Concatenate("P3.",A15),Order205,3,FALSE)), "", vlookup(Concatenate("P3.",A15),Order205,3,FALSE))</f>
        <v/>
      </c>
      <c r="E15" s="764" t="str">
        <f> IF(ISERROR(vlookup(Concatenate("P3.",A15),Order205,5,FALSE)), "", vlookup(Concatenate("P3.",A15),Order205,5,FALSE))</f>
        <v/>
      </c>
      <c r="F15" s="763" t="str">
        <f> IF(ISERROR(vlookup(Concatenate("P3.",A15),Order205,6,FALSE)), "", vlookup(Concatenate("P3.",A15),Order205,6,FALSE))</f>
        <v/>
      </c>
      <c r="G15" s="764" t="str">
        <f> IF(ISERROR(vlookup(Concatenate("P3.",A15),Order205,7,FALSE)), "", vlookup(Concatenate("P3.",A15),Order205,7,FALSE))</f>
        <v/>
      </c>
      <c r="H15" s="763" t="str">
        <f> IF(ISERROR(vlookup(Concatenate("P3.",A15),Order205,8,FALSE)), "", vlookup(Concatenate("P3.",A15),Order205,8,FALSE))</f>
        <v/>
      </c>
      <c r="I15" s="763" t="str">
        <f> IF(ISERROR(vlookup(Concatenate("P3.",A15),Order205,9,FALSE)), "", vlookup(Concatenate("P3.",A15),Order205,9,FALSE))</f>
        <v/>
      </c>
      <c r="J15" s="787" t="str">
        <f> IF(ISERROR(vlookup(Concatenate("P3.",A15),Order205,10,FALSE)), "", vlookup(Concatenate("P3.",A15),Order205,10,FALSE))</f>
        <v/>
      </c>
    </row>
    <row r="16" ht="22.5" customHeight="1">
      <c r="A16" s="760">
        <v>10.0</v>
      </c>
      <c r="B16" s="761" t="str">
        <f> IF(ISERROR(vlookup(Concatenate("P3.",A16),Order205,4,FALSE)), "", vlookup(Concatenate("P3.",A16),Order205,4,FALSE))</f>
        <v/>
      </c>
      <c r="C16" s="762" t="str">
        <f> IF(ISERROR(vlookup(Concatenate("P3.",A16),Order205,2,FALSE)), "", vlookup(Concatenate("P3.",A16),Order205,2,FALSE))</f>
        <v/>
      </c>
      <c r="D16" s="763" t="str">
        <f> IF(ISERROR(vlookup(Concatenate("P3.",A16),Order205,3,FALSE)), "", vlookup(Concatenate("P3.",A16),Order205,3,FALSE))</f>
        <v/>
      </c>
      <c r="E16" s="764" t="str">
        <f> IF(ISERROR(vlookup(Concatenate("P3.",A16),Order205,5,FALSE)), "", vlookup(Concatenate("P3.",A16),Order205,5,FALSE))</f>
        <v/>
      </c>
      <c r="F16" s="763" t="str">
        <f> IF(ISERROR(vlookup(Concatenate("P3.",A16),Order205,6,FALSE)), "", vlookup(Concatenate("P3.",A16),Order205,6,FALSE))</f>
        <v/>
      </c>
      <c r="G16" s="764" t="str">
        <f> IF(ISERROR(vlookup(Concatenate("P3.",A16),Order205,7,FALSE)), "", vlookup(Concatenate("P3.",A16),Order205,7,FALSE))</f>
        <v/>
      </c>
      <c r="H16" s="763" t="str">
        <f> IF(ISERROR(vlookup(Concatenate("P3.",A16),Order205,8,FALSE)), "", vlookup(Concatenate("P3.",A16),Order205,8,FALSE))</f>
        <v/>
      </c>
      <c r="I16" s="763" t="str">
        <f> IF(ISERROR(vlookup(Concatenate("P3.",A16),Order205,9,FALSE)), "", vlookup(Concatenate("P3.",A16),Order205,9,FALSE))</f>
        <v/>
      </c>
      <c r="J16" s="787" t="str">
        <f> IF(ISERROR(vlookup(Concatenate("P3.",A16),Order205,10,FALSE)), "", vlookup(Concatenate("P3.",A16),Order205,10,FALSE))</f>
        <v/>
      </c>
    </row>
    <row r="17" ht="22.5" customHeight="1">
      <c r="A17" s="760">
        <v>11.0</v>
      </c>
      <c r="B17" s="761" t="str">
        <f> IF(ISERROR(vlookup(Concatenate("P3.",A17),Order205,4,FALSE)), "", vlookup(Concatenate("P3.",A17),Order205,4,FALSE))</f>
        <v/>
      </c>
      <c r="C17" s="762" t="str">
        <f> IF(ISERROR(vlookup(Concatenate("P3.",A17),Order205,2,FALSE)), "", vlookup(Concatenate("P3.",A17),Order205,2,FALSE))</f>
        <v/>
      </c>
      <c r="D17" s="763" t="str">
        <f> IF(ISERROR(vlookup(Concatenate("P3.",A17),Order205,3,FALSE)), "", vlookup(Concatenate("P3.",A17),Order205,3,FALSE))</f>
        <v/>
      </c>
      <c r="E17" s="764" t="str">
        <f> IF(ISERROR(vlookup(Concatenate("P3.",A17),Order205,5,FALSE)), "", vlookup(Concatenate("P3.",A17),Order205,5,FALSE))</f>
        <v/>
      </c>
      <c r="F17" s="763" t="str">
        <f> IF(ISERROR(vlookup(Concatenate("P3.",A17),Order205,6,FALSE)), "", vlookup(Concatenate("P3.",A17),Order205,6,FALSE))</f>
        <v/>
      </c>
      <c r="G17" s="764" t="str">
        <f> IF(ISERROR(vlookup(Concatenate("P3.",A17),Order205,7,FALSE)), "", vlookup(Concatenate("P3.",A17),Order205,7,FALSE))</f>
        <v/>
      </c>
      <c r="H17" s="763" t="str">
        <f> IF(ISERROR(vlookup(Concatenate("P3.",A17),Order205,8,FALSE)), "", vlookup(Concatenate("P3.",A17),Order205,8,FALSE))</f>
        <v/>
      </c>
      <c r="I17" s="763" t="str">
        <f> IF(ISERROR(vlookup(Concatenate("P3.",A17),Order205,9,FALSE)), "", vlookup(Concatenate("P3.",A17),Order205,9,FALSE))</f>
        <v/>
      </c>
      <c r="J17" s="787" t="str">
        <f> IF(ISERROR(vlookup(Concatenate("P3.",A17),Order205,10,FALSE)), "", vlookup(Concatenate("P3.",A17),Order205,10,FALSE))</f>
        <v/>
      </c>
    </row>
    <row r="18" ht="22.5" customHeight="1">
      <c r="A18" s="760">
        <v>12.0</v>
      </c>
      <c r="B18" s="761" t="str">
        <f> IF(ISERROR(vlookup(Concatenate("P3.",A18),Order205,4,FALSE)), "", vlookup(Concatenate("P3.",A18),Order205,4,FALSE))</f>
        <v/>
      </c>
      <c r="C18" s="762" t="str">
        <f> IF(ISERROR(vlookup(Concatenate("P3.",A18),Order205,2,FALSE)), "", vlookup(Concatenate("P3.",A18),Order205,2,FALSE))</f>
        <v/>
      </c>
      <c r="D18" s="763" t="str">
        <f> IF(ISERROR(vlookup(Concatenate("P3.",A18),Order205,3,FALSE)), "", vlookup(Concatenate("P3.",A18),Order205,3,FALSE))</f>
        <v/>
      </c>
      <c r="E18" s="764" t="str">
        <f> IF(ISERROR(vlookup(Concatenate("P3.",A18),Order205,5,FALSE)), "", vlookup(Concatenate("P3.",A18),Order205,5,FALSE))</f>
        <v/>
      </c>
      <c r="F18" s="763" t="str">
        <f> IF(ISERROR(vlookup(Concatenate("P3.",A18),Order205,6,FALSE)), "", vlookup(Concatenate("P3.",A18),Order205,6,FALSE))</f>
        <v/>
      </c>
      <c r="G18" s="764" t="str">
        <f> IF(ISERROR(vlookup(Concatenate("P3.",A18),Order205,7,FALSE)), "", vlookup(Concatenate("P3.",A18),Order205,7,FALSE))</f>
        <v/>
      </c>
      <c r="H18" s="763" t="str">
        <f> IF(ISERROR(vlookup(Concatenate("P3.",A18),Order205,8,FALSE)), "", vlookup(Concatenate("P3.",A18),Order205,8,FALSE))</f>
        <v/>
      </c>
      <c r="I18" s="763" t="str">
        <f> IF(ISERROR(vlookup(Concatenate("P3.",A18),Order205,9,FALSE)), "", vlookup(Concatenate("P3.",A18),Order205,9,FALSE))</f>
        <v/>
      </c>
      <c r="J18" s="787" t="str">
        <f> IF(ISERROR(vlookup(Concatenate("P3.",A18),Order205,10,FALSE)), "", vlookup(Concatenate("P3.",A18),Order205,10,FALSE))</f>
        <v/>
      </c>
    </row>
    <row r="19" ht="22.5" customHeight="1">
      <c r="A19" s="760">
        <v>13.0</v>
      </c>
      <c r="B19" s="761" t="str">
        <f> IF(ISERROR(vlookup(Concatenate("P3.",A19),Order205,4,FALSE)), "", vlookup(Concatenate("P3.",A19),Order205,4,FALSE))</f>
        <v/>
      </c>
      <c r="C19" s="762" t="str">
        <f> IF(ISERROR(vlookup(Concatenate("P3.",A19),Order205,2,FALSE)), "", vlookup(Concatenate("P3.",A19),Order205,2,FALSE))</f>
        <v/>
      </c>
      <c r="D19" s="763" t="str">
        <f> IF(ISERROR(vlookup(Concatenate("P3.",A19),Order205,3,FALSE)), "", vlookup(Concatenate("P3.",A19),Order205,3,FALSE))</f>
        <v/>
      </c>
      <c r="E19" s="764" t="str">
        <f> IF(ISERROR(vlookup(Concatenate("P3.",A19),Order205,5,FALSE)), "", vlookup(Concatenate("P3.",A19),Order205,5,FALSE))</f>
        <v/>
      </c>
      <c r="F19" s="763" t="str">
        <f> IF(ISERROR(vlookup(Concatenate("P3.",A19),Order205,6,FALSE)), "", vlookup(Concatenate("P3.",A19),Order205,6,FALSE))</f>
        <v/>
      </c>
      <c r="G19" s="764" t="str">
        <f> IF(ISERROR(vlookup(Concatenate("P3.",A19),Order205,7,FALSE)), "", vlookup(Concatenate("P3.",A19),Order205,7,FALSE))</f>
        <v/>
      </c>
      <c r="H19" s="763" t="str">
        <f> IF(ISERROR(vlookup(Concatenate("P3.",A19),Order205,8,FALSE)), "", vlookup(Concatenate("P3.",A19),Order205,8,FALSE))</f>
        <v/>
      </c>
      <c r="I19" s="763" t="str">
        <f> IF(ISERROR(vlookup(Concatenate("P3.",A19),Order205,9,FALSE)), "", vlookup(Concatenate("P3.",A19),Order205,9,FALSE))</f>
        <v/>
      </c>
      <c r="J19" s="787" t="str">
        <f> IF(ISERROR(vlookup(Concatenate("P3.",A19),Order205,10,FALSE)), "", vlookup(Concatenate("P3.",A19),Order205,10,FALSE))</f>
        <v/>
      </c>
    </row>
    <row r="20" ht="22.5" customHeight="1">
      <c r="A20" s="760">
        <v>14.0</v>
      </c>
      <c r="B20" s="761" t="str">
        <f> IF(ISERROR(vlookup(Concatenate("P3.",A20),Order205,4,FALSE)), "", vlookup(Concatenate("P3.",A20),Order205,4,FALSE))</f>
        <v>TACTICAL</v>
      </c>
      <c r="C20" s="762" t="str">
        <f> IF(ISERROR(vlookup(Concatenate("P3.",A20),Order205,2,FALSE)), "", vlookup(Concatenate("P3.",A20),Order205,2,FALSE))</f>
        <v>CALCORD</v>
      </c>
      <c r="D20" s="763" t="str">
        <f> IF(ISERROR(vlookup(Concatenate("P3.",A20),Order205,3,FALSE)), "", vlookup(Concatenate("P3.",A20),Order205,3,FALSE))</f>
        <v>INCIDENT</v>
      </c>
      <c r="E20" s="764">
        <f> IF(ISERROR(vlookup(Concatenate("P3.",A20),Order205,5,FALSE)), "", vlookup(Concatenate("P3.",A20),Order205,5,FALSE))</f>
        <v>156.075</v>
      </c>
      <c r="F20" s="765" t="str">
        <f> IF(ISERROR(vlookup(Concatenate("P3.",A20),Order205,6,FALSE)), "", vlookup(Concatenate("P3.",A20),Order205,6,FALSE))</f>
        <v>(T6)  156.7</v>
      </c>
      <c r="G20" s="764">
        <f> IF(ISERROR(vlookup(Concatenate("P3.",A20),Order205,7,FALSE)), "", vlookup(Concatenate("P3.",A20),Order205,7,FALSE))</f>
        <v>156.075</v>
      </c>
      <c r="H20" s="765" t="str">
        <f> IF(ISERROR(vlookup(Concatenate("P3.",A20),Order205,8,FALSE)), "", vlookup(Concatenate("P3.",A20),Order205,8,FALSE))</f>
        <v>(T6)  156.7</v>
      </c>
      <c r="I20" s="765" t="str">
        <f> IF(ISERROR(vlookup(Concatenate("P3.",A20),Order205,9,FALSE)), "", vlookup(Concatenate("P3.",A20),Order205,9,FALSE))</f>
        <v>A</v>
      </c>
      <c r="J20" s="787" t="str">
        <f> IF(ISERROR(vlookup(Concatenate("P3.",A20),Order205,10,FALSE)), "", vlookup(Concatenate("P3.",A20),Order205,10,FALSE))</f>
        <v/>
      </c>
    </row>
    <row r="21" ht="22.5" customHeight="1">
      <c r="A21" s="772">
        <v>15.0</v>
      </c>
      <c r="B21" s="761" t="str">
        <f> IF(ISERROR(vlookup(Concatenate("P3.",A21),Order205,4,FALSE)), "", vlookup(Concatenate("P3.",A21),Order205,4,FALSE))</f>
        <v>A/G</v>
      </c>
      <c r="C21" s="762" t="str">
        <f> IF(ISERROR(vlookup(Concatenate("P3.",A21),Order205,2,FALSE)), "", vlookup(Concatenate("P3.",A21),Order205,2,FALSE))</f>
        <v>A/G</v>
      </c>
      <c r="D21" s="763" t="str">
        <f> IF(ISERROR(vlookup(Concatenate("P3.",A21),Order205,3,FALSE)), "", vlookup(Concatenate("P3.",A21),Order205,3,FALSE))</f>
        <v>ALL DIVS</v>
      </c>
      <c r="E21" s="764">
        <f> IF(ISERROR(vlookup(Concatenate("P3.",A21),Order205,5,FALSE)), "", vlookup(Concatenate("P3.",A21),Order205,5,FALSE))</f>
        <v>168.325</v>
      </c>
      <c r="F21" s="765" t="str">
        <f> IF(ISERROR(vlookup(Concatenate("P3.",A21),Order205,6,FALSE)), "", vlookup(Concatenate("P3.",A21),Order205,6,FALSE))</f>
        <v/>
      </c>
      <c r="G21" s="764">
        <f> IF(ISERROR(vlookup(Concatenate("P3.",A21),Order205,7,FALSE)), "", vlookup(Concatenate("P3.",A21),Order205,7,FALSE))</f>
        <v>168.325</v>
      </c>
      <c r="H21" s="765">
        <f> IF(ISERROR(vlookup(Concatenate("P3.",A21),Order205,8,FALSE)), "", vlookup(Concatenate("P3.",A21),Order205,8,FALSE))</f>
        <v>0</v>
      </c>
      <c r="I21" s="765" t="str">
        <f> IF(ISERROR(vlookup(Concatenate("P3.",A21),Order205,9,FALSE)), "", vlookup(Concatenate("P3.",A21),Order205,9,FALSE))</f>
        <v>A</v>
      </c>
      <c r="J21" s="787" t="str">
        <f> IF(ISERROR(vlookup(Concatenate("P3.",A21),Order205,10,FALSE)), "", vlookup(Concatenate("P3.",A21),Order205,10,FALSE))</f>
        <v/>
      </c>
    </row>
    <row r="22" ht="22.5" customHeight="1">
      <c r="A22" s="772">
        <v>16.0</v>
      </c>
      <c r="B22" s="761" t="str">
        <f> IF(ISERROR(vlookup(Concatenate("P3.",A22),Order205,4,FALSE)), "", vlookup(Concatenate("P3.",A22),Order205,4,FALSE))</f>
        <v>AIRGUARD</v>
      </c>
      <c r="C22" s="762" t="str">
        <f> IF(ISERROR(vlookup(Concatenate("P3.",A22),Order205,2,FALSE)), "", vlookup(Concatenate("P3.",A22),Order205,2,FALSE))</f>
        <v>GUARD</v>
      </c>
      <c r="D22" s="763" t="str">
        <f> IF(ISERROR(vlookup(Concatenate("P3.",A22),Order205,3,FALSE)), "", vlookup(Concatenate("P3.",A22),Order205,3,FALSE))</f>
        <v>EMERGENCY</v>
      </c>
      <c r="E22" s="764">
        <f> IF(ISERROR(vlookup(Concatenate("P3.",A22),Order205,5,FALSE)), "", vlookup(Concatenate("P3.",A22),Order205,5,FALSE))</f>
        <v>168.625</v>
      </c>
      <c r="F22" s="765">
        <f> IF(ISERROR(vlookup(Concatenate("P3.",A22),Order205,6,FALSE)), "", vlookup(Concatenate("P3.",A22),Order205,6,FALSE))</f>
        <v>0</v>
      </c>
      <c r="G22" s="764">
        <f> IF(ISERROR(vlookup(Concatenate("P3.",A22),Order205,7,FALSE)), "", vlookup(Concatenate("P3.",A22),Order205,7,FALSE))</f>
        <v>168.625</v>
      </c>
      <c r="H22" s="765" t="str">
        <f> IF(ISERROR(vlookup(Concatenate("P3.",A22),Order205,8,FALSE)), "", vlookup(Concatenate("P3.",A22),Order205,8,FALSE))</f>
        <v>(T1)  110.9</v>
      </c>
      <c r="I22" s="765" t="str">
        <f> IF(ISERROR(vlookup(Concatenate("P3.",A22),Order205,9,FALSE)), "", vlookup(Concatenate("P3.",A22),Order205,9,FALSE))</f>
        <v>A</v>
      </c>
      <c r="J22" s="787" t="str">
        <f> IF(ISERROR(vlookup(Concatenate("P3.",A22),Order205,10,FALSE)), "", vlookup(Concatenate("P3.",A22),Order205,10,FALSE))</f>
        <v/>
      </c>
    </row>
    <row r="23" ht="22.5" customHeight="1">
      <c r="A23" s="772">
        <v>17.0</v>
      </c>
      <c r="B23" s="761" t="str">
        <f> IF(ISERROR(vlookup(Concatenate("P3.",A23),Order205,4,FALSE)), "", vlookup(Concatenate("P3.",A23),Order205,4,FALSE))</f>
        <v/>
      </c>
      <c r="C23" s="762" t="str">
        <f> IF(ISERROR(vlookup(Concatenate("P3.",A23),Order205,2,FALSE)), "", vlookup(Concatenate("P3.",A23),Order205,2,FALSE))</f>
        <v/>
      </c>
      <c r="D23" s="763" t="str">
        <f> IF(ISERROR(vlookup(Concatenate("P3.",A23),Order205,3,FALSE)), "", vlookup(Concatenate("P3.",A23),Order205,3,FALSE))</f>
        <v/>
      </c>
      <c r="E23" s="764" t="str">
        <f> IF(ISERROR(vlookup(Concatenate("P3.",A23),Order205,5,FALSE)), "", vlookup(Concatenate("P3.",A23),Order205,5,FALSE))</f>
        <v/>
      </c>
      <c r="F23" s="763" t="str">
        <f> IF(ISERROR(vlookup(Concatenate("P3.",A23),Order205,6,FALSE)), "", vlookup(Concatenate("P3.",A23),Order205,6,FALSE))</f>
        <v/>
      </c>
      <c r="G23" s="764" t="str">
        <f> IF(ISERROR(vlookup(Concatenate("P3.",A23),Order205,7,FALSE)), "", vlookup(Concatenate("P3.",A23),Order205,7,FALSE))</f>
        <v/>
      </c>
      <c r="H23" s="763" t="str">
        <f> IF(ISERROR(vlookup(Concatenate("P3.",A23),Order205,8,FALSE)), "", vlookup(Concatenate("P3.",A23),Order205,8,FALSE))</f>
        <v/>
      </c>
      <c r="I23" s="763" t="str">
        <f> IF(ISERROR(vlookup(Concatenate("P3.",A23),Order205,9,FALSE)), "", vlookup(Concatenate("P3.",A23),Order205,9,FALSE))</f>
        <v/>
      </c>
      <c r="J23" s="787" t="str">
        <f> IF(ISERROR(vlookup(Concatenate("P3.",A23),Order205,10,FALSE)), "", vlookup(Concatenate("P3.",A23),Order205,10,FALSE))</f>
        <v/>
      </c>
    </row>
    <row r="24" ht="22.5" customHeight="1">
      <c r="A24" s="772">
        <v>18.0</v>
      </c>
      <c r="B24" s="761" t="str">
        <f> IF(ISERROR(vlookup(Concatenate("P3.",A24),Order205,4,FALSE)), "", vlookup(Concatenate("P3.",A24),Order205,4,FALSE))</f>
        <v/>
      </c>
      <c r="C24" s="762" t="str">
        <f> IF(ISERROR(vlookup(Concatenate("P3.",A24),Order205,2,FALSE)), "", vlookup(Concatenate("P3.",A24),Order205,2,FALSE))</f>
        <v/>
      </c>
      <c r="D24" s="763" t="str">
        <f> IF(ISERROR(vlookup(Concatenate("P3.",A24),Order205,3,FALSE)), "", vlookup(Concatenate("P3.",A24),Order205,3,FALSE))</f>
        <v/>
      </c>
      <c r="E24" s="764" t="str">
        <f> IF(ISERROR(vlookup(Concatenate("P3.",A24),Order205,5,FALSE)), "", vlookup(Concatenate("P3.",A24),Order205,5,FALSE))</f>
        <v/>
      </c>
      <c r="F24" s="763" t="str">
        <f> IF(ISERROR(vlookup(Concatenate("P3.",A24),Order205,6,FALSE)), "", vlookup(Concatenate("P3.",A24),Order205,6,FALSE))</f>
        <v/>
      </c>
      <c r="G24" s="764" t="str">
        <f> IF(ISERROR(vlookup(Concatenate("P3.",A24),Order205,7,FALSE)), "", vlookup(Concatenate("P3.",A24),Order205,7,FALSE))</f>
        <v/>
      </c>
      <c r="H24" s="763" t="str">
        <f> IF(ISERROR(vlookup(Concatenate("P3.",A24),Order205,8,FALSE)), "", vlookup(Concatenate("P3.",A24),Order205,8,FALSE))</f>
        <v/>
      </c>
      <c r="I24" s="763" t="str">
        <f> IF(ISERROR(vlookup(Concatenate("P3.",A24),Order205,9,FALSE)), "", vlookup(Concatenate("P3.",A24),Order205,9,FALSE))</f>
        <v/>
      </c>
      <c r="J24" s="787" t="str">
        <f> IF(ISERROR(vlookup(Concatenate("P3.",A24),Order205,10,FALSE)), "", vlookup(Concatenate("P3.",A24),Order205,10,FALSE))</f>
        <v/>
      </c>
    </row>
    <row r="25" ht="22.5" customHeight="1">
      <c r="A25" s="772">
        <v>19.0</v>
      </c>
      <c r="B25" s="761" t="str">
        <f> IF(ISERROR(vlookup(Concatenate("P3.",A25),Order205,4,FALSE)), "", vlookup(Concatenate("P3.",A25),Order205,4,FALSE))</f>
        <v/>
      </c>
      <c r="C25" s="762" t="str">
        <f> IF(ISERROR(vlookup(Concatenate("P3.",A25),Order205,2,FALSE)), "", vlookup(Concatenate("P3.",A25),Order205,2,FALSE))</f>
        <v/>
      </c>
      <c r="D25" s="763" t="str">
        <f> IF(ISERROR(vlookup(Concatenate("P3.",A25),Order205,3,FALSE)), "", vlookup(Concatenate("P3.",A25),Order205,3,FALSE))</f>
        <v/>
      </c>
      <c r="E25" s="764" t="str">
        <f> IF(ISERROR(vlookup(Concatenate("P3.",A25),Order205,5,FALSE)), "", vlookup(Concatenate("P3.",A25),Order205,5,FALSE))</f>
        <v/>
      </c>
      <c r="F25" s="763" t="str">
        <f> IF(ISERROR(vlookup(Concatenate("P3.",A25),Order205,6,FALSE)), "", vlookup(Concatenate("P3.",A25),Order205,6,FALSE))</f>
        <v/>
      </c>
      <c r="G25" s="764" t="str">
        <f> IF(ISERROR(vlookup(Concatenate("P3.",A25),Order205,7,FALSE)), "", vlookup(Concatenate("P3.",A25),Order205,7,FALSE))</f>
        <v/>
      </c>
      <c r="H25" s="763" t="str">
        <f> IF(ISERROR(vlookup(Concatenate("P3.",A25),Order205,8,FALSE)), "", vlookup(Concatenate("P3.",A25),Order205,8,FALSE))</f>
        <v/>
      </c>
      <c r="I25" s="763" t="str">
        <f> IF(ISERROR(vlookup(Concatenate("P3.",A25),Order205,9,FALSE)), "", vlookup(Concatenate("P3.",A25),Order205,9,FALSE))</f>
        <v/>
      </c>
      <c r="J25" s="787" t="str">
        <f> IF(ISERROR(vlookup(Concatenate("P3.",A25),Order205,10,FALSE)), "", vlookup(Concatenate("P3.",A25),Order205,10,FALSE))</f>
        <v/>
      </c>
    </row>
    <row r="26" ht="22.5" customHeight="1">
      <c r="A26" s="772">
        <v>20.0</v>
      </c>
      <c r="B26" s="761" t="str">
        <f> IF(ISERROR(vlookup(Concatenate("P3.",A26),Order205,4,FALSE)), "", vlookup(Concatenate("P3.",A26),Order205,4,FALSE))</f>
        <v/>
      </c>
      <c r="C26" s="762" t="str">
        <f> IF(ISERROR(vlookup(Concatenate("P3.",A26),Order205,2,FALSE)), "", vlookup(Concatenate("P3.",A26),Order205,2,FALSE))</f>
        <v/>
      </c>
      <c r="D26" s="763" t="str">
        <f> IF(ISERROR(vlookup(Concatenate("P3.",A26),Order205,3,FALSE)), "", vlookup(Concatenate("P3.",A26),Order205,3,FALSE))</f>
        <v/>
      </c>
      <c r="E26" s="764" t="str">
        <f> IF(ISERROR(vlookup(Concatenate("P3.",A26),Order205,5,FALSE)), "", vlookup(Concatenate("P3.",A26),Order205,5,FALSE))</f>
        <v/>
      </c>
      <c r="F26" s="763" t="str">
        <f> IF(ISERROR(vlookup(Concatenate("P3.",A26),Order205,6,FALSE)), "", vlookup(Concatenate("P3.",A26),Order205,6,FALSE))</f>
        <v/>
      </c>
      <c r="G26" s="764" t="str">
        <f> IF(ISERROR(vlookup(Concatenate("P3.",A26),Order205,7,FALSE)), "", vlookup(Concatenate("P3.",A26),Order205,7,FALSE))</f>
        <v/>
      </c>
      <c r="H26" s="763" t="str">
        <f> IF(ISERROR(vlookup(Concatenate("P3.",A26),Order205,8,FALSE)), "", vlookup(Concatenate("P3.",A26),Order205,8,FALSE))</f>
        <v/>
      </c>
      <c r="I26" s="763" t="str">
        <f> IF(ISERROR(vlookup(Concatenate("P3.",A26),Order205,9,FALSE)), "", vlookup(Concatenate("P3.",A26),Order205,9,FALSE))</f>
        <v/>
      </c>
      <c r="J26" s="787" t="str">
        <f> IF(ISERROR(vlookup(Concatenate("P3.",A26),Order205,10,FALSE)), "", vlookup(Concatenate("P3.",A26),Order205,10,FALSE))</f>
        <v/>
      </c>
    </row>
    <row r="27">
      <c r="A27" s="774" t="s">
        <v>558</v>
      </c>
      <c r="B27" s="74"/>
      <c r="C27" s="74"/>
      <c r="D27" s="74"/>
      <c r="E27" s="74"/>
      <c r="F27" s="74"/>
      <c r="G27" s="74"/>
      <c r="H27" s="74"/>
      <c r="I27" s="74"/>
      <c r="J27" s="45"/>
    </row>
    <row r="28">
      <c r="A28" s="775" t="str">
        <f>'205 Worksheet'!A148</f>
        <v>This is a test</v>
      </c>
      <c r="B28" s="165"/>
      <c r="C28" s="165"/>
      <c r="D28" s="165"/>
      <c r="E28" s="165"/>
      <c r="F28" s="165"/>
      <c r="G28" s="165"/>
      <c r="H28" s="165"/>
      <c r="I28" s="165"/>
      <c r="J28" s="210"/>
    </row>
    <row r="29">
      <c r="A29" s="104"/>
      <c r="B29" s="77"/>
      <c r="C29" s="77"/>
      <c r="D29" s="77"/>
      <c r="E29" s="77"/>
      <c r="F29" s="77"/>
      <c r="G29" s="77"/>
      <c r="H29" s="77"/>
      <c r="I29" s="77"/>
      <c r="J29" s="55"/>
    </row>
    <row r="30" ht="24.75" customHeight="1">
      <c r="A30" s="776" t="str">
        <f>Concatenate("6. Prepared by (Communications Unit Leader): Name: ", '205 Worksheet'!E150)  </f>
        <v>6. Prepared by (Communications Unit Leader): Name: </v>
      </c>
      <c r="B30" s="74"/>
      <c r="C30" s="74"/>
      <c r="D30" s="74"/>
      <c r="E30" s="74"/>
      <c r="F30" s="45"/>
      <c r="G30" s="777" t="s">
        <v>1134</v>
      </c>
      <c r="H30" s="74"/>
      <c r="I30" s="74"/>
      <c r="J30" s="45"/>
    </row>
    <row r="31">
      <c r="A31" s="778" t="s">
        <v>1135</v>
      </c>
      <c r="B31" s="77"/>
      <c r="C31" s="77"/>
      <c r="D31" s="77"/>
      <c r="E31" s="281"/>
      <c r="F31" s="389" t="s">
        <v>332</v>
      </c>
      <c r="G31" s="780" t="s">
        <v>389</v>
      </c>
      <c r="H31" s="781">
        <f>G3-1</f>
        <v>43892</v>
      </c>
      <c r="I31" s="782"/>
      <c r="J31" s="783">
        <f>'205 Worksheet'!E4</f>
        <v>1930</v>
      </c>
    </row>
    <row r="32" hidden="1">
      <c r="J32" s="788" t="s">
        <v>414</v>
      </c>
    </row>
    <row r="33" hidden="1"/>
    <row r="34" hidden="1"/>
    <row r="35" hidden="1"/>
    <row r="36" hidden="1"/>
    <row r="37" hidden="1"/>
    <row r="38" hidden="1"/>
    <row r="39" hidden="1"/>
    <row r="40" hidden="1"/>
    <row r="41" hidden="1"/>
    <row r="42" hidden="1"/>
    <row r="43" hidden="1"/>
    <row r="44" hidden="1"/>
    <row r="45" hidden="1"/>
    <row r="46" hidden="1"/>
    <row r="47" hidden="1"/>
    <row r="48" hidden="1"/>
    <row r="49" hidden="1"/>
    <row r="50" hidden="1"/>
    <row r="51" hidden="1"/>
    <row r="52" hidden="1"/>
    <row r="53" hidden="1"/>
    <row r="54" hidden="1"/>
    <row r="55" hidden="1"/>
    <row r="56" hidden="1"/>
    <row r="57" hidden="1"/>
    <row r="58" hidden="1"/>
    <row r="59" hidden="1"/>
    <row r="60" hidden="1"/>
    <row r="61" hidden="1"/>
    <row r="62" hidden="1"/>
    <row r="63" hidden="1"/>
    <row r="64" hidden="1"/>
    <row r="65" hidden="1"/>
    <row r="66" hidden="1"/>
    <row r="67" hidden="1"/>
    <row r="68" hidden="1"/>
    <row r="69" hidden="1"/>
    <row r="70" hidden="1"/>
    <row r="71" hidden="1"/>
    <row r="72" hidden="1"/>
    <row r="73" hidden="1"/>
    <row r="74" hidden="1"/>
    <row r="75" hidden="1"/>
    <row r="76" hidden="1"/>
    <row r="77" hidden="1"/>
    <row r="78" hidden="1"/>
    <row r="79" hidden="1"/>
    <row r="80" hidden="1"/>
    <row r="81" hidden="1"/>
    <row r="82" hidden="1"/>
    <row r="83" hidden="1"/>
    <row r="84" hidden="1"/>
    <row r="85" hidden="1"/>
    <row r="86" hidden="1"/>
    <row r="87" hidden="1"/>
    <row r="88" hidden="1"/>
    <row r="89" hidden="1"/>
    <row r="90" hidden="1"/>
    <row r="91" hidden="1"/>
    <row r="92" hidden="1"/>
    <row r="93" hidden="1"/>
    <row r="94" hidden="1"/>
    <row r="95" hidden="1"/>
    <row r="96" hidden="1"/>
    <row r="97" hidden="1"/>
    <row r="98" hidden="1"/>
    <row r="99" hidden="1"/>
    <row r="100" hidden="1"/>
    <row r="101" hidden="1"/>
    <row r="102" hidden="1"/>
    <row r="103" hidden="1"/>
    <row r="104" hidden="1"/>
    <row r="105" hidden="1"/>
    <row r="106" hidden="1"/>
    <row r="107" hidden="1"/>
    <row r="108" hidden="1"/>
    <row r="109" hidden="1"/>
    <row r="110" hidden="1"/>
    <row r="111" hidden="1"/>
    <row r="112" hidden="1"/>
    <row r="113" hidden="1"/>
    <row r="114" hidden="1"/>
    <row r="115" hidden="1"/>
    <row r="116" hidden="1"/>
    <row r="117" hidden="1"/>
    <row r="118" hidden="1"/>
    <row r="119" hidden="1"/>
    <row r="120" hidden="1"/>
    <row r="121" hidden="1"/>
    <row r="122" hidden="1"/>
    <row r="123" hidden="1"/>
    <row r="124" hidden="1"/>
    <row r="125" hidden="1"/>
    <row r="126" hidden="1"/>
    <row r="127" hidden="1"/>
    <row r="128" hidden="1"/>
    <row r="129" hidden="1"/>
    <row r="130" hidden="1"/>
    <row r="131" hidden="1"/>
    <row r="132" hidden="1"/>
    <row r="133" hidden="1"/>
    <row r="134" hidden="1"/>
    <row r="135" hidden="1"/>
    <row r="136" hidden="1"/>
    <row r="137" hidden="1"/>
    <row r="138" hidden="1"/>
    <row r="139" hidden="1"/>
    <row r="140" hidden="1"/>
    <row r="141" hidden="1"/>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hidden="1"/>
    <row r="498" hidden="1"/>
    <row r="499" hidden="1"/>
    <row r="500" hidden="1"/>
    <row r="501" hidden="1"/>
    <row r="502" hidden="1"/>
    <row r="503" hidden="1"/>
    <row r="504" hidden="1"/>
    <row r="505" hidden="1"/>
    <row r="506" hidden="1"/>
    <row r="507" hidden="1"/>
    <row r="508" hidden="1"/>
    <row r="509" hidden="1"/>
    <row r="510" hidden="1"/>
    <row r="511" hidden="1"/>
    <row r="512"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hidden="1"/>
    <row r="546" hidden="1"/>
    <row r="547" hidden="1"/>
    <row r="548" hidden="1"/>
    <row r="549" hidden="1"/>
    <row r="550" hidden="1"/>
    <row r="551" hidden="1"/>
    <row r="552" hidden="1"/>
    <row r="553" hidden="1"/>
    <row r="554" hidden="1"/>
    <row r="555" hidden="1"/>
    <row r="556" hidden="1"/>
    <row r="557" hidden="1"/>
    <row r="558" hidden="1"/>
    <row r="559" hidden="1"/>
    <row r="560" hidden="1"/>
    <row r="561" hidden="1"/>
    <row r="562" hidden="1"/>
    <row r="563" hidden="1"/>
    <row r="564" hidden="1"/>
    <row r="565" hidden="1"/>
    <row r="566" hidden="1"/>
    <row r="567" hidden="1"/>
    <row r="568" hidden="1"/>
    <row r="569" hidden="1"/>
    <row r="570" hidden="1"/>
    <row r="571" hidden="1"/>
    <row r="572" hidden="1"/>
    <row r="573" hidden="1"/>
    <row r="574" hidden="1"/>
    <row r="575" hidden="1"/>
    <row r="576" hidden="1"/>
    <row r="577" hidden="1"/>
    <row r="578" hidden="1"/>
    <row r="579" hidden="1"/>
    <row r="580" hidden="1"/>
    <row r="581" hidden="1"/>
    <row r="582" hidden="1"/>
    <row r="583" hidden="1"/>
    <row r="584" hidden="1"/>
    <row r="585" hidden="1"/>
    <row r="586" hidden="1"/>
    <row r="587" hidden="1"/>
    <row r="588" hidden="1"/>
    <row r="589" hidden="1"/>
    <row r="590" hidden="1"/>
    <row r="591" hidden="1"/>
    <row r="592" hidden="1"/>
    <row r="593" hidden="1"/>
    <row r="594" hidden="1"/>
    <row r="595" hidden="1"/>
    <row r="596" hidden="1"/>
    <row r="597" hidden="1"/>
    <row r="598" hidden="1"/>
    <row r="599" hidden="1"/>
    <row r="600" hidden="1"/>
    <row r="601" hidden="1"/>
    <row r="602" hidden="1"/>
    <row r="603" hidden="1"/>
    <row r="604" hidden="1"/>
    <row r="605" hidden="1"/>
    <row r="606" hidden="1"/>
    <row r="607" hidden="1"/>
    <row r="608" hidden="1"/>
    <row r="609" hidden="1"/>
    <row r="610" hidden="1"/>
    <row r="611" hidden="1"/>
    <row r="612" hidden="1"/>
    <row r="613" hidden="1"/>
    <row r="614" hidden="1"/>
    <row r="615" hidden="1"/>
    <row r="616" hidden="1"/>
    <row r="617" hidden="1"/>
    <row r="618" hidden="1"/>
    <row r="619" hidden="1"/>
    <row r="620" hidden="1"/>
    <row r="621" hidden="1"/>
    <row r="622" hidden="1"/>
    <row r="623" hidden="1"/>
    <row r="624" hidden="1"/>
    <row r="625" hidden="1"/>
    <row r="626" hidden="1"/>
    <row r="627" hidden="1"/>
    <row r="628" hidden="1"/>
    <row r="629" hidden="1"/>
    <row r="630" hidden="1"/>
    <row r="631" hidden="1"/>
    <row r="632" hidden="1"/>
    <row r="633" hidden="1"/>
    <row r="634" hidden="1"/>
    <row r="635" hidden="1"/>
    <row r="636" hidden="1"/>
    <row r="637" hidden="1"/>
    <row r="638" hidden="1"/>
    <row r="639" hidden="1"/>
    <row r="640" hidden="1"/>
    <row r="641" hidden="1"/>
    <row r="642" hidden="1"/>
    <row r="643" hidden="1"/>
    <row r="644" hidden="1"/>
    <row r="645" hidden="1"/>
    <row r="646" hidden="1"/>
    <row r="647" hidden="1"/>
    <row r="648" hidden="1"/>
    <row r="649" hidden="1"/>
    <row r="650" hidden="1"/>
    <row r="651" hidden="1"/>
    <row r="652" hidden="1"/>
    <row r="653" hidden="1"/>
    <row r="654" hidden="1"/>
    <row r="655" hidden="1"/>
    <row r="656" hidden="1"/>
    <row r="657" hidden="1"/>
    <row r="658" hidden="1"/>
    <row r="659" hidden="1"/>
    <row r="660" hidden="1"/>
    <row r="661" hidden="1"/>
    <row r="662" hidden="1"/>
    <row r="663" hidden="1"/>
    <row r="664" hidden="1"/>
    <row r="665" hidden="1"/>
    <row r="666" hidden="1"/>
    <row r="667" hidden="1"/>
    <row r="668" hidden="1"/>
    <row r="669" hidden="1"/>
    <row r="670" hidden="1"/>
    <row r="671" hidden="1"/>
    <row r="672" hidden="1"/>
    <row r="673" hidden="1"/>
    <row r="674" hidden="1"/>
    <row r="675" hidden="1"/>
    <row r="676" hidden="1"/>
    <row r="677" hidden="1"/>
    <row r="678" hidden="1"/>
    <row r="679" hidden="1"/>
    <row r="680" hidden="1"/>
    <row r="681" hidden="1"/>
    <row r="682" hidden="1"/>
    <row r="683" hidden="1"/>
    <row r="684" hidden="1"/>
    <row r="685" hidden="1"/>
    <row r="686" hidden="1"/>
    <row r="687" hidden="1"/>
    <row r="688" hidden="1"/>
    <row r="689" hidden="1"/>
    <row r="690" hidden="1"/>
    <row r="691" hidden="1"/>
    <row r="692" hidden="1"/>
    <row r="693" hidden="1"/>
    <row r="694" hidden="1"/>
    <row r="695" hidden="1"/>
    <row r="696" hidden="1"/>
    <row r="697" hidden="1"/>
    <row r="698" hidden="1"/>
    <row r="699" hidden="1"/>
    <row r="700" hidden="1"/>
    <row r="701" hidden="1"/>
    <row r="702" hidden="1"/>
    <row r="703" hidden="1"/>
    <row r="704" hidden="1"/>
    <row r="705" hidden="1"/>
    <row r="706" hidden="1"/>
    <row r="707" hidden="1"/>
    <row r="708" hidden="1"/>
    <row r="709" hidden="1"/>
    <row r="710" hidden="1"/>
    <row r="711" hidden="1"/>
    <row r="712" hidden="1"/>
    <row r="713" hidden="1"/>
    <row r="714" hidden="1"/>
    <row r="715" hidden="1"/>
    <row r="716" hidden="1"/>
    <row r="717" hidden="1"/>
    <row r="718" hidden="1"/>
    <row r="719" hidden="1"/>
    <row r="720" hidden="1"/>
    <row r="721" hidden="1"/>
    <row r="722" hidden="1"/>
    <row r="723" hidden="1"/>
    <row r="724" hidden="1"/>
    <row r="725" hidden="1"/>
    <row r="726" hidden="1"/>
    <row r="727" hidden="1"/>
    <row r="728" hidden="1"/>
    <row r="729" hidden="1"/>
    <row r="730" hidden="1"/>
    <row r="731" hidden="1"/>
    <row r="732" hidden="1"/>
    <row r="733" hidden="1"/>
    <row r="734" hidden="1"/>
    <row r="735" hidden="1"/>
    <row r="736" hidden="1"/>
    <row r="737" hidden="1"/>
    <row r="738" hidden="1"/>
    <row r="739" hidden="1"/>
    <row r="740" hidden="1"/>
    <row r="741" hidden="1"/>
    <row r="742" hidden="1"/>
    <row r="743" hidden="1"/>
    <row r="744" hidden="1"/>
    <row r="745" hidden="1"/>
    <row r="746" hidden="1"/>
    <row r="747" hidden="1"/>
    <row r="748" hidden="1"/>
    <row r="749" hidden="1"/>
    <row r="750" hidden="1"/>
    <row r="751" hidden="1"/>
    <row r="752" hidden="1"/>
    <row r="753" hidden="1"/>
    <row r="754" hidden="1"/>
    <row r="755" hidden="1"/>
    <row r="756" hidden="1"/>
    <row r="757" hidden="1"/>
    <row r="758" hidden="1"/>
    <row r="759" hidden="1"/>
    <row r="760" hidden="1"/>
    <row r="761" hidden="1"/>
    <row r="762" hidden="1"/>
    <row r="763" hidden="1"/>
    <row r="764" hidden="1"/>
    <row r="765" hidden="1"/>
    <row r="766" hidden="1"/>
    <row r="767" hidden="1"/>
    <row r="768" hidden="1"/>
    <row r="769" hidden="1"/>
    <row r="770" hidden="1"/>
    <row r="771" hidden="1"/>
    <row r="772" hidden="1"/>
    <row r="773" hidden="1"/>
    <row r="774" hidden="1"/>
    <row r="775" hidden="1"/>
    <row r="776" hidden="1"/>
    <row r="777" hidden="1"/>
    <row r="778" hidden="1"/>
    <row r="779" hidden="1"/>
    <row r="780" hidden="1"/>
    <row r="781" hidden="1"/>
    <row r="782" hidden="1"/>
    <row r="783" hidden="1"/>
    <row r="784" hidden="1"/>
    <row r="785" hidden="1"/>
    <row r="786" hidden="1"/>
    <row r="787" hidden="1"/>
    <row r="788" hidden="1"/>
    <row r="789" hidden="1"/>
    <row r="790" hidden="1"/>
    <row r="791" hidden="1"/>
    <row r="792" hidden="1"/>
    <row r="793" hidden="1"/>
    <row r="794" hidden="1"/>
    <row r="795" hidden="1"/>
    <row r="796" hidden="1"/>
    <row r="797" hidden="1"/>
    <row r="798" hidden="1"/>
    <row r="799" hidden="1"/>
    <row r="800" hidden="1"/>
    <row r="801" hidden="1"/>
    <row r="802" hidden="1"/>
    <row r="803" hidden="1"/>
    <row r="804" hidden="1"/>
    <row r="805" hidden="1"/>
    <row r="806" hidden="1"/>
    <row r="807" hidden="1"/>
    <row r="808" hidden="1"/>
    <row r="809" hidden="1"/>
    <row r="810" hidden="1"/>
    <row r="811" hidden="1"/>
    <row r="812" hidden="1"/>
    <row r="813" hidden="1"/>
    <row r="814" hidden="1"/>
    <row r="815" hidden="1"/>
    <row r="816" hidden="1"/>
    <row r="817" hidden="1"/>
    <row r="818" hidden="1"/>
    <row r="819" hidden="1"/>
    <row r="820" hidden="1"/>
    <row r="821" hidden="1"/>
    <row r="822" hidden="1"/>
    <row r="823" hidden="1"/>
    <row r="824" hidden="1"/>
    <row r="825" hidden="1"/>
    <row r="826" hidden="1"/>
    <row r="827" hidden="1"/>
    <row r="828" hidden="1"/>
    <row r="829" hidden="1"/>
    <row r="830" hidden="1"/>
    <row r="831" hidden="1"/>
    <row r="832" hidden="1"/>
    <row r="833" hidden="1"/>
    <row r="834" hidden="1"/>
    <row r="835" hidden="1"/>
    <row r="836" hidden="1"/>
    <row r="837" hidden="1"/>
    <row r="838" hidden="1"/>
    <row r="839" hidden="1"/>
    <row r="840" hidden="1"/>
    <row r="841" hidden="1"/>
    <row r="842" hidden="1"/>
    <row r="843" hidden="1"/>
    <row r="844" hidden="1"/>
    <row r="845" hidden="1"/>
    <row r="846" hidden="1"/>
    <row r="847" hidden="1"/>
    <row r="848" hidden="1"/>
    <row r="849" hidden="1"/>
    <row r="850" hidden="1"/>
    <row r="851" hidden="1"/>
    <row r="852" hidden="1"/>
    <row r="853" hidden="1"/>
    <row r="854" hidden="1"/>
    <row r="855" hidden="1"/>
    <row r="856" hidden="1"/>
    <row r="857" hidden="1"/>
    <row r="858" hidden="1"/>
    <row r="859" hidden="1"/>
    <row r="860" hidden="1"/>
    <row r="861" hidden="1"/>
    <row r="862" hidden="1"/>
    <row r="863" hidden="1"/>
    <row r="864" hidden="1"/>
    <row r="865" hidden="1"/>
    <row r="866" hidden="1"/>
    <row r="867" hidden="1"/>
    <row r="868" hidden="1"/>
    <row r="869" hidden="1"/>
    <row r="870" hidden="1"/>
    <row r="871" hidden="1"/>
    <row r="872" hidden="1"/>
    <row r="873" hidden="1"/>
    <row r="874" hidden="1"/>
    <row r="875" hidden="1"/>
    <row r="876" hidden="1"/>
    <row r="877" hidden="1"/>
    <row r="878" hidden="1"/>
    <row r="879" hidden="1"/>
    <row r="880" hidden="1"/>
    <row r="881" hidden="1"/>
    <row r="882" hidden="1"/>
    <row r="883" hidden="1"/>
    <row r="884" hidden="1"/>
    <row r="885" hidden="1"/>
    <row r="886" hidden="1"/>
    <row r="887" hidden="1"/>
    <row r="888" hidden="1"/>
    <row r="889" hidden="1"/>
    <row r="890" hidden="1"/>
    <row r="891" hidden="1"/>
    <row r="892" hidden="1"/>
    <row r="893" hidden="1"/>
    <row r="894" hidden="1"/>
    <row r="895" hidden="1"/>
    <row r="896" hidden="1"/>
    <row r="897" hidden="1"/>
    <row r="898" hidden="1"/>
    <row r="899" hidden="1"/>
    <row r="900" hidden="1"/>
    <row r="901" hidden="1"/>
    <row r="902" hidden="1"/>
    <row r="903" hidden="1"/>
    <row r="904" hidden="1"/>
    <row r="905" hidden="1"/>
    <row r="906" hidden="1"/>
    <row r="907" hidden="1"/>
    <row r="908" hidden="1"/>
    <row r="909" hidden="1"/>
    <row r="910" hidden="1"/>
    <row r="911" hidden="1"/>
    <row r="912" hidden="1"/>
    <row r="913" hidden="1"/>
    <row r="914" hidden="1"/>
    <row r="915" hidden="1"/>
    <row r="916" hidden="1"/>
    <row r="917" hidden="1"/>
    <row r="918" hidden="1"/>
    <row r="919" hidden="1"/>
    <row r="920" hidden="1"/>
    <row r="921" hidden="1"/>
    <row r="922" hidden="1"/>
    <row r="923" hidden="1"/>
    <row r="924" hidden="1"/>
    <row r="925" hidden="1"/>
    <row r="926" hidden="1"/>
    <row r="927" hidden="1"/>
    <row r="928" hidden="1"/>
    <row r="929" hidden="1"/>
    <row r="930" hidden="1"/>
    <row r="931" hidden="1"/>
    <row r="932" hidden="1"/>
    <row r="933" hidden="1"/>
    <row r="934" hidden="1"/>
    <row r="935" hidden="1"/>
    <row r="936" hidden="1"/>
    <row r="937" hidden="1"/>
    <row r="938" hidden="1"/>
    <row r="939" hidden="1"/>
    <row r="940" hidden="1"/>
    <row r="941" hidden="1"/>
    <row r="942" hidden="1"/>
    <row r="943" hidden="1"/>
    <row r="944" hidden="1"/>
    <row r="945" hidden="1"/>
    <row r="946" hidden="1"/>
    <row r="947" hidden="1"/>
    <row r="948" hidden="1"/>
    <row r="949" hidden="1"/>
    <row r="950" hidden="1"/>
    <row r="951" hidden="1"/>
    <row r="952" hidden="1"/>
    <row r="953" hidden="1"/>
    <row r="954" hidden="1"/>
    <row r="955" hidden="1"/>
    <row r="956" hidden="1"/>
    <row r="957" hidden="1"/>
    <row r="958" hidden="1"/>
    <row r="959" hidden="1"/>
    <row r="960" hidden="1"/>
    <row r="961" hidden="1"/>
    <row r="962" hidden="1"/>
    <row r="963" hidden="1"/>
    <row r="964" hidden="1"/>
    <row r="965" hidden="1"/>
    <row r="966" hidden="1"/>
    <row r="967" hidden="1"/>
    <row r="968" hidden="1"/>
    <row r="969" hidden="1"/>
    <row r="970" hidden="1"/>
    <row r="971" hidden="1"/>
    <row r="972" hidden="1"/>
    <row r="973" hidden="1"/>
    <row r="974" hidden="1"/>
    <row r="975" hidden="1"/>
    <row r="976" hidden="1"/>
    <row r="977" hidden="1"/>
    <row r="978" hidden="1"/>
    <row r="979" hidden="1"/>
    <row r="980" hidden="1"/>
    <row r="981" hidden="1"/>
    <row r="982" hidden="1"/>
    <row r="983" hidden="1"/>
    <row r="984" hidden="1"/>
    <row r="985" hidden="1"/>
    <row r="986" hidden="1"/>
    <row r="987" hidden="1"/>
    <row r="988" hidden="1"/>
    <row r="989" hidden="1"/>
    <row r="990" hidden="1"/>
    <row r="991" hidden="1"/>
    <row r="992" hidden="1"/>
    <row r="993" hidden="1"/>
    <row r="994" hidden="1"/>
    <row r="995" hidden="1"/>
    <row r="996" hidden="1"/>
    <row r="997" hidden="1"/>
    <row r="998" hidden="1"/>
    <row r="999" hidden="1"/>
    <row r="1000" hidden="1"/>
    <row r="1001" hidden="1"/>
    <row r="1002" hidden="1"/>
    <row r="1003" hidden="1"/>
    <row r="1004" hidden="1"/>
  </sheetData>
  <mergeCells count="11">
    <mergeCell ref="A28:J29"/>
    <mergeCell ref="A30:F30"/>
    <mergeCell ref="G30:J30"/>
    <mergeCell ref="A31:D31"/>
    <mergeCell ref="A1:H1"/>
    <mergeCell ref="A2:C2"/>
    <mergeCell ref="A3:C3"/>
    <mergeCell ref="A4:C4"/>
    <mergeCell ref="A5:C5"/>
    <mergeCell ref="D5:J5"/>
    <mergeCell ref="A27:J27"/>
  </mergeCells>
  <printOptions horizontalCentered="1"/>
  <pageMargins bottom="0.2575609756097561" footer="0.0" header="0.0" left="0.25" right="0.25" top="0.27902439024390246"/>
  <pageSetup orientation="landscape" pageOrder="overThenDown"/>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pageSetUpPr fitToPage="1"/>
  </sheetPr>
  <sheetViews>
    <sheetView showGridLines="0" workbookViewId="0"/>
  </sheetViews>
  <sheetFormatPr customHeight="1" defaultColWidth="12.63" defaultRowHeight="15.75"/>
  <cols>
    <col customWidth="1" min="1" max="1" width="5.25"/>
    <col customWidth="1" min="2" max="2" width="14.25"/>
    <col customWidth="1" min="3" max="3" width="12.38"/>
    <col customWidth="1" min="4" max="4" width="19.13"/>
    <col customWidth="1" min="5" max="5" width="9.38"/>
    <col customWidth="1" min="6" max="6" width="9.25"/>
    <col customWidth="1" min="7" max="7" width="9.5"/>
    <col customWidth="1" min="8" max="9" width="9.63"/>
    <col customWidth="1" min="10" max="10" width="32.75"/>
  </cols>
  <sheetData>
    <row r="1">
      <c r="A1" s="419" t="s">
        <v>1131</v>
      </c>
      <c r="B1" s="77"/>
      <c r="C1" s="77"/>
      <c r="D1" s="77"/>
      <c r="E1" s="77"/>
      <c r="F1" s="77"/>
      <c r="G1" s="77"/>
      <c r="H1" s="77"/>
      <c r="I1" s="784"/>
      <c r="J1" s="785" t="s">
        <v>414</v>
      </c>
    </row>
    <row r="2">
      <c r="A2" s="399" t="s">
        <v>282</v>
      </c>
      <c r="B2" s="165"/>
      <c r="C2" s="165"/>
      <c r="D2" s="432" t="s">
        <v>471</v>
      </c>
      <c r="F2" s="432" t="s">
        <v>472</v>
      </c>
      <c r="G2" s="581"/>
      <c r="H2" s="581"/>
      <c r="I2" s="581"/>
      <c r="J2" s="749"/>
    </row>
    <row r="3">
      <c r="A3" s="404" t="str">
        <f>IncName</f>
        <v>NO NAME</v>
      </c>
      <c r="D3" s="750" t="s">
        <v>473</v>
      </c>
      <c r="E3" s="751">
        <f>G3-1</f>
        <v>43892</v>
      </c>
      <c r="F3" s="423" t="s">
        <v>284</v>
      </c>
      <c r="G3" s="407">
        <f>OpDate</f>
        <v>43893</v>
      </c>
      <c r="H3" s="408" t="s">
        <v>130</v>
      </c>
      <c r="I3" s="408"/>
      <c r="J3" s="752">
        <f>OpDateTo</f>
        <v>43894</v>
      </c>
    </row>
    <row r="4">
      <c r="A4" s="786" t="str">
        <f>'205 Worksheet'!B94</f>
        <v>Page 4</v>
      </c>
      <c r="B4" s="77"/>
      <c r="C4" s="77"/>
      <c r="D4" s="754" t="s">
        <v>476</v>
      </c>
      <c r="E4" s="755">
        <f>'205 Worksheet'!E4</f>
        <v>1930</v>
      </c>
      <c r="F4" s="427" t="s">
        <v>131</v>
      </c>
      <c r="G4" s="756" t="str">
        <f>OpStart</f>
        <v>0700</v>
      </c>
      <c r="H4" s="757" t="s">
        <v>133</v>
      </c>
      <c r="I4" s="757"/>
      <c r="J4" s="758" t="str">
        <f>OpEnd</f>
        <v>0700</v>
      </c>
    </row>
    <row r="5">
      <c r="A5" s="444" t="s">
        <v>478</v>
      </c>
      <c r="B5" s="74"/>
      <c r="C5" s="45"/>
      <c r="D5" s="759"/>
      <c r="E5" s="74"/>
      <c r="F5" s="74"/>
      <c r="G5" s="74"/>
      <c r="H5" s="74"/>
      <c r="I5" s="74"/>
      <c r="J5" s="45"/>
    </row>
    <row r="6">
      <c r="A6" s="601" t="s">
        <v>1132</v>
      </c>
      <c r="B6" s="604" t="s">
        <v>485</v>
      </c>
      <c r="C6" s="604" t="s">
        <v>352</v>
      </c>
      <c r="D6" s="603" t="s">
        <v>1133</v>
      </c>
      <c r="E6" s="602" t="s">
        <v>486</v>
      </c>
      <c r="F6" s="602" t="s">
        <v>487</v>
      </c>
      <c r="G6" s="602" t="s">
        <v>488</v>
      </c>
      <c r="H6" s="602" t="s">
        <v>489</v>
      </c>
      <c r="I6" s="602" t="s">
        <v>433</v>
      </c>
      <c r="J6" s="602" t="s">
        <v>434</v>
      </c>
    </row>
    <row r="7" ht="22.5" customHeight="1">
      <c r="A7" s="760">
        <v>1.0</v>
      </c>
      <c r="B7" s="761" t="str">
        <f> IF(ISERROR(vlookup(Concatenate("P4.",A7),Order205,4,FALSE)), "", vlookup(Concatenate("P4.",A7),Order205,4,FALSE))</f>
        <v>COMMAND</v>
      </c>
      <c r="C7" s="762" t="str">
        <f> IF(ISERROR(vlookup(Concatenate("P4.",A7),Order205,2,FALSE)), "", vlookup(Concatenate("P4.",A7),Order205,2,FALSE))</f>
        <v>CDF C3</v>
      </c>
      <c r="D7" s="763" t="str">
        <f> IF(ISERROR(vlookup(Concatenate("P4.",A7),Order205,3,FALSE)), "", vlookup(Concatenate("P4.",A7),Order205,3,FALSE))</f>
        <v>FIRE NET</v>
      </c>
      <c r="E7" s="764">
        <f> IF(ISERROR(vlookup(Concatenate("P4.",A7),Order205,5,FALSE)), "", vlookup(Concatenate("P4.",A7),Order205,5,FALSE))</f>
        <v>151.34</v>
      </c>
      <c r="F7" s="765" t="str">
        <f> IF(ISERROR(vlookup(Concatenate("P4.",A7),Order205,6,FALSE)), "", vlookup(Concatenate("P4.",A7),Order205,6,FALSE))</f>
        <v>(T8)  103.5</v>
      </c>
      <c r="G7" s="764">
        <f> IF(ISERROR(vlookup(Concatenate("P4.",A7),Order205,7,FALSE)), "", vlookup(Concatenate("P4.",A7),Order205,7,FALSE))</f>
        <v>159.345</v>
      </c>
      <c r="H7" s="765" t="str">
        <f> IF(ISERROR(vlookup(Concatenate("P4.",A7),Order205,8,FALSE)), "", vlookup(Concatenate("P4.",A7),Order205,8,FALSE))</f>
        <v>OST</v>
      </c>
      <c r="I7" s="765" t="str">
        <f> IF(ISERROR(vlookup(Concatenate("P4.",A7),Order205,9,FALSE)), "", vlookup(Concatenate("P4.",A7),Order205,9,FALSE))</f>
        <v>A</v>
      </c>
      <c r="J7" s="787" t="str">
        <f> IF(ISERROR(vlookup(Concatenate("P4.",A7),Order205,10,FALSE)), "", vlookup(Concatenate("P4.",A7),Order205,10,FALSE))</f>
        <v/>
      </c>
    </row>
    <row r="8" ht="22.5" customHeight="1">
      <c r="A8" s="760">
        <v>2.0</v>
      </c>
      <c r="B8" s="761" t="str">
        <f> IF(ISERROR(vlookup(Concatenate("P4.",A8),Order205,4,FALSE)), "", vlookup(Concatenate("P4.",A8),Order205,4,FALSE))</f>
        <v/>
      </c>
      <c r="C8" s="762" t="str">
        <f> IF(ISERROR(vlookup(Concatenate("P4.",A8),Order205,2,FALSE)), "", vlookup(Concatenate("P4.",A8),Order205,2,FALSE))</f>
        <v/>
      </c>
      <c r="D8" s="763" t="str">
        <f> IF(ISERROR(vlookup(Concatenate("P4.",A8),Order205,3,FALSE)), "", vlookup(Concatenate("P4.",A8),Order205,3,FALSE))</f>
        <v/>
      </c>
      <c r="E8" s="764" t="str">
        <f> IF(ISERROR(vlookup(Concatenate("P4.",A8),Order205,5,FALSE)), "", vlookup(Concatenate("P4.",A8),Order205,5,FALSE))</f>
        <v/>
      </c>
      <c r="F8" s="763" t="str">
        <f> IF(ISERROR(vlookup(Concatenate("P4.",A8),Order205,6,FALSE)), "", vlookup(Concatenate("P4.",A8),Order205,6,FALSE))</f>
        <v/>
      </c>
      <c r="G8" s="764" t="str">
        <f> IF(ISERROR(vlookup(Concatenate("P4.",A8),Order205,7,FALSE)), "", vlookup(Concatenate("P4.",A8),Order205,7,FALSE))</f>
        <v/>
      </c>
      <c r="H8" s="763" t="str">
        <f> IF(ISERROR(vlookup(Concatenate("P4.",A8),Order205,8,FALSE)), "", vlookup(Concatenate("P4.",A8),Order205,8,FALSE))</f>
        <v/>
      </c>
      <c r="I8" s="763" t="str">
        <f> IF(ISERROR(vlookup(Concatenate("P4.",A8),Order205,9,FALSE)), "", vlookup(Concatenate("P4.",A8),Order205,9,FALSE))</f>
        <v/>
      </c>
      <c r="J8" s="787" t="str">
        <f> IF(ISERROR(vlookup(Concatenate("P4.",A8),Order205,10,FALSE)), "", vlookup(Concatenate("P4.",A8),Order205,10,FALSE))</f>
        <v/>
      </c>
    </row>
    <row r="9" ht="22.5" customHeight="1">
      <c r="A9" s="760">
        <v>3.0</v>
      </c>
      <c r="B9" s="761" t="str">
        <f> IF(ISERROR(vlookup(Concatenate("P4.",A9),Order205,4,FALSE)), "", vlookup(Concatenate("P4.",A9),Order205,4,FALSE))</f>
        <v/>
      </c>
      <c r="C9" s="762" t="str">
        <f> IF(ISERROR(vlookup(Concatenate("P4.",A9),Order205,2,FALSE)), "", vlookup(Concatenate("P4.",A9),Order205,2,FALSE))</f>
        <v/>
      </c>
      <c r="D9" s="763" t="str">
        <f> IF(ISERROR(vlookup(Concatenate("P4.",A9),Order205,3,FALSE)), "", vlookup(Concatenate("P4.",A9),Order205,3,FALSE))</f>
        <v/>
      </c>
      <c r="E9" s="764" t="str">
        <f> IF(ISERROR(vlookup(Concatenate("P4.",A9),Order205,5,FALSE)), "", vlookup(Concatenate("P4.",A9),Order205,5,FALSE))</f>
        <v/>
      </c>
      <c r="F9" s="763" t="str">
        <f> IF(ISERROR(vlookup(Concatenate("P4.",A9),Order205,6,FALSE)), "", vlookup(Concatenate("P4.",A9),Order205,6,FALSE))</f>
        <v/>
      </c>
      <c r="G9" s="764" t="str">
        <f> IF(ISERROR(vlookup(Concatenate("P4.",A9),Order205,7,FALSE)), "", vlookup(Concatenate("P4.",A9),Order205,7,FALSE))</f>
        <v/>
      </c>
      <c r="H9" s="763" t="str">
        <f> IF(ISERROR(vlookup(Concatenate("P4.",A9),Order205,8,FALSE)), "", vlookup(Concatenate("P4.",A9),Order205,8,FALSE))</f>
        <v/>
      </c>
      <c r="I9" s="763" t="str">
        <f> IF(ISERROR(vlookup(Concatenate("P4.",A9),Order205,9,FALSE)), "", vlookup(Concatenate("P4.",A9),Order205,9,FALSE))</f>
        <v/>
      </c>
      <c r="J9" s="787" t="str">
        <f> IF(ISERROR(vlookup(Concatenate("P4.",A9),Order205,10,FALSE)), "", vlookup(Concatenate("P4.",A9),Order205,10,FALSE))</f>
        <v/>
      </c>
    </row>
    <row r="10" ht="22.5" customHeight="1">
      <c r="A10" s="760">
        <v>4.0</v>
      </c>
      <c r="B10" s="761" t="str">
        <f> IF(ISERROR(vlookup(Concatenate("P4.",A10),Order205,4,FALSE)), "", vlookup(Concatenate("P4.",A10),Order205,4,FALSE))</f>
        <v/>
      </c>
      <c r="C10" s="762" t="str">
        <f> IF(ISERROR(vlookup(Concatenate("P4.",A10),Order205,2,FALSE)), "", vlookup(Concatenate("P4.",A10),Order205,2,FALSE))</f>
        <v/>
      </c>
      <c r="D10" s="763" t="str">
        <f> IF(ISERROR(vlookup(Concatenate("P4.",A10),Order205,3,FALSE)), "", vlookup(Concatenate("P4.",A10),Order205,3,FALSE))</f>
        <v/>
      </c>
      <c r="E10" s="764" t="str">
        <f> IF(ISERROR(vlookup(Concatenate("P4.",A10),Order205,5,FALSE)), "", vlookup(Concatenate("P4.",A10),Order205,5,FALSE))</f>
        <v/>
      </c>
      <c r="F10" s="763" t="str">
        <f> IF(ISERROR(vlookup(Concatenate("P4.",A10),Order205,6,FALSE)), "", vlookup(Concatenate("P4.",A10),Order205,6,FALSE))</f>
        <v/>
      </c>
      <c r="G10" s="764" t="str">
        <f> IF(ISERROR(vlookup(Concatenate("P4.",A10),Order205,7,FALSE)), "", vlookup(Concatenate("P4.",A10),Order205,7,FALSE))</f>
        <v/>
      </c>
      <c r="H10" s="763" t="str">
        <f> IF(ISERROR(vlookup(Concatenate("P4.",A10),Order205,8,FALSE)), "", vlookup(Concatenate("P4.",A10),Order205,8,FALSE))</f>
        <v/>
      </c>
      <c r="I10" s="763" t="str">
        <f> IF(ISERROR(vlookup(Concatenate("P4.",A10),Order205,9,FALSE)), "", vlookup(Concatenate("P4.",A10),Order205,9,FALSE))</f>
        <v/>
      </c>
      <c r="J10" s="787" t="str">
        <f> IF(ISERROR(vlookup(Concatenate("P4.",A10),Order205,10,FALSE)), "", vlookup(Concatenate("P4.",A10),Order205,10,FALSE))</f>
        <v/>
      </c>
    </row>
    <row r="11" ht="22.5" customHeight="1">
      <c r="A11" s="760">
        <v>5.0</v>
      </c>
      <c r="B11" s="761" t="str">
        <f> IF(ISERROR(vlookup(Concatenate("P4.",A11),Order205,4,FALSE)), "", vlookup(Concatenate("P4.",A11),Order205,4,FALSE))</f>
        <v/>
      </c>
      <c r="C11" s="762" t="str">
        <f> IF(ISERROR(vlookup(Concatenate("P4.",A11),Order205,2,FALSE)), "", vlookup(Concatenate("P4.",A11),Order205,2,FALSE))</f>
        <v/>
      </c>
      <c r="D11" s="763" t="str">
        <f> IF(ISERROR(vlookup(Concatenate("P4.",A11),Order205,3,FALSE)), "", vlookup(Concatenate("P4.",A11),Order205,3,FALSE))</f>
        <v/>
      </c>
      <c r="E11" s="764" t="str">
        <f> IF(ISERROR(vlookup(Concatenate("P4.",A11),Order205,5,FALSE)), "", vlookup(Concatenate("P4.",A11),Order205,5,FALSE))</f>
        <v/>
      </c>
      <c r="F11" s="763" t="str">
        <f> IF(ISERROR(vlookup(Concatenate("P4.",A11),Order205,6,FALSE)), "", vlookup(Concatenate("P4.",A11),Order205,6,FALSE))</f>
        <v/>
      </c>
      <c r="G11" s="764" t="str">
        <f> IF(ISERROR(vlookup(Concatenate("P4.",A11),Order205,7,FALSE)), "", vlookup(Concatenate("P4.",A11),Order205,7,FALSE))</f>
        <v/>
      </c>
      <c r="H11" s="763" t="str">
        <f> IF(ISERROR(vlookup(Concatenate("P4.",A11),Order205,8,FALSE)), "", vlookup(Concatenate("P4.",A11),Order205,8,FALSE))</f>
        <v/>
      </c>
      <c r="I11" s="763" t="str">
        <f> IF(ISERROR(vlookup(Concatenate("P4.",A11),Order205,9,FALSE)), "", vlookup(Concatenate("P4.",A11),Order205,9,FALSE))</f>
        <v/>
      </c>
      <c r="J11" s="787" t="str">
        <f> IF(ISERROR(vlookup(Concatenate("P4.",A11),Order205,10,FALSE)), "", vlookup(Concatenate("P4.",A11),Order205,10,FALSE))</f>
        <v/>
      </c>
    </row>
    <row r="12" ht="22.5" customHeight="1">
      <c r="A12" s="760">
        <v>6.0</v>
      </c>
      <c r="B12" s="761" t="str">
        <f> IF(ISERROR(vlookup(Concatenate("P4.",A12),Order205,4,FALSE)), "", vlookup(Concatenate("P4.",A12),Order205,4,FALSE))</f>
        <v/>
      </c>
      <c r="C12" s="762" t="str">
        <f> IF(ISERROR(vlookup(Concatenate("P4.",A12),Order205,2,FALSE)), "", vlookup(Concatenate("P4.",A12),Order205,2,FALSE))</f>
        <v/>
      </c>
      <c r="D12" s="763" t="str">
        <f> IF(ISERROR(vlookup(Concatenate("P4.",A12),Order205,3,FALSE)), "", vlookup(Concatenate("P4.",A12),Order205,3,FALSE))</f>
        <v/>
      </c>
      <c r="E12" s="764" t="str">
        <f> IF(ISERROR(vlookup(Concatenate("P4.",A12),Order205,5,FALSE)), "", vlookup(Concatenate("P4.",A12),Order205,5,FALSE))</f>
        <v/>
      </c>
      <c r="F12" s="763" t="str">
        <f> IF(ISERROR(vlookup(Concatenate("P4.",A12),Order205,6,FALSE)), "", vlookup(Concatenate("P4.",A12),Order205,6,FALSE))</f>
        <v/>
      </c>
      <c r="G12" s="764" t="str">
        <f> IF(ISERROR(vlookup(Concatenate("P4.",A12),Order205,7,FALSE)), "", vlookup(Concatenate("P4.",A12),Order205,7,FALSE))</f>
        <v/>
      </c>
      <c r="H12" s="763" t="str">
        <f> IF(ISERROR(vlookup(Concatenate("P4.",A12),Order205,8,FALSE)), "", vlookup(Concatenate("P4.",A12),Order205,8,FALSE))</f>
        <v/>
      </c>
      <c r="I12" s="763" t="str">
        <f> IF(ISERROR(vlookup(Concatenate("P4.",A12),Order205,9,FALSE)), "", vlookup(Concatenate("P4.",A12),Order205,9,FALSE))</f>
        <v/>
      </c>
      <c r="J12" s="787" t="str">
        <f> IF(ISERROR(vlookup(Concatenate("P4.",A12),Order205,10,FALSE)), "", vlookup(Concatenate("P4.",A12),Order205,10,FALSE))</f>
        <v/>
      </c>
    </row>
    <row r="13" ht="22.5" customHeight="1">
      <c r="A13" s="760">
        <v>7.0</v>
      </c>
      <c r="B13" s="761" t="str">
        <f> IF(ISERROR(vlookup(Concatenate("P4.",A13),Order205,4,FALSE)), "", vlookup(Concatenate("P4.",A13),Order205,4,FALSE))</f>
        <v/>
      </c>
      <c r="C13" s="762" t="str">
        <f> IF(ISERROR(vlookup(Concatenate("P4.",A13),Order205,2,FALSE)), "", vlookup(Concatenate("P4.",A13),Order205,2,FALSE))</f>
        <v/>
      </c>
      <c r="D13" s="763" t="str">
        <f> IF(ISERROR(vlookup(Concatenate("P4.",A13),Order205,3,FALSE)), "", vlookup(Concatenate("P4.",A13),Order205,3,FALSE))</f>
        <v/>
      </c>
      <c r="E13" s="764" t="str">
        <f> IF(ISERROR(vlookup(Concatenate("P4.",A13),Order205,5,FALSE)), "", vlookup(Concatenate("P4.",A13),Order205,5,FALSE))</f>
        <v/>
      </c>
      <c r="F13" s="763" t="str">
        <f> IF(ISERROR(vlookup(Concatenate("P4.",A13),Order205,6,FALSE)), "", vlookup(Concatenate("P4.",A13),Order205,6,FALSE))</f>
        <v/>
      </c>
      <c r="G13" s="764" t="str">
        <f> IF(ISERROR(vlookup(Concatenate("P4.",A13),Order205,7,FALSE)), "", vlookup(Concatenate("P4.",A13),Order205,7,FALSE))</f>
        <v/>
      </c>
      <c r="H13" s="763" t="str">
        <f> IF(ISERROR(vlookup(Concatenate("P4.",A13),Order205,8,FALSE)), "", vlookup(Concatenate("P4.",A13),Order205,8,FALSE))</f>
        <v/>
      </c>
      <c r="I13" s="763" t="str">
        <f> IF(ISERROR(vlookup(Concatenate("P4.",A13),Order205,9,FALSE)), "", vlookup(Concatenate("P4.",A13),Order205,9,FALSE))</f>
        <v/>
      </c>
      <c r="J13" s="787" t="str">
        <f> IF(ISERROR(vlookup(Concatenate("P4.",A13),Order205,10,FALSE)), "", vlookup(Concatenate("P4.",A13),Order205,10,FALSE))</f>
        <v/>
      </c>
    </row>
    <row r="14" ht="22.5" customHeight="1">
      <c r="A14" s="760">
        <v>8.0</v>
      </c>
      <c r="B14" s="761" t="str">
        <f> IF(ISERROR(vlookup(Concatenate("P4.",A14),Order205,4,FALSE)), "", vlookup(Concatenate("P4.",A14),Order205,4,FALSE))</f>
        <v/>
      </c>
      <c r="C14" s="762" t="str">
        <f> IF(ISERROR(vlookup(Concatenate("P4.",A14),Order205,2,FALSE)), "", vlookup(Concatenate("P4.",A14),Order205,2,FALSE))</f>
        <v/>
      </c>
      <c r="D14" s="763" t="str">
        <f> IF(ISERROR(vlookup(Concatenate("P4.",A14),Order205,3,FALSE)), "", vlookup(Concatenate("P4.",A14),Order205,3,FALSE))</f>
        <v/>
      </c>
      <c r="E14" s="764" t="str">
        <f> IF(ISERROR(vlookup(Concatenate("P4.",A14),Order205,5,FALSE)), "", vlookup(Concatenate("P4.",A14),Order205,5,FALSE))</f>
        <v/>
      </c>
      <c r="F14" s="763" t="str">
        <f> IF(ISERROR(vlookup(Concatenate("P4.",A14),Order205,6,FALSE)), "", vlookup(Concatenate("P4.",A14),Order205,6,FALSE))</f>
        <v/>
      </c>
      <c r="G14" s="764" t="str">
        <f> IF(ISERROR(vlookup(Concatenate("P4.",A14),Order205,7,FALSE)), "", vlookup(Concatenate("P4.",A14),Order205,7,FALSE))</f>
        <v/>
      </c>
      <c r="H14" s="763" t="str">
        <f> IF(ISERROR(vlookup(Concatenate("P4.",A14),Order205,8,FALSE)), "", vlookup(Concatenate("P4.",A14),Order205,8,FALSE))</f>
        <v/>
      </c>
      <c r="I14" s="763" t="str">
        <f> IF(ISERROR(vlookup(Concatenate("P4.",A14),Order205,9,FALSE)), "", vlookup(Concatenate("P4.",A14),Order205,9,FALSE))</f>
        <v/>
      </c>
      <c r="J14" s="787" t="str">
        <f> IF(ISERROR(vlookup(Concatenate("P4.",A14),Order205,10,FALSE)), "", vlookup(Concatenate("P4.",A14),Order205,10,FALSE))</f>
        <v/>
      </c>
    </row>
    <row r="15" ht="22.5" customHeight="1">
      <c r="A15" s="760">
        <v>9.0</v>
      </c>
      <c r="B15" s="761" t="str">
        <f> IF(ISERROR(vlookup(Concatenate("P4.",A15),Order205,4,FALSE)), "", vlookup(Concatenate("P4.",A15),Order205,4,FALSE))</f>
        <v/>
      </c>
      <c r="C15" s="762" t="str">
        <f> IF(ISERROR(vlookup(Concatenate("P4.",A15),Order205,2,FALSE)), "", vlookup(Concatenate("P4.",A15),Order205,2,FALSE))</f>
        <v/>
      </c>
      <c r="D15" s="763" t="str">
        <f> IF(ISERROR(vlookup(Concatenate("P4.",A15),Order205,3,FALSE)), "", vlookup(Concatenate("P4.",A15),Order205,3,FALSE))</f>
        <v/>
      </c>
      <c r="E15" s="764" t="str">
        <f> IF(ISERROR(vlookup(Concatenate("P4.",A15),Order205,5,FALSE)), "", vlookup(Concatenate("P4.",A15),Order205,5,FALSE))</f>
        <v/>
      </c>
      <c r="F15" s="763" t="str">
        <f> IF(ISERROR(vlookup(Concatenate("P4.",A15),Order205,6,FALSE)), "", vlookup(Concatenate("P4.",A15),Order205,6,FALSE))</f>
        <v/>
      </c>
      <c r="G15" s="764" t="str">
        <f> IF(ISERROR(vlookup(Concatenate("P4.",A15),Order205,7,FALSE)), "", vlookup(Concatenate("P4.",A15),Order205,7,FALSE))</f>
        <v/>
      </c>
      <c r="H15" s="763" t="str">
        <f> IF(ISERROR(vlookup(Concatenate("P4.",A15),Order205,8,FALSE)), "", vlookup(Concatenate("P4.",A15),Order205,8,FALSE))</f>
        <v/>
      </c>
      <c r="I15" s="763" t="str">
        <f> IF(ISERROR(vlookup(Concatenate("P4.",A15),Order205,9,FALSE)), "", vlookup(Concatenate("P4.",A15),Order205,9,FALSE))</f>
        <v/>
      </c>
      <c r="J15" s="787" t="str">
        <f> IF(ISERROR(vlookup(Concatenate("P4.",A15),Order205,10,FALSE)), "", vlookup(Concatenate("P4.",A15),Order205,10,FALSE))</f>
        <v/>
      </c>
    </row>
    <row r="16" ht="22.5" customHeight="1">
      <c r="A16" s="760">
        <v>10.0</v>
      </c>
      <c r="B16" s="761" t="str">
        <f> IF(ISERROR(vlookup(Concatenate("P4.",A16),Order205,4,FALSE)), "", vlookup(Concatenate("P4.",A16),Order205,4,FALSE))</f>
        <v/>
      </c>
      <c r="C16" s="762" t="str">
        <f> IF(ISERROR(vlookup(Concatenate("P4.",A16),Order205,2,FALSE)), "", vlookup(Concatenate("P4.",A16),Order205,2,FALSE))</f>
        <v/>
      </c>
      <c r="D16" s="763" t="str">
        <f> IF(ISERROR(vlookup(Concatenate("P4.",A16),Order205,3,FALSE)), "", vlookup(Concatenate("P4.",A16),Order205,3,FALSE))</f>
        <v/>
      </c>
      <c r="E16" s="764" t="str">
        <f> IF(ISERROR(vlookup(Concatenate("P4.",A16),Order205,5,FALSE)), "", vlookup(Concatenate("P4.",A16),Order205,5,FALSE))</f>
        <v/>
      </c>
      <c r="F16" s="763" t="str">
        <f> IF(ISERROR(vlookup(Concatenate("P4.",A16),Order205,6,FALSE)), "", vlookup(Concatenate("P4.",A16),Order205,6,FALSE))</f>
        <v/>
      </c>
      <c r="G16" s="764" t="str">
        <f> IF(ISERROR(vlookup(Concatenate("P4.",A16),Order205,7,FALSE)), "", vlookup(Concatenate("P4.",A16),Order205,7,FALSE))</f>
        <v/>
      </c>
      <c r="H16" s="763" t="str">
        <f> IF(ISERROR(vlookup(Concatenate("P4.",A16),Order205,8,FALSE)), "", vlookup(Concatenate("P4.",A16),Order205,8,FALSE))</f>
        <v/>
      </c>
      <c r="I16" s="763" t="str">
        <f> IF(ISERROR(vlookup(Concatenate("P4.",A16),Order205,9,FALSE)), "", vlookup(Concatenate("P4.",A16),Order205,9,FALSE))</f>
        <v/>
      </c>
      <c r="J16" s="787" t="str">
        <f> IF(ISERROR(vlookup(Concatenate("P4.",A16),Order205,10,FALSE)), "", vlookup(Concatenate("P4.",A16),Order205,10,FALSE))</f>
        <v/>
      </c>
    </row>
    <row r="17" ht="22.5" customHeight="1">
      <c r="A17" s="760">
        <v>11.0</v>
      </c>
      <c r="B17" s="761" t="str">
        <f> IF(ISERROR(vlookup(Concatenate("P4.",A17),Order205,4,FALSE)), "", vlookup(Concatenate("P4.",A17),Order205,4,FALSE))</f>
        <v/>
      </c>
      <c r="C17" s="762" t="str">
        <f> IF(ISERROR(vlookup(Concatenate("P4.",A17),Order205,2,FALSE)), "", vlookup(Concatenate("P4.",A17),Order205,2,FALSE))</f>
        <v/>
      </c>
      <c r="D17" s="763" t="str">
        <f> IF(ISERROR(vlookup(Concatenate("P4.",A17),Order205,3,FALSE)), "", vlookup(Concatenate("P4.",A17),Order205,3,FALSE))</f>
        <v/>
      </c>
      <c r="E17" s="764" t="str">
        <f> IF(ISERROR(vlookup(Concatenate("P4.",A17),Order205,5,FALSE)), "", vlookup(Concatenate("P4.",A17),Order205,5,FALSE))</f>
        <v/>
      </c>
      <c r="F17" s="763" t="str">
        <f> IF(ISERROR(vlookup(Concatenate("P4.",A17),Order205,6,FALSE)), "", vlookup(Concatenate("P4.",A17),Order205,6,FALSE))</f>
        <v/>
      </c>
      <c r="G17" s="764" t="str">
        <f> IF(ISERROR(vlookup(Concatenate("P4.",A17),Order205,7,FALSE)), "", vlookup(Concatenate("P4.",A17),Order205,7,FALSE))</f>
        <v/>
      </c>
      <c r="H17" s="763" t="str">
        <f> IF(ISERROR(vlookup(Concatenate("P4.",A17),Order205,8,FALSE)), "", vlookup(Concatenate("P4.",A17),Order205,8,FALSE))</f>
        <v/>
      </c>
      <c r="I17" s="763" t="str">
        <f> IF(ISERROR(vlookup(Concatenate("P4.",A17),Order205,9,FALSE)), "", vlookup(Concatenate("P4.",A17),Order205,9,FALSE))</f>
        <v/>
      </c>
      <c r="J17" s="787" t="str">
        <f> IF(ISERROR(vlookup(Concatenate("P4.",A17),Order205,10,FALSE)), "", vlookup(Concatenate("P4.",A17),Order205,10,FALSE))</f>
        <v/>
      </c>
    </row>
    <row r="18" ht="22.5" customHeight="1">
      <c r="A18" s="760">
        <v>12.0</v>
      </c>
      <c r="B18" s="761" t="str">
        <f> IF(ISERROR(vlookup(Concatenate("P4.",A18),Order205,4,FALSE)), "", vlookup(Concatenate("P4.",A18),Order205,4,FALSE))</f>
        <v/>
      </c>
      <c r="C18" s="762" t="str">
        <f> IF(ISERROR(vlookup(Concatenate("P4.",A18),Order205,2,FALSE)), "", vlookup(Concatenate("P4.",A18),Order205,2,FALSE))</f>
        <v/>
      </c>
      <c r="D18" s="763" t="str">
        <f> IF(ISERROR(vlookup(Concatenate("P4.",A18),Order205,3,FALSE)), "", vlookup(Concatenate("P4.",A18),Order205,3,FALSE))</f>
        <v/>
      </c>
      <c r="E18" s="764" t="str">
        <f> IF(ISERROR(vlookup(Concatenate("P4.",A18),Order205,5,FALSE)), "", vlookup(Concatenate("P4.",A18),Order205,5,FALSE))</f>
        <v/>
      </c>
      <c r="F18" s="763" t="str">
        <f> IF(ISERROR(vlookup(Concatenate("P4.",A18),Order205,6,FALSE)), "", vlookup(Concatenate("P4.",A18),Order205,6,FALSE))</f>
        <v/>
      </c>
      <c r="G18" s="764" t="str">
        <f> IF(ISERROR(vlookup(Concatenate("P4.",A18),Order205,7,FALSE)), "", vlookup(Concatenate("P4.",A18),Order205,7,FALSE))</f>
        <v/>
      </c>
      <c r="H18" s="763" t="str">
        <f> IF(ISERROR(vlookup(Concatenate("P4.",A18),Order205,8,FALSE)), "", vlookup(Concatenate("P4.",A18),Order205,8,FALSE))</f>
        <v/>
      </c>
      <c r="I18" s="763" t="str">
        <f> IF(ISERROR(vlookup(Concatenate("P4.",A18),Order205,9,FALSE)), "", vlookup(Concatenate("P4.",A18),Order205,9,FALSE))</f>
        <v/>
      </c>
      <c r="J18" s="787" t="str">
        <f> IF(ISERROR(vlookup(Concatenate("P4.",A18),Order205,10,FALSE)), "", vlookup(Concatenate("P4.",A18),Order205,10,FALSE))</f>
        <v/>
      </c>
    </row>
    <row r="19" ht="22.5" customHeight="1">
      <c r="A19" s="760">
        <v>13.0</v>
      </c>
      <c r="B19" s="761" t="str">
        <f> IF(ISERROR(vlookup(Concatenate("P4.",A19),Order205,4,FALSE)), "", vlookup(Concatenate("P4.",A19),Order205,4,FALSE))</f>
        <v/>
      </c>
      <c r="C19" s="762" t="str">
        <f> IF(ISERROR(vlookup(Concatenate("P4.",A19),Order205,2,FALSE)), "", vlookup(Concatenate("P4.",A19),Order205,2,FALSE))</f>
        <v/>
      </c>
      <c r="D19" s="763" t="str">
        <f> IF(ISERROR(vlookup(Concatenate("P4.",A19),Order205,3,FALSE)), "", vlookup(Concatenate("P4.",A19),Order205,3,FALSE))</f>
        <v/>
      </c>
      <c r="E19" s="764" t="str">
        <f> IF(ISERROR(vlookup(Concatenate("P4.",A19),Order205,5,FALSE)), "", vlookup(Concatenate("P4.",A19),Order205,5,FALSE))</f>
        <v/>
      </c>
      <c r="F19" s="763" t="str">
        <f> IF(ISERROR(vlookup(Concatenate("P4.",A19),Order205,6,FALSE)), "", vlookup(Concatenate("P4.",A19),Order205,6,FALSE))</f>
        <v/>
      </c>
      <c r="G19" s="764" t="str">
        <f> IF(ISERROR(vlookup(Concatenate("P4.",A19),Order205,7,FALSE)), "", vlookup(Concatenate("P4.",A19),Order205,7,FALSE))</f>
        <v/>
      </c>
      <c r="H19" s="763" t="str">
        <f> IF(ISERROR(vlookup(Concatenate("P4.",A19),Order205,8,FALSE)), "", vlookup(Concatenate("P4.",A19),Order205,8,FALSE))</f>
        <v/>
      </c>
      <c r="I19" s="763" t="str">
        <f> IF(ISERROR(vlookup(Concatenate("P4.",A19),Order205,9,FALSE)), "", vlookup(Concatenate("P4.",A19),Order205,9,FALSE))</f>
        <v/>
      </c>
      <c r="J19" s="787" t="str">
        <f> IF(ISERROR(vlookup(Concatenate("P4.",A19),Order205,10,FALSE)), "", vlookup(Concatenate("P4.",A19),Order205,10,FALSE))</f>
        <v/>
      </c>
    </row>
    <row r="20" ht="22.5" customHeight="1">
      <c r="A20" s="760">
        <v>14.0</v>
      </c>
      <c r="B20" s="761" t="str">
        <f> IF(ISERROR(vlookup(Concatenate("P4.",A20),Order205,4,FALSE)), "", vlookup(Concatenate("P4.",A20),Order205,4,FALSE))</f>
        <v>TACTICAL</v>
      </c>
      <c r="C20" s="762" t="str">
        <f> IF(ISERROR(vlookup(Concatenate("P4.",A20),Order205,2,FALSE)), "", vlookup(Concatenate("P4.",A20),Order205,2,FALSE))</f>
        <v>CALCORD</v>
      </c>
      <c r="D20" s="763" t="str">
        <f> IF(ISERROR(vlookup(Concatenate("P4.",A20),Order205,3,FALSE)), "", vlookup(Concatenate("P4.",A20),Order205,3,FALSE))</f>
        <v>INCIDENT</v>
      </c>
      <c r="E20" s="764">
        <f> IF(ISERROR(vlookup(Concatenate("P4.",A20),Order205,5,FALSE)), "", vlookup(Concatenate("P4.",A20),Order205,5,FALSE))</f>
        <v>156.075</v>
      </c>
      <c r="F20" s="765" t="str">
        <f> IF(ISERROR(vlookup(Concatenate("P4.",A20),Order205,6,FALSE)), "", vlookup(Concatenate("P4.",A20),Order205,6,FALSE))</f>
        <v>(T6)  156.7</v>
      </c>
      <c r="G20" s="764">
        <f> IF(ISERROR(vlookup(Concatenate("P4.",A20),Order205,7,FALSE)), "", vlookup(Concatenate("P4.",A20),Order205,7,FALSE))</f>
        <v>156.075</v>
      </c>
      <c r="H20" s="765" t="str">
        <f> IF(ISERROR(vlookup(Concatenate("P4.",A20),Order205,8,FALSE)), "", vlookup(Concatenate("P4.",A20),Order205,8,FALSE))</f>
        <v>(T6)  156.7</v>
      </c>
      <c r="I20" s="765" t="str">
        <f> IF(ISERROR(vlookup(Concatenate("P4.",A20),Order205,9,FALSE)), "", vlookup(Concatenate("P4.",A20),Order205,9,FALSE))</f>
        <v>A</v>
      </c>
      <c r="J20" s="787" t="str">
        <f> IF(ISERROR(vlookup(Concatenate("P4.",A20),Order205,10,FALSE)), "", vlookup(Concatenate("P4.",A20),Order205,10,FALSE))</f>
        <v/>
      </c>
    </row>
    <row r="21" ht="22.5" customHeight="1">
      <c r="A21" s="772">
        <v>15.0</v>
      </c>
      <c r="B21" s="761" t="str">
        <f> IF(ISERROR(vlookup(Concatenate("P4.",A21),Order205,4,FALSE)), "", vlookup(Concatenate("P4.",A21),Order205,4,FALSE))</f>
        <v>A/G</v>
      </c>
      <c r="C21" s="762" t="str">
        <f> IF(ISERROR(vlookup(Concatenate("P4.",A21),Order205,2,FALSE)), "", vlookup(Concatenate("P4.",A21),Order205,2,FALSE))</f>
        <v>A/G</v>
      </c>
      <c r="D21" s="763" t="str">
        <f> IF(ISERROR(vlookup(Concatenate("P4.",A21),Order205,3,FALSE)), "", vlookup(Concatenate("P4.",A21),Order205,3,FALSE))</f>
        <v>ALL DIVS</v>
      </c>
      <c r="E21" s="764">
        <f> IF(ISERROR(vlookup(Concatenate("P4.",A21),Order205,5,FALSE)), "", vlookup(Concatenate("P4.",A21),Order205,5,FALSE))</f>
        <v>168.325</v>
      </c>
      <c r="F21" s="765" t="str">
        <f> IF(ISERROR(vlookup(Concatenate("P4.",A21),Order205,6,FALSE)), "", vlookup(Concatenate("P4.",A21),Order205,6,FALSE))</f>
        <v/>
      </c>
      <c r="G21" s="764">
        <f> IF(ISERROR(vlookup(Concatenate("P4.",A21),Order205,7,FALSE)), "", vlookup(Concatenate("P4.",A21),Order205,7,FALSE))</f>
        <v>168.325</v>
      </c>
      <c r="H21" s="765">
        <f> IF(ISERROR(vlookup(Concatenate("P4.",A21),Order205,8,FALSE)), "", vlookup(Concatenate("P4.",A21),Order205,8,FALSE))</f>
        <v>0</v>
      </c>
      <c r="I21" s="765" t="str">
        <f> IF(ISERROR(vlookup(Concatenate("P4.",A21),Order205,9,FALSE)), "", vlookup(Concatenate("P4.",A21),Order205,9,FALSE))</f>
        <v>A</v>
      </c>
      <c r="J21" s="787" t="str">
        <f> IF(ISERROR(vlookup(Concatenate("P4.",A21),Order205,10,FALSE)), "", vlookup(Concatenate("P4.",A21),Order205,10,FALSE))</f>
        <v/>
      </c>
    </row>
    <row r="22" ht="22.5" customHeight="1">
      <c r="A22" s="772">
        <v>16.0</v>
      </c>
      <c r="B22" s="761" t="str">
        <f> IF(ISERROR(vlookup(Concatenate("P4.",A22),Order205,4,FALSE)), "", vlookup(Concatenate("P4.",A22),Order205,4,FALSE))</f>
        <v>AIRGUARD</v>
      </c>
      <c r="C22" s="762" t="str">
        <f> IF(ISERROR(vlookup(Concatenate("P4.",A22),Order205,2,FALSE)), "", vlookup(Concatenate("P4.",A22),Order205,2,FALSE))</f>
        <v>GUARD</v>
      </c>
      <c r="D22" s="763" t="str">
        <f> IF(ISERROR(vlookup(Concatenate("P4.",A22),Order205,3,FALSE)), "", vlookup(Concatenate("P4.",A22),Order205,3,FALSE))</f>
        <v>EMERGENCY</v>
      </c>
      <c r="E22" s="764">
        <f> IF(ISERROR(vlookup(Concatenate("P4.",A22),Order205,5,FALSE)), "", vlookup(Concatenate("P4.",A22),Order205,5,FALSE))</f>
        <v>168.625</v>
      </c>
      <c r="F22" s="765">
        <f> IF(ISERROR(vlookup(Concatenate("P4.",A22),Order205,6,FALSE)), "", vlookup(Concatenate("P4.",A22),Order205,6,FALSE))</f>
        <v>0</v>
      </c>
      <c r="G22" s="764">
        <f> IF(ISERROR(vlookup(Concatenate("P4.",A22),Order205,7,FALSE)), "", vlookup(Concatenate("P4.",A22),Order205,7,FALSE))</f>
        <v>168.625</v>
      </c>
      <c r="H22" s="765" t="str">
        <f> IF(ISERROR(vlookup(Concatenate("P4.",A22),Order205,8,FALSE)), "", vlookup(Concatenate("P4.",A22),Order205,8,FALSE))</f>
        <v>(T1)  110.9</v>
      </c>
      <c r="I22" s="765" t="str">
        <f> IF(ISERROR(vlookup(Concatenate("P4.",A22),Order205,9,FALSE)), "", vlookup(Concatenate("P4.",A22),Order205,9,FALSE))</f>
        <v>A</v>
      </c>
      <c r="J22" s="787" t="str">
        <f> IF(ISERROR(vlookup(Concatenate("P4.",A22),Order205,10,FALSE)), "", vlookup(Concatenate("P4.",A22),Order205,10,FALSE))</f>
        <v/>
      </c>
    </row>
    <row r="23" ht="22.5" customHeight="1">
      <c r="A23" s="772">
        <v>17.0</v>
      </c>
      <c r="B23" s="761" t="str">
        <f> IF(ISERROR(vlookup(Concatenate("P4.",A23),Order205,4,FALSE)), "", vlookup(Concatenate("P4.",A23),Order205,4,FALSE))</f>
        <v/>
      </c>
      <c r="C23" s="762" t="str">
        <f> IF(ISERROR(vlookup(Concatenate("P4.",A23),Order205,2,FALSE)), "", vlookup(Concatenate("P4.",A23),Order205,2,FALSE))</f>
        <v/>
      </c>
      <c r="D23" s="763" t="str">
        <f> IF(ISERROR(vlookup(Concatenate("P4.",A23),Order205,3,FALSE)), "", vlookup(Concatenate("P4.",A23),Order205,3,FALSE))</f>
        <v/>
      </c>
      <c r="E23" s="764" t="str">
        <f> IF(ISERROR(vlookup(Concatenate("P4.",A23),Order205,5,FALSE)), "", vlookup(Concatenate("P4.",A23),Order205,5,FALSE))</f>
        <v/>
      </c>
      <c r="F23" s="763" t="str">
        <f> IF(ISERROR(vlookup(Concatenate("P4.",A23),Order205,6,FALSE)), "", vlookup(Concatenate("P4.",A23),Order205,6,FALSE))</f>
        <v/>
      </c>
      <c r="G23" s="764" t="str">
        <f> IF(ISERROR(vlookup(Concatenate("P4.",A23),Order205,7,FALSE)), "", vlookup(Concatenate("P4.",A23),Order205,7,FALSE))</f>
        <v/>
      </c>
      <c r="H23" s="763" t="str">
        <f> IF(ISERROR(vlookup(Concatenate("P4.",A23),Order205,8,FALSE)), "", vlookup(Concatenate("P4.",A23),Order205,8,FALSE))</f>
        <v/>
      </c>
      <c r="I23" s="763" t="str">
        <f> IF(ISERROR(vlookup(Concatenate("P4.",A23),Order205,9,FALSE)), "", vlookup(Concatenate("P4.",A23),Order205,9,FALSE))</f>
        <v/>
      </c>
      <c r="J23" s="787" t="str">
        <f> IF(ISERROR(vlookup(Concatenate("P4.",A23),Order205,10,FALSE)), "", vlookup(Concatenate("P4.",A23),Order205,10,FALSE))</f>
        <v/>
      </c>
    </row>
    <row r="24" ht="22.5" customHeight="1">
      <c r="A24" s="772">
        <v>18.0</v>
      </c>
      <c r="B24" s="761" t="str">
        <f> IF(ISERROR(vlookup(Concatenate("P4.",A24),Order205,4,FALSE)), "", vlookup(Concatenate("P4.",A24),Order205,4,FALSE))</f>
        <v/>
      </c>
      <c r="C24" s="762" t="str">
        <f> IF(ISERROR(vlookup(Concatenate("P4.",A24),Order205,2,FALSE)), "", vlookup(Concatenate("P4.",A24),Order205,2,FALSE))</f>
        <v/>
      </c>
      <c r="D24" s="763" t="str">
        <f> IF(ISERROR(vlookup(Concatenate("P4.",A24),Order205,3,FALSE)), "", vlookup(Concatenate("P4.",A24),Order205,3,FALSE))</f>
        <v/>
      </c>
      <c r="E24" s="764" t="str">
        <f> IF(ISERROR(vlookup(Concatenate("P4.",A24),Order205,5,FALSE)), "", vlookup(Concatenate("P4.",A24),Order205,5,FALSE))</f>
        <v/>
      </c>
      <c r="F24" s="763" t="str">
        <f> IF(ISERROR(vlookup(Concatenate("P4.",A24),Order205,6,FALSE)), "", vlookup(Concatenate("P4.",A24),Order205,6,FALSE))</f>
        <v/>
      </c>
      <c r="G24" s="764" t="str">
        <f> IF(ISERROR(vlookup(Concatenate("P4.",A24),Order205,7,FALSE)), "", vlookup(Concatenate("P4.",A24),Order205,7,FALSE))</f>
        <v/>
      </c>
      <c r="H24" s="763" t="str">
        <f> IF(ISERROR(vlookup(Concatenate("P4.",A24),Order205,8,FALSE)), "", vlookup(Concatenate("P4.",A24),Order205,8,FALSE))</f>
        <v/>
      </c>
      <c r="I24" s="763" t="str">
        <f> IF(ISERROR(vlookup(Concatenate("P4.",A24),Order205,9,FALSE)), "", vlookup(Concatenate("P4.",A24),Order205,9,FALSE))</f>
        <v/>
      </c>
      <c r="J24" s="787" t="str">
        <f> IF(ISERROR(vlookup(Concatenate("P4.",A24),Order205,10,FALSE)), "", vlookup(Concatenate("P4.",A24),Order205,10,FALSE))</f>
        <v/>
      </c>
    </row>
    <row r="25" ht="22.5" customHeight="1">
      <c r="A25" s="772">
        <v>19.0</v>
      </c>
      <c r="B25" s="761" t="str">
        <f> IF(ISERROR(vlookup(Concatenate("P4.",A25),Order205,4,FALSE)), "", vlookup(Concatenate("P4.",A25),Order205,4,FALSE))</f>
        <v/>
      </c>
      <c r="C25" s="762" t="str">
        <f> IF(ISERROR(vlookup(Concatenate("P4.",A25),Order205,2,FALSE)), "", vlookup(Concatenate("P4.",A25),Order205,2,FALSE))</f>
        <v/>
      </c>
      <c r="D25" s="763" t="str">
        <f> IF(ISERROR(vlookup(Concatenate("P4.",A25),Order205,3,FALSE)), "", vlookup(Concatenate("P4.",A25),Order205,3,FALSE))</f>
        <v/>
      </c>
      <c r="E25" s="764" t="str">
        <f> IF(ISERROR(vlookup(Concatenate("P4.",A25),Order205,5,FALSE)), "", vlookup(Concatenate("P4.",A25),Order205,5,FALSE))</f>
        <v/>
      </c>
      <c r="F25" s="763" t="str">
        <f> IF(ISERROR(vlookup(Concatenate("P4.",A25),Order205,6,FALSE)), "", vlookup(Concatenate("P4.",A25),Order205,6,FALSE))</f>
        <v/>
      </c>
      <c r="G25" s="764" t="str">
        <f> IF(ISERROR(vlookup(Concatenate("P4.",A25),Order205,7,FALSE)), "", vlookup(Concatenate("P4.",A25),Order205,7,FALSE))</f>
        <v/>
      </c>
      <c r="H25" s="763" t="str">
        <f> IF(ISERROR(vlookup(Concatenate("P4.",A25),Order205,8,FALSE)), "", vlookup(Concatenate("P4.",A25),Order205,8,FALSE))</f>
        <v/>
      </c>
      <c r="I25" s="763" t="str">
        <f> IF(ISERROR(vlookup(Concatenate("P4.",A25),Order205,9,FALSE)), "", vlookup(Concatenate("P4.",A25),Order205,9,FALSE))</f>
        <v/>
      </c>
      <c r="J25" s="787" t="str">
        <f> IF(ISERROR(vlookup(Concatenate("P4.",A25),Order205,10,FALSE)), "", vlookup(Concatenate("P4.",A25),Order205,10,FALSE))</f>
        <v/>
      </c>
    </row>
    <row r="26" ht="22.5" customHeight="1">
      <c r="A26" s="772">
        <v>20.0</v>
      </c>
      <c r="B26" s="761" t="str">
        <f> IF(ISERROR(vlookup(Concatenate("P4.",A26),Order205,4,FALSE)), "", vlookup(Concatenate("P4.",A26),Order205,4,FALSE))</f>
        <v/>
      </c>
      <c r="C26" s="762" t="str">
        <f> IF(ISERROR(vlookup(Concatenate("P4.",A26),Order205,2,FALSE)), "", vlookup(Concatenate("P4.",A26),Order205,2,FALSE))</f>
        <v/>
      </c>
      <c r="D26" s="763" t="str">
        <f> IF(ISERROR(vlookup(Concatenate("P4.",A26),Order205,3,FALSE)), "", vlookup(Concatenate("P4.",A26),Order205,3,FALSE))</f>
        <v/>
      </c>
      <c r="E26" s="764" t="str">
        <f> IF(ISERROR(vlookup(Concatenate("P4.",A26),Order205,5,FALSE)), "", vlookup(Concatenate("P4.",A26),Order205,5,FALSE))</f>
        <v/>
      </c>
      <c r="F26" s="763" t="str">
        <f> IF(ISERROR(vlookup(Concatenate("P4.",A26),Order205,6,FALSE)), "", vlookup(Concatenate("P4.",A26),Order205,6,FALSE))</f>
        <v/>
      </c>
      <c r="G26" s="764" t="str">
        <f> IF(ISERROR(vlookup(Concatenate("P4.",A26),Order205,7,FALSE)), "", vlookup(Concatenate("P4.",A26),Order205,7,FALSE))</f>
        <v/>
      </c>
      <c r="H26" s="763" t="str">
        <f> IF(ISERROR(vlookup(Concatenate("P4.",A26),Order205,8,FALSE)), "", vlookup(Concatenate("P4.",A26),Order205,8,FALSE))</f>
        <v/>
      </c>
      <c r="I26" s="763" t="str">
        <f> IF(ISERROR(vlookup(Concatenate("P4.",A26),Order205,9,FALSE)), "", vlookup(Concatenate("P4.",A26),Order205,9,FALSE))</f>
        <v/>
      </c>
      <c r="J26" s="787" t="str">
        <f> IF(ISERROR(vlookup(Concatenate("P4.",A26),Order205,10,FALSE)), "", vlookup(Concatenate("P4.",A26),Order205,10,FALSE))</f>
        <v/>
      </c>
    </row>
    <row r="27">
      <c r="A27" s="774" t="s">
        <v>558</v>
      </c>
      <c r="B27" s="74"/>
      <c r="C27" s="74"/>
      <c r="D27" s="74"/>
      <c r="E27" s="74"/>
      <c r="F27" s="74"/>
      <c r="G27" s="74"/>
      <c r="H27" s="74"/>
      <c r="I27" s="74"/>
      <c r="J27" s="45"/>
    </row>
    <row r="28">
      <c r="A28" s="775" t="str">
        <f>'205 Worksheet'!A148</f>
        <v>This is a test</v>
      </c>
      <c r="B28" s="165"/>
      <c r="C28" s="165"/>
      <c r="D28" s="165"/>
      <c r="E28" s="165"/>
      <c r="F28" s="165"/>
      <c r="G28" s="165"/>
      <c r="H28" s="165"/>
      <c r="I28" s="165"/>
      <c r="J28" s="210"/>
    </row>
    <row r="29">
      <c r="A29" s="104"/>
      <c r="B29" s="77"/>
      <c r="C29" s="77"/>
      <c r="D29" s="77"/>
      <c r="E29" s="77"/>
      <c r="F29" s="77"/>
      <c r="G29" s="77"/>
      <c r="H29" s="77"/>
      <c r="I29" s="77"/>
      <c r="J29" s="55"/>
    </row>
    <row r="30" ht="24.75" customHeight="1">
      <c r="A30" s="776" t="str">
        <f>Concatenate("6. Prepared by (Communications Unit Leader): Name: ", '205 Worksheet'!E150)  </f>
        <v>6. Prepared by (Communications Unit Leader): Name: </v>
      </c>
      <c r="B30" s="74"/>
      <c r="C30" s="74"/>
      <c r="D30" s="74"/>
      <c r="E30" s="74"/>
      <c r="F30" s="45"/>
      <c r="G30" s="777" t="s">
        <v>1134</v>
      </c>
      <c r="H30" s="74"/>
      <c r="I30" s="74"/>
      <c r="J30" s="45"/>
    </row>
    <row r="31">
      <c r="A31" s="778" t="s">
        <v>1135</v>
      </c>
      <c r="B31" s="77"/>
      <c r="C31" s="77"/>
      <c r="D31" s="77"/>
      <c r="E31" s="281"/>
      <c r="F31" s="389" t="s">
        <v>332</v>
      </c>
      <c r="G31" s="780" t="s">
        <v>389</v>
      </c>
      <c r="H31" s="781">
        <f>G3-1</f>
        <v>43892</v>
      </c>
      <c r="I31" s="782"/>
      <c r="J31" s="783">
        <f>'205 Worksheet'!E4</f>
        <v>1930</v>
      </c>
    </row>
    <row r="32" hidden="1">
      <c r="J32" s="788" t="s">
        <v>414</v>
      </c>
    </row>
    <row r="33" hidden="1"/>
    <row r="34" hidden="1"/>
    <row r="35" hidden="1"/>
    <row r="36" hidden="1"/>
    <row r="37" hidden="1"/>
    <row r="38" hidden="1"/>
    <row r="39" hidden="1"/>
    <row r="40" hidden="1"/>
    <row r="41" hidden="1"/>
    <row r="42" hidden="1"/>
    <row r="43" hidden="1"/>
    <row r="44" hidden="1"/>
    <row r="45" hidden="1"/>
    <row r="46" hidden="1"/>
    <row r="47" hidden="1"/>
    <row r="48" hidden="1"/>
    <row r="49" hidden="1"/>
    <row r="50" hidden="1"/>
    <row r="51" hidden="1"/>
    <row r="52" hidden="1"/>
    <row r="53" hidden="1"/>
    <row r="54" hidden="1"/>
    <row r="55" hidden="1"/>
    <row r="56" hidden="1"/>
    <row r="57" hidden="1"/>
    <row r="58" hidden="1"/>
    <row r="59" hidden="1"/>
    <row r="60" hidden="1"/>
    <row r="61" hidden="1"/>
    <row r="62" hidden="1"/>
    <row r="63" hidden="1"/>
    <row r="64" hidden="1"/>
    <row r="65" hidden="1"/>
    <row r="66" hidden="1"/>
    <row r="67" hidden="1"/>
    <row r="68" hidden="1"/>
    <row r="69" hidden="1"/>
    <row r="70" hidden="1"/>
    <row r="71" hidden="1"/>
    <row r="72" hidden="1"/>
    <row r="73" hidden="1"/>
    <row r="74" hidden="1"/>
    <row r="75" hidden="1"/>
    <row r="76" hidden="1"/>
    <row r="77" hidden="1"/>
    <row r="78" hidden="1"/>
    <row r="79" hidden="1"/>
    <row r="80" hidden="1"/>
    <row r="81" hidden="1"/>
    <row r="82" hidden="1"/>
    <row r="83" hidden="1"/>
    <row r="84" hidden="1"/>
    <row r="85" hidden="1"/>
    <row r="86" hidden="1"/>
    <row r="87" hidden="1"/>
    <row r="88" hidden="1"/>
    <row r="89" hidden="1"/>
    <row r="90" hidden="1"/>
    <row r="91" hidden="1"/>
    <row r="92" hidden="1"/>
    <row r="93" hidden="1"/>
    <row r="94" hidden="1"/>
    <row r="95" hidden="1"/>
    <row r="96" hidden="1"/>
    <row r="97" hidden="1"/>
    <row r="98" hidden="1"/>
    <row r="99" hidden="1"/>
    <row r="100" hidden="1"/>
    <row r="101" hidden="1"/>
    <row r="102" hidden="1"/>
    <row r="103" hidden="1"/>
    <row r="104" hidden="1"/>
    <row r="105" hidden="1"/>
    <row r="106" hidden="1"/>
    <row r="107" hidden="1"/>
    <row r="108" hidden="1"/>
    <row r="109" hidden="1"/>
    <row r="110" hidden="1"/>
    <row r="111" hidden="1"/>
    <row r="112" hidden="1"/>
    <row r="113" hidden="1"/>
    <row r="114" hidden="1"/>
    <row r="115" hidden="1"/>
    <row r="116" hidden="1"/>
    <row r="117" hidden="1"/>
    <row r="118" hidden="1"/>
    <row r="119" hidden="1"/>
    <row r="120" hidden="1"/>
    <row r="121" hidden="1"/>
    <row r="122" hidden="1"/>
    <row r="123" hidden="1"/>
    <row r="124" hidden="1"/>
    <row r="125" hidden="1"/>
    <row r="126" hidden="1"/>
    <row r="127" hidden="1"/>
    <row r="128" hidden="1"/>
    <row r="129" hidden="1"/>
    <row r="130" hidden="1"/>
    <row r="131" hidden="1"/>
    <row r="132" hidden="1"/>
    <row r="133" hidden="1"/>
    <row r="134" hidden="1"/>
    <row r="135" hidden="1"/>
    <row r="136" hidden="1"/>
    <row r="137" hidden="1"/>
    <row r="138" hidden="1"/>
    <row r="139" hidden="1"/>
    <row r="140" hidden="1"/>
    <row r="141" hidden="1"/>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hidden="1"/>
    <row r="498" hidden="1"/>
    <row r="499" hidden="1"/>
    <row r="500" hidden="1"/>
    <row r="501" hidden="1"/>
    <row r="502" hidden="1"/>
    <row r="503" hidden="1"/>
    <row r="504" hidden="1"/>
    <row r="505" hidden="1"/>
    <row r="506" hidden="1"/>
    <row r="507" hidden="1"/>
    <row r="508" hidden="1"/>
    <row r="509" hidden="1"/>
    <row r="510" hidden="1"/>
    <row r="511" hidden="1"/>
    <row r="512"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hidden="1"/>
    <row r="546" hidden="1"/>
    <row r="547" hidden="1"/>
    <row r="548" hidden="1"/>
    <row r="549" hidden="1"/>
    <row r="550" hidden="1"/>
    <row r="551" hidden="1"/>
    <row r="552" hidden="1"/>
    <row r="553" hidden="1"/>
    <row r="554" hidden="1"/>
    <row r="555" hidden="1"/>
    <row r="556" hidden="1"/>
    <row r="557" hidden="1"/>
    <row r="558" hidden="1"/>
    <row r="559" hidden="1"/>
    <row r="560" hidden="1"/>
    <row r="561" hidden="1"/>
    <row r="562" hidden="1"/>
    <row r="563" hidden="1"/>
    <row r="564" hidden="1"/>
    <row r="565" hidden="1"/>
    <row r="566" hidden="1"/>
    <row r="567" hidden="1"/>
    <row r="568" hidden="1"/>
    <row r="569" hidden="1"/>
    <row r="570" hidden="1"/>
    <row r="571" hidden="1"/>
    <row r="572" hidden="1"/>
    <row r="573" hidden="1"/>
    <row r="574" hidden="1"/>
    <row r="575" hidden="1"/>
    <row r="576" hidden="1"/>
    <row r="577" hidden="1"/>
    <row r="578" hidden="1"/>
    <row r="579" hidden="1"/>
    <row r="580" hidden="1"/>
    <row r="581" hidden="1"/>
    <row r="582" hidden="1"/>
    <row r="583" hidden="1"/>
    <row r="584" hidden="1"/>
    <row r="585" hidden="1"/>
    <row r="586" hidden="1"/>
    <row r="587" hidden="1"/>
    <row r="588" hidden="1"/>
    <row r="589" hidden="1"/>
    <row r="590" hidden="1"/>
    <row r="591" hidden="1"/>
    <row r="592" hidden="1"/>
    <row r="593" hidden="1"/>
    <row r="594" hidden="1"/>
    <row r="595" hidden="1"/>
    <row r="596" hidden="1"/>
    <row r="597" hidden="1"/>
    <row r="598" hidden="1"/>
    <row r="599" hidden="1"/>
    <row r="600" hidden="1"/>
    <row r="601" hidden="1"/>
    <row r="602" hidden="1"/>
    <row r="603" hidden="1"/>
    <row r="604" hidden="1"/>
    <row r="605" hidden="1"/>
    <row r="606" hidden="1"/>
    <row r="607" hidden="1"/>
    <row r="608" hidden="1"/>
    <row r="609" hidden="1"/>
    <row r="610" hidden="1"/>
    <row r="611" hidden="1"/>
    <row r="612" hidden="1"/>
    <row r="613" hidden="1"/>
    <row r="614" hidden="1"/>
    <row r="615" hidden="1"/>
    <row r="616" hidden="1"/>
    <row r="617" hidden="1"/>
    <row r="618" hidden="1"/>
    <row r="619" hidden="1"/>
    <row r="620" hidden="1"/>
    <row r="621" hidden="1"/>
    <row r="622" hidden="1"/>
    <row r="623" hidden="1"/>
    <row r="624" hidden="1"/>
    <row r="625" hidden="1"/>
    <row r="626" hidden="1"/>
    <row r="627" hidden="1"/>
    <row r="628" hidden="1"/>
    <row r="629" hidden="1"/>
    <row r="630" hidden="1"/>
    <row r="631" hidden="1"/>
    <row r="632" hidden="1"/>
    <row r="633" hidden="1"/>
    <row r="634" hidden="1"/>
    <row r="635" hidden="1"/>
    <row r="636" hidden="1"/>
    <row r="637" hidden="1"/>
    <row r="638" hidden="1"/>
    <row r="639" hidden="1"/>
    <row r="640" hidden="1"/>
    <row r="641" hidden="1"/>
    <row r="642" hidden="1"/>
    <row r="643" hidden="1"/>
    <row r="644" hidden="1"/>
    <row r="645" hidden="1"/>
    <row r="646" hidden="1"/>
    <row r="647" hidden="1"/>
    <row r="648" hidden="1"/>
    <row r="649" hidden="1"/>
    <row r="650" hidden="1"/>
    <row r="651" hidden="1"/>
    <row r="652" hidden="1"/>
    <row r="653" hidden="1"/>
    <row r="654" hidden="1"/>
    <row r="655" hidden="1"/>
    <row r="656" hidden="1"/>
    <row r="657" hidden="1"/>
    <row r="658" hidden="1"/>
    <row r="659" hidden="1"/>
    <row r="660" hidden="1"/>
    <row r="661" hidden="1"/>
    <row r="662" hidden="1"/>
    <row r="663" hidden="1"/>
    <row r="664" hidden="1"/>
    <row r="665" hidden="1"/>
    <row r="666" hidden="1"/>
    <row r="667" hidden="1"/>
    <row r="668" hidden="1"/>
    <row r="669" hidden="1"/>
    <row r="670" hidden="1"/>
    <row r="671" hidden="1"/>
    <row r="672" hidden="1"/>
    <row r="673" hidden="1"/>
    <row r="674" hidden="1"/>
    <row r="675" hidden="1"/>
    <row r="676" hidden="1"/>
    <row r="677" hidden="1"/>
    <row r="678" hidden="1"/>
    <row r="679" hidden="1"/>
    <row r="680" hidden="1"/>
    <row r="681" hidden="1"/>
    <row r="682" hidden="1"/>
    <row r="683" hidden="1"/>
    <row r="684" hidden="1"/>
    <row r="685" hidden="1"/>
    <row r="686" hidden="1"/>
    <row r="687" hidden="1"/>
    <row r="688" hidden="1"/>
    <row r="689" hidden="1"/>
    <row r="690" hidden="1"/>
    <row r="691" hidden="1"/>
    <row r="692" hidden="1"/>
    <row r="693" hidden="1"/>
    <row r="694" hidden="1"/>
    <row r="695" hidden="1"/>
    <row r="696" hidden="1"/>
    <row r="697" hidden="1"/>
    <row r="698" hidden="1"/>
    <row r="699" hidden="1"/>
    <row r="700" hidden="1"/>
    <row r="701" hidden="1"/>
    <row r="702" hidden="1"/>
    <row r="703" hidden="1"/>
    <row r="704" hidden="1"/>
    <row r="705" hidden="1"/>
    <row r="706" hidden="1"/>
    <row r="707" hidden="1"/>
    <row r="708" hidden="1"/>
    <row r="709" hidden="1"/>
    <row r="710" hidden="1"/>
    <row r="711" hidden="1"/>
    <row r="712" hidden="1"/>
    <row r="713" hidden="1"/>
    <row r="714" hidden="1"/>
    <row r="715" hidden="1"/>
    <row r="716" hidden="1"/>
    <row r="717" hidden="1"/>
    <row r="718" hidden="1"/>
    <row r="719" hidden="1"/>
    <row r="720" hidden="1"/>
    <row r="721" hidden="1"/>
    <row r="722" hidden="1"/>
    <row r="723" hidden="1"/>
    <row r="724" hidden="1"/>
    <row r="725" hidden="1"/>
    <row r="726" hidden="1"/>
    <row r="727" hidden="1"/>
    <row r="728" hidden="1"/>
    <row r="729" hidden="1"/>
    <row r="730" hidden="1"/>
    <row r="731" hidden="1"/>
    <row r="732" hidden="1"/>
    <row r="733" hidden="1"/>
    <row r="734" hidden="1"/>
    <row r="735" hidden="1"/>
    <row r="736" hidden="1"/>
    <row r="737" hidden="1"/>
    <row r="738" hidden="1"/>
    <row r="739" hidden="1"/>
    <row r="740" hidden="1"/>
    <row r="741" hidden="1"/>
    <row r="742" hidden="1"/>
    <row r="743" hidden="1"/>
    <row r="744" hidden="1"/>
    <row r="745" hidden="1"/>
    <row r="746" hidden="1"/>
    <row r="747" hidden="1"/>
    <row r="748" hidden="1"/>
    <row r="749" hidden="1"/>
    <row r="750" hidden="1"/>
    <row r="751" hidden="1"/>
    <row r="752" hidden="1"/>
    <row r="753" hidden="1"/>
    <row r="754" hidden="1"/>
    <row r="755" hidden="1"/>
    <row r="756" hidden="1"/>
    <row r="757" hidden="1"/>
    <row r="758" hidden="1"/>
    <row r="759" hidden="1"/>
    <row r="760" hidden="1"/>
    <row r="761" hidden="1"/>
    <row r="762" hidden="1"/>
    <row r="763" hidden="1"/>
    <row r="764" hidden="1"/>
    <row r="765" hidden="1"/>
    <row r="766" hidden="1"/>
    <row r="767" hidden="1"/>
    <row r="768" hidden="1"/>
    <row r="769" hidden="1"/>
    <row r="770" hidden="1"/>
    <row r="771" hidden="1"/>
    <row r="772" hidden="1"/>
    <row r="773" hidden="1"/>
    <row r="774" hidden="1"/>
    <row r="775" hidden="1"/>
    <row r="776" hidden="1"/>
    <row r="777" hidden="1"/>
    <row r="778" hidden="1"/>
    <row r="779" hidden="1"/>
    <row r="780" hidden="1"/>
    <row r="781" hidden="1"/>
    <row r="782" hidden="1"/>
    <row r="783" hidden="1"/>
    <row r="784" hidden="1"/>
    <row r="785" hidden="1"/>
    <row r="786" hidden="1"/>
    <row r="787" hidden="1"/>
    <row r="788" hidden="1"/>
    <row r="789" hidden="1"/>
    <row r="790" hidden="1"/>
    <row r="791" hidden="1"/>
    <row r="792" hidden="1"/>
    <row r="793" hidden="1"/>
    <row r="794" hidden="1"/>
    <row r="795" hidden="1"/>
    <row r="796" hidden="1"/>
    <row r="797" hidden="1"/>
    <row r="798" hidden="1"/>
    <row r="799" hidden="1"/>
    <row r="800" hidden="1"/>
    <row r="801" hidden="1"/>
    <row r="802" hidden="1"/>
    <row r="803" hidden="1"/>
    <row r="804" hidden="1"/>
    <row r="805" hidden="1"/>
    <row r="806" hidden="1"/>
    <row r="807" hidden="1"/>
    <row r="808" hidden="1"/>
    <row r="809" hidden="1"/>
    <row r="810" hidden="1"/>
    <row r="811" hidden="1"/>
    <row r="812" hidden="1"/>
    <row r="813" hidden="1"/>
    <row r="814" hidden="1"/>
    <row r="815" hidden="1"/>
    <row r="816" hidden="1"/>
    <row r="817" hidden="1"/>
    <row r="818" hidden="1"/>
    <row r="819" hidden="1"/>
    <row r="820" hidden="1"/>
    <row r="821" hidden="1"/>
    <row r="822" hidden="1"/>
    <row r="823" hidden="1"/>
    <row r="824" hidden="1"/>
    <row r="825" hidden="1"/>
    <row r="826" hidden="1"/>
    <row r="827" hidden="1"/>
    <row r="828" hidden="1"/>
    <row r="829" hidden="1"/>
    <row r="830" hidden="1"/>
    <row r="831" hidden="1"/>
    <row r="832" hidden="1"/>
    <row r="833" hidden="1"/>
    <row r="834" hidden="1"/>
    <row r="835" hidden="1"/>
    <row r="836" hidden="1"/>
    <row r="837" hidden="1"/>
    <row r="838" hidden="1"/>
    <row r="839" hidden="1"/>
    <row r="840" hidden="1"/>
    <row r="841" hidden="1"/>
    <row r="842" hidden="1"/>
    <row r="843" hidden="1"/>
    <row r="844" hidden="1"/>
    <row r="845" hidden="1"/>
    <row r="846" hidden="1"/>
    <row r="847" hidden="1"/>
    <row r="848" hidden="1"/>
    <row r="849" hidden="1"/>
    <row r="850" hidden="1"/>
    <row r="851" hidden="1"/>
    <row r="852" hidden="1"/>
    <row r="853" hidden="1"/>
    <row r="854" hidden="1"/>
    <row r="855" hidden="1"/>
    <row r="856" hidden="1"/>
    <row r="857" hidden="1"/>
    <row r="858" hidden="1"/>
    <row r="859" hidden="1"/>
    <row r="860" hidden="1"/>
    <row r="861" hidden="1"/>
    <row r="862" hidden="1"/>
    <row r="863" hidden="1"/>
    <row r="864" hidden="1"/>
    <row r="865" hidden="1"/>
    <row r="866" hidden="1"/>
    <row r="867" hidden="1"/>
    <row r="868" hidden="1"/>
    <row r="869" hidden="1"/>
    <row r="870" hidden="1"/>
    <row r="871" hidden="1"/>
    <row r="872" hidden="1"/>
    <row r="873" hidden="1"/>
    <row r="874" hidden="1"/>
    <row r="875" hidden="1"/>
    <row r="876" hidden="1"/>
    <row r="877" hidden="1"/>
    <row r="878" hidden="1"/>
    <row r="879" hidden="1"/>
    <row r="880" hidden="1"/>
    <row r="881" hidden="1"/>
    <row r="882" hidden="1"/>
    <row r="883" hidden="1"/>
    <row r="884" hidden="1"/>
    <row r="885" hidden="1"/>
    <row r="886" hidden="1"/>
    <row r="887" hidden="1"/>
    <row r="888" hidden="1"/>
    <row r="889" hidden="1"/>
    <row r="890" hidden="1"/>
    <row r="891" hidden="1"/>
    <row r="892" hidden="1"/>
    <row r="893" hidden="1"/>
    <row r="894" hidden="1"/>
    <row r="895" hidden="1"/>
    <row r="896" hidden="1"/>
    <row r="897" hidden="1"/>
    <row r="898" hidden="1"/>
    <row r="899" hidden="1"/>
    <row r="900" hidden="1"/>
    <row r="901" hidden="1"/>
    <row r="902" hidden="1"/>
    <row r="903" hidden="1"/>
    <row r="904" hidden="1"/>
    <row r="905" hidden="1"/>
    <row r="906" hidden="1"/>
    <row r="907" hidden="1"/>
    <row r="908" hidden="1"/>
    <row r="909" hidden="1"/>
    <row r="910" hidden="1"/>
    <row r="911" hidden="1"/>
    <row r="912" hidden="1"/>
    <row r="913" hidden="1"/>
    <row r="914" hidden="1"/>
    <row r="915" hidden="1"/>
    <row r="916" hidden="1"/>
    <row r="917" hidden="1"/>
    <row r="918" hidden="1"/>
    <row r="919" hidden="1"/>
    <row r="920" hidden="1"/>
    <row r="921" hidden="1"/>
    <row r="922" hidden="1"/>
    <row r="923" hidden="1"/>
    <row r="924" hidden="1"/>
    <row r="925" hidden="1"/>
    <row r="926" hidden="1"/>
    <row r="927" hidden="1"/>
    <row r="928" hidden="1"/>
    <row r="929" hidden="1"/>
    <row r="930" hidden="1"/>
    <row r="931" hidden="1"/>
    <row r="932" hidden="1"/>
    <row r="933" hidden="1"/>
    <row r="934" hidden="1"/>
    <row r="935" hidden="1"/>
    <row r="936" hidden="1"/>
    <row r="937" hidden="1"/>
    <row r="938" hidden="1"/>
    <row r="939" hidden="1"/>
    <row r="940" hidden="1"/>
    <row r="941" hidden="1"/>
    <row r="942" hidden="1"/>
    <row r="943" hidden="1"/>
    <row r="944" hidden="1"/>
    <row r="945" hidden="1"/>
    <row r="946" hidden="1"/>
    <row r="947" hidden="1"/>
    <row r="948" hidden="1"/>
    <row r="949" hidden="1"/>
    <row r="950" hidden="1"/>
    <row r="951" hidden="1"/>
    <row r="952" hidden="1"/>
    <row r="953" hidden="1"/>
    <row r="954" hidden="1"/>
    <row r="955" hidden="1"/>
    <row r="956" hidden="1"/>
    <row r="957" hidden="1"/>
    <row r="958" hidden="1"/>
    <row r="959" hidden="1"/>
    <row r="960" hidden="1"/>
    <row r="961" hidden="1"/>
    <row r="962" hidden="1"/>
    <row r="963" hidden="1"/>
    <row r="964" hidden="1"/>
    <row r="965" hidden="1"/>
    <row r="966" hidden="1"/>
    <row r="967" hidden="1"/>
    <row r="968" hidden="1"/>
    <row r="969" hidden="1"/>
    <row r="970" hidden="1"/>
    <row r="971" hidden="1"/>
    <row r="972" hidden="1"/>
    <row r="973" hidden="1"/>
    <row r="974" hidden="1"/>
    <row r="975" hidden="1"/>
    <row r="976" hidden="1"/>
    <row r="977" hidden="1"/>
    <row r="978" hidden="1"/>
    <row r="979" hidden="1"/>
    <row r="980" hidden="1"/>
    <row r="981" hidden="1"/>
    <row r="982" hidden="1"/>
    <row r="983" hidden="1"/>
    <row r="984" hidden="1"/>
    <row r="985" hidden="1"/>
    <row r="986" hidden="1"/>
    <row r="987" hidden="1"/>
    <row r="988" hidden="1"/>
    <row r="989" hidden="1"/>
    <row r="990" hidden="1"/>
    <row r="991" hidden="1"/>
    <row r="992" hidden="1"/>
    <row r="993" hidden="1"/>
    <row r="994" hidden="1"/>
    <row r="995" hidden="1"/>
    <row r="996" hidden="1"/>
    <row r="997" hidden="1"/>
    <row r="998" hidden="1"/>
    <row r="999" hidden="1"/>
    <row r="1000" hidden="1"/>
    <row r="1001" hidden="1"/>
    <row r="1002" hidden="1"/>
    <row r="1003" hidden="1"/>
    <row r="1004" hidden="1"/>
  </sheetData>
  <mergeCells count="11">
    <mergeCell ref="A28:J29"/>
    <mergeCell ref="A30:F30"/>
    <mergeCell ref="G30:J30"/>
    <mergeCell ref="A31:D31"/>
    <mergeCell ref="A1:H1"/>
    <mergeCell ref="A2:C2"/>
    <mergeCell ref="A3:C3"/>
    <mergeCell ref="A4:C4"/>
    <mergeCell ref="A5:C5"/>
    <mergeCell ref="D5:J5"/>
    <mergeCell ref="A27:J27"/>
  </mergeCells>
  <printOptions horizontalCentered="1"/>
  <pageMargins bottom="0.2575609756097561" footer="0.0" header="0.0" left="0.25" right="0.25" top="0.27902439024390246"/>
  <pageSetup orientation="landscape" pageOrder="overThenDown"/>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pageSetUpPr fitToPage="1"/>
  </sheetPr>
  <sheetViews>
    <sheetView showGridLines="0" workbookViewId="0"/>
  </sheetViews>
  <sheetFormatPr customHeight="1" defaultColWidth="12.63" defaultRowHeight="15.75"/>
  <cols>
    <col customWidth="1" min="1" max="1" width="5.25"/>
    <col customWidth="1" min="2" max="2" width="14.25"/>
    <col customWidth="1" min="3" max="3" width="12.38"/>
    <col customWidth="1" min="4" max="4" width="19.13"/>
    <col customWidth="1" min="5" max="5" width="9.38"/>
    <col customWidth="1" min="6" max="6" width="9.25"/>
    <col customWidth="1" min="7" max="7" width="9.5"/>
    <col customWidth="1" min="8" max="9" width="9.63"/>
    <col customWidth="1" min="10" max="10" width="32.75"/>
  </cols>
  <sheetData>
    <row r="1">
      <c r="A1" s="419" t="s">
        <v>1131</v>
      </c>
      <c r="B1" s="77"/>
      <c r="C1" s="77"/>
      <c r="D1" s="77"/>
      <c r="E1" s="77"/>
      <c r="F1" s="77"/>
      <c r="G1" s="77"/>
      <c r="H1" s="77"/>
      <c r="I1" s="784"/>
      <c r="J1" s="785" t="s">
        <v>414</v>
      </c>
    </row>
    <row r="2">
      <c r="A2" s="399" t="s">
        <v>282</v>
      </c>
      <c r="B2" s="165"/>
      <c r="C2" s="165"/>
      <c r="D2" s="432" t="s">
        <v>471</v>
      </c>
      <c r="F2" s="432" t="s">
        <v>472</v>
      </c>
      <c r="G2" s="581"/>
      <c r="H2" s="581"/>
      <c r="I2" s="581"/>
      <c r="J2" s="749"/>
    </row>
    <row r="3">
      <c r="A3" s="404" t="str">
        <f>IncName</f>
        <v>NO NAME</v>
      </c>
      <c r="D3" s="750" t="s">
        <v>473</v>
      </c>
      <c r="E3" s="751">
        <f>G3-1</f>
        <v>43892</v>
      </c>
      <c r="F3" s="423" t="s">
        <v>284</v>
      </c>
      <c r="G3" s="407">
        <f>OpDate</f>
        <v>43893</v>
      </c>
      <c r="H3" s="408" t="s">
        <v>130</v>
      </c>
      <c r="I3" s="408"/>
      <c r="J3" s="752">
        <f>OpDateTo</f>
        <v>43894</v>
      </c>
    </row>
    <row r="4">
      <c r="A4" s="786" t="str">
        <f>'205 Worksheet'!B120</f>
        <v>Page 5</v>
      </c>
      <c r="B4" s="77"/>
      <c r="C4" s="77"/>
      <c r="D4" s="754" t="s">
        <v>476</v>
      </c>
      <c r="E4" s="755">
        <f>'205 Worksheet'!E4</f>
        <v>1930</v>
      </c>
      <c r="F4" s="427" t="s">
        <v>131</v>
      </c>
      <c r="G4" s="756" t="str">
        <f>OpStart</f>
        <v>0700</v>
      </c>
      <c r="H4" s="757" t="s">
        <v>133</v>
      </c>
      <c r="I4" s="757"/>
      <c r="J4" s="758" t="str">
        <f>OpEnd</f>
        <v>0700</v>
      </c>
    </row>
    <row r="5">
      <c r="A5" s="444" t="s">
        <v>478</v>
      </c>
      <c r="B5" s="74"/>
      <c r="C5" s="45"/>
      <c r="D5" s="759"/>
      <c r="E5" s="74"/>
      <c r="F5" s="74"/>
      <c r="G5" s="74"/>
      <c r="H5" s="74"/>
      <c r="I5" s="74"/>
      <c r="J5" s="45"/>
    </row>
    <row r="6">
      <c r="A6" s="601" t="s">
        <v>1132</v>
      </c>
      <c r="B6" s="604" t="s">
        <v>485</v>
      </c>
      <c r="C6" s="604" t="s">
        <v>352</v>
      </c>
      <c r="D6" s="603" t="s">
        <v>1133</v>
      </c>
      <c r="E6" s="602" t="s">
        <v>486</v>
      </c>
      <c r="F6" s="602" t="s">
        <v>487</v>
      </c>
      <c r="G6" s="602" t="s">
        <v>488</v>
      </c>
      <c r="H6" s="602" t="s">
        <v>489</v>
      </c>
      <c r="I6" s="602" t="s">
        <v>433</v>
      </c>
      <c r="J6" s="602" t="s">
        <v>434</v>
      </c>
    </row>
    <row r="7" ht="22.5" customHeight="1">
      <c r="A7" s="760">
        <v>1.0</v>
      </c>
      <c r="B7" s="761" t="str">
        <f> IF(ISERROR(vlookup(Concatenate("P5.",A7),Order205,4,FALSE)), "", vlookup(Concatenate("P5.",A7),Order205,4,FALSE))</f>
        <v>COMMAND</v>
      </c>
      <c r="C7" s="762" t="str">
        <f> IF(ISERROR(vlookup(Concatenate("P5.",A7),Order205,2,FALSE)), "", vlookup(Concatenate("P5.",A7),Order205,2,FALSE))</f>
        <v>CDF C4</v>
      </c>
      <c r="D7" s="763" t="str">
        <f> IF(ISERROR(vlookup(Concatenate("P5.",A7),Order205,3,FALSE)), "", vlookup(Concatenate("P5.",A7),Order205,3,FALSE))</f>
        <v>FIRE NET</v>
      </c>
      <c r="E7" s="764">
        <f> IF(ISERROR(vlookup(Concatenate("P5.",A7),Order205,5,FALSE)), "", vlookup(Concatenate("P5.",A7),Order205,5,FALSE))</f>
        <v>151.4</v>
      </c>
      <c r="F7" s="765" t="str">
        <f> IF(ISERROR(vlookup(Concatenate("P5.",A7),Order205,6,FALSE)), "", vlookup(Concatenate("P5.",A7),Order205,6,FALSE))</f>
        <v>(T8)  103.5</v>
      </c>
      <c r="G7" s="764">
        <f> IF(ISERROR(vlookup(Concatenate("P5.",A7),Order205,7,FALSE)), "", vlookup(Concatenate("P5.",A7),Order205,7,FALSE))</f>
        <v>159.375</v>
      </c>
      <c r="H7" s="765" t="str">
        <f> IF(ISERROR(vlookup(Concatenate("P5.",A7),Order205,8,FALSE)), "", vlookup(Concatenate("P5.",A7),Order205,8,FALSE))</f>
        <v>OST</v>
      </c>
      <c r="I7" s="765" t="str">
        <f> IF(ISERROR(vlookup(Concatenate("P5.",A7),Order205,9,FALSE)), "", vlookup(Concatenate("P5.",A7),Order205,9,FALSE))</f>
        <v>A</v>
      </c>
      <c r="J7" s="787" t="str">
        <f> IF(ISERROR(vlookup(Concatenate("P5.",A7),Order205,10,FALSE)), "", vlookup(Concatenate("P5.",A7),Order205,10,FALSE))</f>
        <v/>
      </c>
    </row>
    <row r="8" ht="22.5" customHeight="1">
      <c r="A8" s="760">
        <v>2.0</v>
      </c>
      <c r="B8" s="761" t="str">
        <f> IF(ISERROR(vlookup(Concatenate("P5.",A8),Order205,4,FALSE)), "", vlookup(Concatenate("P5.",A8),Order205,4,FALSE))</f>
        <v/>
      </c>
      <c r="C8" s="762" t="str">
        <f> IF(ISERROR(vlookup(Concatenate("P5.",A8),Order205,2,FALSE)), "", vlookup(Concatenate("P5.",A8),Order205,2,FALSE))</f>
        <v/>
      </c>
      <c r="D8" s="763" t="str">
        <f> IF(ISERROR(vlookup(Concatenate("P5.",A8),Order205,3,FALSE)), "", vlookup(Concatenate("P5.",A8),Order205,3,FALSE))</f>
        <v/>
      </c>
      <c r="E8" s="764" t="str">
        <f> IF(ISERROR(vlookup(Concatenate("P5.",A8),Order205,5,FALSE)), "", vlookup(Concatenate("P5.",A8),Order205,5,FALSE))</f>
        <v/>
      </c>
      <c r="F8" s="763" t="str">
        <f> IF(ISERROR(vlookup(Concatenate("P5.",A8),Order205,6,FALSE)), "", vlookup(Concatenate("P5.",A8),Order205,6,FALSE))</f>
        <v/>
      </c>
      <c r="G8" s="764" t="str">
        <f> IF(ISERROR(vlookup(Concatenate("P5.",A8),Order205,7,FALSE)), "", vlookup(Concatenate("P5.",A8),Order205,7,FALSE))</f>
        <v/>
      </c>
      <c r="H8" s="763" t="str">
        <f> IF(ISERROR(vlookup(Concatenate("P5.",A8),Order205,8,FALSE)), "", vlookup(Concatenate("P5.",A8),Order205,8,FALSE))</f>
        <v/>
      </c>
      <c r="I8" s="763" t="str">
        <f> IF(ISERROR(vlookup(Concatenate("P5.",A8),Order205,9,FALSE)), "", vlookup(Concatenate("P5.",A8),Order205,9,FALSE))</f>
        <v/>
      </c>
      <c r="J8" s="787" t="str">
        <f> IF(ISERROR(vlookup(Concatenate("P5.",A8),Order205,10,FALSE)), "", vlookup(Concatenate("P5.",A8),Order205,10,FALSE))</f>
        <v/>
      </c>
    </row>
    <row r="9" ht="22.5" customHeight="1">
      <c r="A9" s="760">
        <v>3.0</v>
      </c>
      <c r="B9" s="761" t="str">
        <f> IF(ISERROR(vlookup(Concatenate("P5.",A9),Order205,4,FALSE)), "", vlookup(Concatenate("P5.",A9),Order205,4,FALSE))</f>
        <v/>
      </c>
      <c r="C9" s="762" t="str">
        <f> IF(ISERROR(vlookup(Concatenate("P5.",A9),Order205,2,FALSE)), "", vlookup(Concatenate("P5.",A9),Order205,2,FALSE))</f>
        <v/>
      </c>
      <c r="D9" s="763" t="str">
        <f> IF(ISERROR(vlookup(Concatenate("P5.",A9),Order205,3,FALSE)), "", vlookup(Concatenate("P5.",A9),Order205,3,FALSE))</f>
        <v/>
      </c>
      <c r="E9" s="764" t="str">
        <f> IF(ISERROR(vlookup(Concatenate("P5.",A9),Order205,5,FALSE)), "", vlookup(Concatenate("P5.",A9),Order205,5,FALSE))</f>
        <v/>
      </c>
      <c r="F9" s="763" t="str">
        <f> IF(ISERROR(vlookup(Concatenate("P5.",A9),Order205,6,FALSE)), "", vlookup(Concatenate("P5.",A9),Order205,6,FALSE))</f>
        <v/>
      </c>
      <c r="G9" s="764" t="str">
        <f> IF(ISERROR(vlookup(Concatenate("P5.",A9),Order205,7,FALSE)), "", vlookup(Concatenate("P5.",A9),Order205,7,FALSE))</f>
        <v/>
      </c>
      <c r="H9" s="763" t="str">
        <f> IF(ISERROR(vlookup(Concatenate("P5.",A9),Order205,8,FALSE)), "", vlookup(Concatenate("P5.",A9),Order205,8,FALSE))</f>
        <v/>
      </c>
      <c r="I9" s="763" t="str">
        <f> IF(ISERROR(vlookup(Concatenate("P5.",A9),Order205,9,FALSE)), "", vlookup(Concatenate("P5.",A9),Order205,9,FALSE))</f>
        <v/>
      </c>
      <c r="J9" s="787" t="str">
        <f> IF(ISERROR(vlookup(Concatenate("P5.",A9),Order205,10,FALSE)), "", vlookup(Concatenate("P5.",A9),Order205,10,FALSE))</f>
        <v/>
      </c>
    </row>
    <row r="10" ht="22.5" customHeight="1">
      <c r="A10" s="760">
        <v>4.0</v>
      </c>
      <c r="B10" s="761" t="str">
        <f> IF(ISERROR(vlookup(Concatenate("P5.",A10),Order205,4,FALSE)), "", vlookup(Concatenate("P5.",A10),Order205,4,FALSE))</f>
        <v/>
      </c>
      <c r="C10" s="762" t="str">
        <f> IF(ISERROR(vlookup(Concatenate("P5.",A10),Order205,2,FALSE)), "", vlookup(Concatenate("P5.",A10),Order205,2,FALSE))</f>
        <v/>
      </c>
      <c r="D10" s="763" t="str">
        <f> IF(ISERROR(vlookup(Concatenate("P5.",A10),Order205,3,FALSE)), "", vlookup(Concatenate("P5.",A10),Order205,3,FALSE))</f>
        <v/>
      </c>
      <c r="E10" s="764" t="str">
        <f> IF(ISERROR(vlookup(Concatenate("P5.",A10),Order205,5,FALSE)), "", vlookup(Concatenate("P5.",A10),Order205,5,FALSE))</f>
        <v/>
      </c>
      <c r="F10" s="763" t="str">
        <f> IF(ISERROR(vlookup(Concatenate("P5.",A10),Order205,6,FALSE)), "", vlookup(Concatenate("P5.",A10),Order205,6,FALSE))</f>
        <v/>
      </c>
      <c r="G10" s="764" t="str">
        <f> IF(ISERROR(vlookup(Concatenate("P5.",A10),Order205,7,FALSE)), "", vlookup(Concatenate("P5.",A10),Order205,7,FALSE))</f>
        <v/>
      </c>
      <c r="H10" s="763" t="str">
        <f> IF(ISERROR(vlookup(Concatenate("P5.",A10),Order205,8,FALSE)), "", vlookup(Concatenate("P5.",A10),Order205,8,FALSE))</f>
        <v/>
      </c>
      <c r="I10" s="763" t="str">
        <f> IF(ISERROR(vlookup(Concatenate("P5.",A10),Order205,9,FALSE)), "", vlookup(Concatenate("P5.",A10),Order205,9,FALSE))</f>
        <v/>
      </c>
      <c r="J10" s="787" t="str">
        <f> IF(ISERROR(vlookup(Concatenate("P5.",A10),Order205,10,FALSE)), "", vlookup(Concatenate("P5.",A10),Order205,10,FALSE))</f>
        <v/>
      </c>
    </row>
    <row r="11" ht="22.5" customHeight="1">
      <c r="A11" s="760">
        <v>5.0</v>
      </c>
      <c r="B11" s="761" t="str">
        <f> IF(ISERROR(vlookup(Concatenate("P5.",A11),Order205,4,FALSE)), "", vlookup(Concatenate("P5.",A11),Order205,4,FALSE))</f>
        <v/>
      </c>
      <c r="C11" s="762" t="str">
        <f> IF(ISERROR(vlookup(Concatenate("P5.",A11),Order205,2,FALSE)), "", vlookup(Concatenate("P5.",A11),Order205,2,FALSE))</f>
        <v/>
      </c>
      <c r="D11" s="763" t="str">
        <f> IF(ISERROR(vlookup(Concatenate("P5.",A11),Order205,3,FALSE)), "", vlookup(Concatenate("P5.",A11),Order205,3,FALSE))</f>
        <v/>
      </c>
      <c r="E11" s="764" t="str">
        <f> IF(ISERROR(vlookup(Concatenate("P5.",A11),Order205,5,FALSE)), "", vlookup(Concatenate("P5.",A11),Order205,5,FALSE))</f>
        <v/>
      </c>
      <c r="F11" s="763" t="str">
        <f> IF(ISERROR(vlookup(Concatenate("P5.",A11),Order205,6,FALSE)), "", vlookup(Concatenate("P5.",A11),Order205,6,FALSE))</f>
        <v/>
      </c>
      <c r="G11" s="764" t="str">
        <f> IF(ISERROR(vlookup(Concatenate("P5.",A11),Order205,7,FALSE)), "", vlookup(Concatenate("P5.",A11),Order205,7,FALSE))</f>
        <v/>
      </c>
      <c r="H11" s="763" t="str">
        <f> IF(ISERROR(vlookup(Concatenate("P5.",A11),Order205,8,FALSE)), "", vlookup(Concatenate("P5.",A11),Order205,8,FALSE))</f>
        <v/>
      </c>
      <c r="I11" s="763" t="str">
        <f> IF(ISERROR(vlookup(Concatenate("P5.",A11),Order205,9,FALSE)), "", vlookup(Concatenate("P5.",A11),Order205,9,FALSE))</f>
        <v/>
      </c>
      <c r="J11" s="787" t="str">
        <f> IF(ISERROR(vlookup(Concatenate("P5.",A11),Order205,10,FALSE)), "", vlookup(Concatenate("P5.",A11),Order205,10,FALSE))</f>
        <v/>
      </c>
    </row>
    <row r="12" ht="22.5" customHeight="1">
      <c r="A12" s="760">
        <v>6.0</v>
      </c>
      <c r="B12" s="761" t="str">
        <f> IF(ISERROR(vlookup(Concatenate("P5.",A12),Order205,4,FALSE)), "", vlookup(Concatenate("P5.",A12),Order205,4,FALSE))</f>
        <v/>
      </c>
      <c r="C12" s="762" t="str">
        <f> IF(ISERROR(vlookup(Concatenate("P5.",A12),Order205,2,FALSE)), "", vlookup(Concatenate("P5.",A12),Order205,2,FALSE))</f>
        <v/>
      </c>
      <c r="D12" s="763" t="str">
        <f> IF(ISERROR(vlookup(Concatenate("P5.",A12),Order205,3,FALSE)), "", vlookup(Concatenate("P5.",A12),Order205,3,FALSE))</f>
        <v/>
      </c>
      <c r="E12" s="764" t="str">
        <f> IF(ISERROR(vlookup(Concatenate("P5.",A12),Order205,5,FALSE)), "", vlookup(Concatenate("P5.",A12),Order205,5,FALSE))</f>
        <v/>
      </c>
      <c r="F12" s="763" t="str">
        <f> IF(ISERROR(vlookup(Concatenate("P5.",A12),Order205,6,FALSE)), "", vlookup(Concatenate("P5.",A12),Order205,6,FALSE))</f>
        <v/>
      </c>
      <c r="G12" s="764" t="str">
        <f> IF(ISERROR(vlookup(Concatenate("P5.",A12),Order205,7,FALSE)), "", vlookup(Concatenate("P5.",A12),Order205,7,FALSE))</f>
        <v/>
      </c>
      <c r="H12" s="763" t="str">
        <f> IF(ISERROR(vlookup(Concatenate("P5.",A12),Order205,8,FALSE)), "", vlookup(Concatenate("P5.",A12),Order205,8,FALSE))</f>
        <v/>
      </c>
      <c r="I12" s="763" t="str">
        <f> IF(ISERROR(vlookup(Concatenate("P5.",A12),Order205,9,FALSE)), "", vlookup(Concatenate("P5.",A12),Order205,9,FALSE))</f>
        <v/>
      </c>
      <c r="J12" s="787" t="str">
        <f> IF(ISERROR(vlookup(Concatenate("P5.",A12),Order205,10,FALSE)), "", vlookup(Concatenate("P5.",A12),Order205,10,FALSE))</f>
        <v/>
      </c>
    </row>
    <row r="13" ht="22.5" customHeight="1">
      <c r="A13" s="760">
        <v>7.0</v>
      </c>
      <c r="B13" s="761" t="str">
        <f> IF(ISERROR(vlookup(Concatenate("P5.",A13),Order205,4,FALSE)), "", vlookup(Concatenate("P5.",A13),Order205,4,FALSE))</f>
        <v/>
      </c>
      <c r="C13" s="762" t="str">
        <f> IF(ISERROR(vlookup(Concatenate("P5.",A13),Order205,2,FALSE)), "", vlookup(Concatenate("P5.",A13),Order205,2,FALSE))</f>
        <v/>
      </c>
      <c r="D13" s="763" t="str">
        <f> IF(ISERROR(vlookup(Concatenate("P5.",A13),Order205,3,FALSE)), "", vlookup(Concatenate("P5.",A13),Order205,3,FALSE))</f>
        <v/>
      </c>
      <c r="E13" s="764" t="str">
        <f> IF(ISERROR(vlookup(Concatenate("P5.",A13),Order205,5,FALSE)), "", vlookup(Concatenate("P5.",A13),Order205,5,FALSE))</f>
        <v/>
      </c>
      <c r="F13" s="763" t="str">
        <f> IF(ISERROR(vlookup(Concatenate("P5.",A13),Order205,6,FALSE)), "", vlookup(Concatenate("P5.",A13),Order205,6,FALSE))</f>
        <v/>
      </c>
      <c r="G13" s="764" t="str">
        <f> IF(ISERROR(vlookup(Concatenate("P5.",A13),Order205,7,FALSE)), "", vlookup(Concatenate("P5.",A13),Order205,7,FALSE))</f>
        <v/>
      </c>
      <c r="H13" s="763" t="str">
        <f> IF(ISERROR(vlookup(Concatenate("P5.",A13),Order205,8,FALSE)), "", vlookup(Concatenate("P5.",A13),Order205,8,FALSE))</f>
        <v/>
      </c>
      <c r="I13" s="763" t="str">
        <f> IF(ISERROR(vlookup(Concatenate("P5.",A13),Order205,9,FALSE)), "", vlookup(Concatenate("P5.",A13),Order205,9,FALSE))</f>
        <v/>
      </c>
      <c r="J13" s="787" t="str">
        <f> IF(ISERROR(vlookup(Concatenate("P5.",A13),Order205,10,FALSE)), "", vlookup(Concatenate("P5.",A13),Order205,10,FALSE))</f>
        <v/>
      </c>
    </row>
    <row r="14" ht="22.5" customHeight="1">
      <c r="A14" s="760">
        <v>8.0</v>
      </c>
      <c r="B14" s="761" t="str">
        <f> IF(ISERROR(vlookup(Concatenate("P5.",A14),Order205,4,FALSE)), "", vlookup(Concatenate("P5.",A14),Order205,4,FALSE))</f>
        <v/>
      </c>
      <c r="C14" s="762" t="str">
        <f> IF(ISERROR(vlookup(Concatenate("P5.",A14),Order205,2,FALSE)), "", vlookup(Concatenate("P5.",A14),Order205,2,FALSE))</f>
        <v/>
      </c>
      <c r="D14" s="763" t="str">
        <f> IF(ISERROR(vlookup(Concatenate("P5.",A14),Order205,3,FALSE)), "", vlookup(Concatenate("P5.",A14),Order205,3,FALSE))</f>
        <v/>
      </c>
      <c r="E14" s="764" t="str">
        <f> IF(ISERROR(vlookup(Concatenate("P5.",A14),Order205,5,FALSE)), "", vlookup(Concatenate("P5.",A14),Order205,5,FALSE))</f>
        <v/>
      </c>
      <c r="F14" s="763" t="str">
        <f> IF(ISERROR(vlookup(Concatenate("P5.",A14),Order205,6,FALSE)), "", vlookup(Concatenate("P5.",A14),Order205,6,FALSE))</f>
        <v/>
      </c>
      <c r="G14" s="764" t="str">
        <f> IF(ISERROR(vlookup(Concatenate("P5.",A14),Order205,7,FALSE)), "", vlookup(Concatenate("P5.",A14),Order205,7,FALSE))</f>
        <v/>
      </c>
      <c r="H14" s="763" t="str">
        <f> IF(ISERROR(vlookup(Concatenate("P5.",A14),Order205,8,FALSE)), "", vlookup(Concatenate("P5.",A14),Order205,8,FALSE))</f>
        <v/>
      </c>
      <c r="I14" s="763" t="str">
        <f> IF(ISERROR(vlookup(Concatenate("P5.",A14),Order205,9,FALSE)), "", vlookup(Concatenate("P5.",A14),Order205,9,FALSE))</f>
        <v/>
      </c>
      <c r="J14" s="787" t="str">
        <f> IF(ISERROR(vlookup(Concatenate("P5.",A14),Order205,10,FALSE)), "", vlookup(Concatenate("P5.",A14),Order205,10,FALSE))</f>
        <v/>
      </c>
    </row>
    <row r="15" ht="22.5" customHeight="1">
      <c r="A15" s="760">
        <v>9.0</v>
      </c>
      <c r="B15" s="761" t="str">
        <f> IF(ISERROR(vlookup(Concatenate("P5.",A15),Order205,4,FALSE)), "", vlookup(Concatenate("P5.",A15),Order205,4,FALSE))</f>
        <v/>
      </c>
      <c r="C15" s="762" t="str">
        <f> IF(ISERROR(vlookup(Concatenate("P5.",A15),Order205,2,FALSE)), "", vlookup(Concatenate("P5.",A15),Order205,2,FALSE))</f>
        <v/>
      </c>
      <c r="D15" s="763" t="str">
        <f> IF(ISERROR(vlookup(Concatenate("P5.",A15),Order205,3,FALSE)), "", vlookup(Concatenate("P5.",A15),Order205,3,FALSE))</f>
        <v/>
      </c>
      <c r="E15" s="764" t="str">
        <f> IF(ISERROR(vlookup(Concatenate("P5.",A15),Order205,5,FALSE)), "", vlookup(Concatenate("P5.",A15),Order205,5,FALSE))</f>
        <v/>
      </c>
      <c r="F15" s="763" t="str">
        <f> IF(ISERROR(vlookup(Concatenate("P5.",A15),Order205,6,FALSE)), "", vlookup(Concatenate("P5.",A15),Order205,6,FALSE))</f>
        <v/>
      </c>
      <c r="G15" s="764" t="str">
        <f> IF(ISERROR(vlookup(Concatenate("P5.",A15),Order205,7,FALSE)), "", vlookup(Concatenate("P5.",A15),Order205,7,FALSE))</f>
        <v/>
      </c>
      <c r="H15" s="763" t="str">
        <f> IF(ISERROR(vlookup(Concatenate("P5.",A15),Order205,8,FALSE)), "", vlookup(Concatenate("P5.",A15),Order205,8,FALSE))</f>
        <v/>
      </c>
      <c r="I15" s="763" t="str">
        <f> IF(ISERROR(vlookup(Concatenate("P5.",A15),Order205,9,FALSE)), "", vlookup(Concatenate("P5.",A15),Order205,9,FALSE))</f>
        <v/>
      </c>
      <c r="J15" s="787" t="str">
        <f> IF(ISERROR(vlookup(Concatenate("P5.",A15),Order205,10,FALSE)), "", vlookup(Concatenate("P5.",A15),Order205,10,FALSE))</f>
        <v/>
      </c>
    </row>
    <row r="16" ht="22.5" customHeight="1">
      <c r="A16" s="760">
        <v>10.0</v>
      </c>
      <c r="B16" s="761" t="str">
        <f> IF(ISERROR(vlookup(Concatenate("P5.",A16),Order205,4,FALSE)), "", vlookup(Concatenate("P5.",A16),Order205,4,FALSE))</f>
        <v/>
      </c>
      <c r="C16" s="762" t="str">
        <f> IF(ISERROR(vlookup(Concatenate("P5.",A16),Order205,2,FALSE)), "", vlookup(Concatenate("P5.",A16),Order205,2,FALSE))</f>
        <v/>
      </c>
      <c r="D16" s="763" t="str">
        <f> IF(ISERROR(vlookup(Concatenate("P5.",A16),Order205,3,FALSE)), "", vlookup(Concatenate("P5.",A16),Order205,3,FALSE))</f>
        <v/>
      </c>
      <c r="E16" s="764" t="str">
        <f> IF(ISERROR(vlookup(Concatenate("P5.",A16),Order205,5,FALSE)), "", vlookup(Concatenate("P5.",A16),Order205,5,FALSE))</f>
        <v/>
      </c>
      <c r="F16" s="763" t="str">
        <f> IF(ISERROR(vlookup(Concatenate("P5.",A16),Order205,6,FALSE)), "", vlookup(Concatenate("P5.",A16),Order205,6,FALSE))</f>
        <v/>
      </c>
      <c r="G16" s="764" t="str">
        <f> IF(ISERROR(vlookup(Concatenate("P5.",A16),Order205,7,FALSE)), "", vlookup(Concatenate("P5.",A16),Order205,7,FALSE))</f>
        <v/>
      </c>
      <c r="H16" s="763" t="str">
        <f> IF(ISERROR(vlookup(Concatenate("P5.",A16),Order205,8,FALSE)), "", vlookup(Concatenate("P5.",A16),Order205,8,FALSE))</f>
        <v/>
      </c>
      <c r="I16" s="763" t="str">
        <f> IF(ISERROR(vlookup(Concatenate("P5.",A16),Order205,9,FALSE)), "", vlookup(Concatenate("P5.",A16),Order205,9,FALSE))</f>
        <v/>
      </c>
      <c r="J16" s="787" t="str">
        <f> IF(ISERROR(vlookup(Concatenate("P5.",A16),Order205,10,FALSE)), "", vlookup(Concatenate("P5.",A16),Order205,10,FALSE))</f>
        <v/>
      </c>
    </row>
    <row r="17" ht="22.5" customHeight="1">
      <c r="A17" s="760">
        <v>11.0</v>
      </c>
      <c r="B17" s="761" t="str">
        <f> IF(ISERROR(vlookup(Concatenate("P5.",A17),Order205,4,FALSE)), "", vlookup(Concatenate("P5.",A17),Order205,4,FALSE))</f>
        <v/>
      </c>
      <c r="C17" s="762" t="str">
        <f> IF(ISERROR(vlookup(Concatenate("P5.",A17),Order205,2,FALSE)), "", vlookup(Concatenate("P5.",A17),Order205,2,FALSE))</f>
        <v/>
      </c>
      <c r="D17" s="763" t="str">
        <f> IF(ISERROR(vlookup(Concatenate("P5.",A17),Order205,3,FALSE)), "", vlookup(Concatenate("P5.",A17),Order205,3,FALSE))</f>
        <v/>
      </c>
      <c r="E17" s="764" t="str">
        <f> IF(ISERROR(vlookup(Concatenate("P5.",A17),Order205,5,FALSE)), "", vlookup(Concatenate("P5.",A17),Order205,5,FALSE))</f>
        <v/>
      </c>
      <c r="F17" s="763" t="str">
        <f> IF(ISERROR(vlookup(Concatenate("P5.",A17),Order205,6,FALSE)), "", vlookup(Concatenate("P5.",A17),Order205,6,FALSE))</f>
        <v/>
      </c>
      <c r="G17" s="764" t="str">
        <f> IF(ISERROR(vlookup(Concatenate("P5.",A17),Order205,7,FALSE)), "", vlookup(Concatenate("P5.",A17),Order205,7,FALSE))</f>
        <v/>
      </c>
      <c r="H17" s="763" t="str">
        <f> IF(ISERROR(vlookup(Concatenate("P5.",A17),Order205,8,FALSE)), "", vlookup(Concatenate("P5.",A17),Order205,8,FALSE))</f>
        <v/>
      </c>
      <c r="I17" s="763" t="str">
        <f> IF(ISERROR(vlookup(Concatenate("P5.",A17),Order205,9,FALSE)), "", vlookup(Concatenate("P5.",A17),Order205,9,FALSE))</f>
        <v/>
      </c>
      <c r="J17" s="787" t="str">
        <f> IF(ISERROR(vlookup(Concatenate("P5.",A17),Order205,10,FALSE)), "", vlookup(Concatenate("P5.",A17),Order205,10,FALSE))</f>
        <v/>
      </c>
    </row>
    <row r="18" ht="22.5" customHeight="1">
      <c r="A18" s="760">
        <v>12.0</v>
      </c>
      <c r="B18" s="761" t="str">
        <f> IF(ISERROR(vlookup(Concatenate("P5.",A18),Order205,4,FALSE)), "", vlookup(Concatenate("P5.",A18),Order205,4,FALSE))</f>
        <v/>
      </c>
      <c r="C18" s="762" t="str">
        <f> IF(ISERROR(vlookup(Concatenate("P5.",A18),Order205,2,FALSE)), "", vlookup(Concatenate("P5.",A18),Order205,2,FALSE))</f>
        <v/>
      </c>
      <c r="D18" s="763" t="str">
        <f> IF(ISERROR(vlookup(Concatenate("P5.",A18),Order205,3,FALSE)), "", vlookup(Concatenate("P5.",A18),Order205,3,FALSE))</f>
        <v/>
      </c>
      <c r="E18" s="764" t="str">
        <f> IF(ISERROR(vlookup(Concatenate("P5.",A18),Order205,5,FALSE)), "", vlookup(Concatenate("P5.",A18),Order205,5,FALSE))</f>
        <v/>
      </c>
      <c r="F18" s="763" t="str">
        <f> IF(ISERROR(vlookup(Concatenate("P5.",A18),Order205,6,FALSE)), "", vlookup(Concatenate("P5.",A18),Order205,6,FALSE))</f>
        <v/>
      </c>
      <c r="G18" s="764" t="str">
        <f> IF(ISERROR(vlookup(Concatenate("P5.",A18),Order205,7,FALSE)), "", vlookup(Concatenate("P5.",A18),Order205,7,FALSE))</f>
        <v/>
      </c>
      <c r="H18" s="763" t="str">
        <f> IF(ISERROR(vlookup(Concatenate("P5.",A18),Order205,8,FALSE)), "", vlookup(Concatenate("P5.",A18),Order205,8,FALSE))</f>
        <v/>
      </c>
      <c r="I18" s="763" t="str">
        <f> IF(ISERROR(vlookup(Concatenate("P5.",A18),Order205,9,FALSE)), "", vlookup(Concatenate("P5.",A18),Order205,9,FALSE))</f>
        <v/>
      </c>
      <c r="J18" s="787" t="str">
        <f> IF(ISERROR(vlookup(Concatenate("P5.",A18),Order205,10,FALSE)), "", vlookup(Concatenate("P5.",A18),Order205,10,FALSE))</f>
        <v/>
      </c>
    </row>
    <row r="19" ht="22.5" customHeight="1">
      <c r="A19" s="760">
        <v>13.0</v>
      </c>
      <c r="B19" s="761" t="str">
        <f> IF(ISERROR(vlookup(Concatenate("P5.",A19),Order205,4,FALSE)), "", vlookup(Concatenate("P5.",A19),Order205,4,FALSE))</f>
        <v/>
      </c>
      <c r="C19" s="762" t="str">
        <f> IF(ISERROR(vlookup(Concatenate("P5.",A19),Order205,2,FALSE)), "", vlookup(Concatenate("P5.",A19),Order205,2,FALSE))</f>
        <v/>
      </c>
      <c r="D19" s="763" t="str">
        <f> IF(ISERROR(vlookup(Concatenate("P5.",A19),Order205,3,FALSE)), "", vlookup(Concatenate("P5.",A19),Order205,3,FALSE))</f>
        <v/>
      </c>
      <c r="E19" s="764" t="str">
        <f> IF(ISERROR(vlookup(Concatenate("P5.",A19),Order205,5,FALSE)), "", vlookup(Concatenate("P5.",A19),Order205,5,FALSE))</f>
        <v/>
      </c>
      <c r="F19" s="763" t="str">
        <f> IF(ISERROR(vlookup(Concatenate("P5.",A19),Order205,6,FALSE)), "", vlookup(Concatenate("P5.",A19),Order205,6,FALSE))</f>
        <v/>
      </c>
      <c r="G19" s="764" t="str">
        <f> IF(ISERROR(vlookup(Concatenate("P5.",A19),Order205,7,FALSE)), "", vlookup(Concatenate("P5.",A19),Order205,7,FALSE))</f>
        <v/>
      </c>
      <c r="H19" s="763" t="str">
        <f> IF(ISERROR(vlookup(Concatenate("P5.",A19),Order205,8,FALSE)), "", vlookup(Concatenate("P5.",A19),Order205,8,FALSE))</f>
        <v/>
      </c>
      <c r="I19" s="763" t="str">
        <f> IF(ISERROR(vlookup(Concatenate("P5.",A19),Order205,9,FALSE)), "", vlookup(Concatenate("P5.",A19),Order205,9,FALSE))</f>
        <v/>
      </c>
      <c r="J19" s="787" t="str">
        <f> IF(ISERROR(vlookup(Concatenate("P5.",A19),Order205,10,FALSE)), "", vlookup(Concatenate("P5.",A19),Order205,10,FALSE))</f>
        <v/>
      </c>
    </row>
    <row r="20" ht="22.5" customHeight="1">
      <c r="A20" s="760">
        <v>14.0</v>
      </c>
      <c r="B20" s="761" t="str">
        <f> IF(ISERROR(vlookup(Concatenate("P5.",A20),Order205,4,FALSE)), "", vlookup(Concatenate("P5.",A20),Order205,4,FALSE))</f>
        <v>TACTICAL</v>
      </c>
      <c r="C20" s="762" t="str">
        <f> IF(ISERROR(vlookup(Concatenate("P5.",A20),Order205,2,FALSE)), "", vlookup(Concatenate("P5.",A20),Order205,2,FALSE))</f>
        <v>CALCORD</v>
      </c>
      <c r="D20" s="763" t="str">
        <f> IF(ISERROR(vlookup(Concatenate("P5.",A20),Order205,3,FALSE)), "", vlookup(Concatenate("P5.",A20),Order205,3,FALSE))</f>
        <v>INCIDENT</v>
      </c>
      <c r="E20" s="764">
        <f> IF(ISERROR(vlookup(Concatenate("P5.",A20),Order205,5,FALSE)), "", vlookup(Concatenate("P5.",A20),Order205,5,FALSE))</f>
        <v>156.075</v>
      </c>
      <c r="F20" s="765" t="str">
        <f> IF(ISERROR(vlookup(Concatenate("P5.",A20),Order205,6,FALSE)), "", vlookup(Concatenate("P5.",A20),Order205,6,FALSE))</f>
        <v>(T6)  156.7</v>
      </c>
      <c r="G20" s="764">
        <f> IF(ISERROR(vlookup(Concatenate("P5.",A20),Order205,7,FALSE)), "", vlookup(Concatenate("P5.",A20),Order205,7,FALSE))</f>
        <v>156.075</v>
      </c>
      <c r="H20" s="765" t="str">
        <f> IF(ISERROR(vlookup(Concatenate("P5.",A20),Order205,8,FALSE)), "", vlookup(Concatenate("P5.",A20),Order205,8,FALSE))</f>
        <v>(T6)  156.7</v>
      </c>
      <c r="I20" s="765" t="str">
        <f> IF(ISERROR(vlookup(Concatenate("P5.",A20),Order205,9,FALSE)), "", vlookup(Concatenate("P5.",A20),Order205,9,FALSE))</f>
        <v>A</v>
      </c>
      <c r="J20" s="787" t="str">
        <f> IF(ISERROR(vlookup(Concatenate("P5.",A20),Order205,10,FALSE)), "", vlookup(Concatenate("P5.",A20),Order205,10,FALSE))</f>
        <v/>
      </c>
    </row>
    <row r="21" ht="22.5" customHeight="1">
      <c r="A21" s="772">
        <v>15.0</v>
      </c>
      <c r="B21" s="761" t="str">
        <f> IF(ISERROR(vlookup(Concatenate("P5.",A21),Order205,4,FALSE)), "", vlookup(Concatenate("P5.",A21),Order205,4,FALSE))</f>
        <v>A/G</v>
      </c>
      <c r="C21" s="762" t="str">
        <f> IF(ISERROR(vlookup(Concatenate("P5.",A21),Order205,2,FALSE)), "", vlookup(Concatenate("P5.",A21),Order205,2,FALSE))</f>
        <v>A/G</v>
      </c>
      <c r="D21" s="763" t="str">
        <f> IF(ISERROR(vlookup(Concatenate("P5.",A21),Order205,3,FALSE)), "", vlookup(Concatenate("P5.",A21),Order205,3,FALSE))</f>
        <v>ALL DIVS</v>
      </c>
      <c r="E21" s="764">
        <f> IF(ISERROR(vlookup(Concatenate("P5.",A21),Order205,5,FALSE)), "", vlookup(Concatenate("P5.",A21),Order205,5,FALSE))</f>
        <v>168.325</v>
      </c>
      <c r="F21" s="765" t="str">
        <f> IF(ISERROR(vlookup(Concatenate("P5.",A21),Order205,6,FALSE)), "", vlookup(Concatenate("P5.",A21),Order205,6,FALSE))</f>
        <v/>
      </c>
      <c r="G21" s="764">
        <f> IF(ISERROR(vlookup(Concatenate("P5.",A21),Order205,7,FALSE)), "", vlookup(Concatenate("P5.",A21),Order205,7,FALSE))</f>
        <v>168.325</v>
      </c>
      <c r="H21" s="765">
        <f> IF(ISERROR(vlookup(Concatenate("P5.",A21),Order205,8,FALSE)), "", vlookup(Concatenate("P5.",A21),Order205,8,FALSE))</f>
        <v>0</v>
      </c>
      <c r="I21" s="765" t="str">
        <f> IF(ISERROR(vlookup(Concatenate("P5.",A21),Order205,9,FALSE)), "", vlookup(Concatenate("P5.",A21),Order205,9,FALSE))</f>
        <v>A</v>
      </c>
      <c r="J21" s="787" t="str">
        <f> IF(ISERROR(vlookup(Concatenate("P5.",A21),Order205,10,FALSE)), "", vlookup(Concatenate("P5.",A21),Order205,10,FALSE))</f>
        <v/>
      </c>
    </row>
    <row r="22" ht="22.5" customHeight="1">
      <c r="A22" s="772">
        <v>16.0</v>
      </c>
      <c r="B22" s="761" t="str">
        <f> IF(ISERROR(vlookup(Concatenate("P5.",A22),Order205,4,FALSE)), "", vlookup(Concatenate("P5.",A22),Order205,4,FALSE))</f>
        <v>AIRGUARD</v>
      </c>
      <c r="C22" s="762" t="str">
        <f> IF(ISERROR(vlookup(Concatenate("P5.",A22),Order205,2,FALSE)), "", vlookup(Concatenate("P5.",A22),Order205,2,FALSE))</f>
        <v>GUARD</v>
      </c>
      <c r="D22" s="763" t="str">
        <f> IF(ISERROR(vlookup(Concatenate("P5.",A22),Order205,3,FALSE)), "", vlookup(Concatenate("P5.",A22),Order205,3,FALSE))</f>
        <v>EMERGENCY</v>
      </c>
      <c r="E22" s="764">
        <f> IF(ISERROR(vlookup(Concatenate("P5.",A22),Order205,5,FALSE)), "", vlookup(Concatenate("P5.",A22),Order205,5,FALSE))</f>
        <v>168.625</v>
      </c>
      <c r="F22" s="765">
        <f> IF(ISERROR(vlookup(Concatenate("P5.",A22),Order205,6,FALSE)), "", vlookup(Concatenate("P5.",A22),Order205,6,FALSE))</f>
        <v>0</v>
      </c>
      <c r="G22" s="764">
        <f> IF(ISERROR(vlookup(Concatenate("P5.",A22),Order205,7,FALSE)), "", vlookup(Concatenate("P5.",A22),Order205,7,FALSE))</f>
        <v>168.625</v>
      </c>
      <c r="H22" s="765" t="str">
        <f> IF(ISERROR(vlookup(Concatenate("P5.",A22),Order205,8,FALSE)), "", vlookup(Concatenate("P5.",A22),Order205,8,FALSE))</f>
        <v>(T1)  110.9</v>
      </c>
      <c r="I22" s="765" t="str">
        <f> IF(ISERROR(vlookup(Concatenate("P5.",A22),Order205,9,FALSE)), "", vlookup(Concatenate("P5.",A22),Order205,9,FALSE))</f>
        <v>A</v>
      </c>
      <c r="J22" s="787" t="str">
        <f> IF(ISERROR(vlookup(Concatenate("P5.",A22),Order205,10,FALSE)), "", vlookup(Concatenate("P5.",A22),Order205,10,FALSE))</f>
        <v/>
      </c>
    </row>
    <row r="23" ht="22.5" customHeight="1">
      <c r="A23" s="772">
        <v>17.0</v>
      </c>
      <c r="B23" s="761" t="str">
        <f> IF(ISERROR(vlookup(Concatenate("P5.",A23),Order205,4,FALSE)), "", vlookup(Concatenate("P5.",A23),Order205,4,FALSE))</f>
        <v/>
      </c>
      <c r="C23" s="762" t="str">
        <f> IF(ISERROR(vlookup(Concatenate("P5.",A23),Order205,2,FALSE)), "", vlookup(Concatenate("P5.",A23),Order205,2,FALSE))</f>
        <v/>
      </c>
      <c r="D23" s="763" t="str">
        <f> IF(ISERROR(vlookup(Concatenate("P5.",A23),Order205,3,FALSE)), "", vlookup(Concatenate("P5.",A23),Order205,3,FALSE))</f>
        <v/>
      </c>
      <c r="E23" s="764" t="str">
        <f> IF(ISERROR(vlookup(Concatenate("P5.",A23),Order205,5,FALSE)), "", vlookup(Concatenate("P5.",A23),Order205,5,FALSE))</f>
        <v/>
      </c>
      <c r="F23" s="763" t="str">
        <f> IF(ISERROR(vlookup(Concatenate("P5.",A23),Order205,6,FALSE)), "", vlookup(Concatenate("P5.",A23),Order205,6,FALSE))</f>
        <v/>
      </c>
      <c r="G23" s="764" t="str">
        <f> IF(ISERROR(vlookup(Concatenate("P5.",A23),Order205,7,FALSE)), "", vlookup(Concatenate("P5.",A23),Order205,7,FALSE))</f>
        <v/>
      </c>
      <c r="H23" s="763" t="str">
        <f> IF(ISERROR(vlookup(Concatenate("P5.",A23),Order205,8,FALSE)), "", vlookup(Concatenate("P5.",A23),Order205,8,FALSE))</f>
        <v/>
      </c>
      <c r="I23" s="763" t="str">
        <f> IF(ISERROR(vlookup(Concatenate("P5.",A23),Order205,9,FALSE)), "", vlookup(Concatenate("P5.",A23),Order205,9,FALSE))</f>
        <v/>
      </c>
      <c r="J23" s="787" t="str">
        <f> IF(ISERROR(vlookup(Concatenate("P5.",A23),Order205,10,FALSE)), "", vlookup(Concatenate("P5.",A23),Order205,10,FALSE))</f>
        <v/>
      </c>
    </row>
    <row r="24" ht="22.5" customHeight="1">
      <c r="A24" s="772">
        <v>18.0</v>
      </c>
      <c r="B24" s="761" t="str">
        <f> IF(ISERROR(vlookup(Concatenate("P5.",A24),Order205,4,FALSE)), "", vlookup(Concatenate("P5.",A24),Order205,4,FALSE))</f>
        <v/>
      </c>
      <c r="C24" s="762" t="str">
        <f> IF(ISERROR(vlookup(Concatenate("P5.",A24),Order205,2,FALSE)), "", vlookup(Concatenate("P5.",A24),Order205,2,FALSE))</f>
        <v/>
      </c>
      <c r="D24" s="763" t="str">
        <f> IF(ISERROR(vlookup(Concatenate("P5.",A24),Order205,3,FALSE)), "", vlookup(Concatenate("P5.",A24),Order205,3,FALSE))</f>
        <v/>
      </c>
      <c r="E24" s="764" t="str">
        <f> IF(ISERROR(vlookup(Concatenate("P5.",A24),Order205,5,FALSE)), "", vlookup(Concatenate("P5.",A24),Order205,5,FALSE))</f>
        <v/>
      </c>
      <c r="F24" s="763" t="str">
        <f> IF(ISERROR(vlookup(Concatenate("P5.",A24),Order205,6,FALSE)), "", vlookup(Concatenate("P5.",A24),Order205,6,FALSE))</f>
        <v/>
      </c>
      <c r="G24" s="764" t="str">
        <f> IF(ISERROR(vlookup(Concatenate("P5.",A24),Order205,7,FALSE)), "", vlookup(Concatenate("P5.",A24),Order205,7,FALSE))</f>
        <v/>
      </c>
      <c r="H24" s="763" t="str">
        <f> IF(ISERROR(vlookup(Concatenate("P5.",A24),Order205,8,FALSE)), "", vlookup(Concatenate("P5.",A24),Order205,8,FALSE))</f>
        <v/>
      </c>
      <c r="I24" s="763" t="str">
        <f> IF(ISERROR(vlookup(Concatenate("P5.",A24),Order205,9,FALSE)), "", vlookup(Concatenate("P5.",A24),Order205,9,FALSE))</f>
        <v/>
      </c>
      <c r="J24" s="787" t="str">
        <f> IF(ISERROR(vlookup(Concatenate("P5.",A24),Order205,10,FALSE)), "", vlookup(Concatenate("P5.",A24),Order205,10,FALSE))</f>
        <v/>
      </c>
    </row>
    <row r="25" ht="22.5" customHeight="1">
      <c r="A25" s="772">
        <v>19.0</v>
      </c>
      <c r="B25" s="761" t="str">
        <f> IF(ISERROR(vlookup(Concatenate("P5.",A25),Order205,4,FALSE)), "", vlookup(Concatenate("P5.",A25),Order205,4,FALSE))</f>
        <v/>
      </c>
      <c r="C25" s="762" t="str">
        <f> IF(ISERROR(vlookup(Concatenate("P5.",A25),Order205,2,FALSE)), "", vlookup(Concatenate("P5.",A25),Order205,2,FALSE))</f>
        <v/>
      </c>
      <c r="D25" s="763" t="str">
        <f> IF(ISERROR(vlookup(Concatenate("P5.",A25),Order205,3,FALSE)), "", vlookup(Concatenate("P5.",A25),Order205,3,FALSE))</f>
        <v/>
      </c>
      <c r="E25" s="764" t="str">
        <f> IF(ISERROR(vlookup(Concatenate("P5.",A25),Order205,5,FALSE)), "", vlookup(Concatenate("P5.",A25),Order205,5,FALSE))</f>
        <v/>
      </c>
      <c r="F25" s="763" t="str">
        <f> IF(ISERROR(vlookup(Concatenate("P5.",A25),Order205,6,FALSE)), "", vlookup(Concatenate("P5.",A25),Order205,6,FALSE))</f>
        <v/>
      </c>
      <c r="G25" s="764" t="str">
        <f> IF(ISERROR(vlookup(Concatenate("P5.",A25),Order205,7,FALSE)), "", vlookup(Concatenate("P5.",A25),Order205,7,FALSE))</f>
        <v/>
      </c>
      <c r="H25" s="763" t="str">
        <f> IF(ISERROR(vlookup(Concatenate("P5.",A25),Order205,8,FALSE)), "", vlookup(Concatenate("P5.",A25),Order205,8,FALSE))</f>
        <v/>
      </c>
      <c r="I25" s="763" t="str">
        <f> IF(ISERROR(vlookup(Concatenate("P5.",A25),Order205,9,FALSE)), "", vlookup(Concatenate("P5.",A25),Order205,9,FALSE))</f>
        <v/>
      </c>
      <c r="J25" s="787" t="str">
        <f> IF(ISERROR(vlookup(Concatenate("P5.",A25),Order205,10,FALSE)), "", vlookup(Concatenate("P5.",A25),Order205,10,FALSE))</f>
        <v/>
      </c>
    </row>
    <row r="26" ht="22.5" customHeight="1">
      <c r="A26" s="772">
        <v>20.0</v>
      </c>
      <c r="B26" s="761" t="str">
        <f> IF(ISERROR(vlookup(Concatenate("P5.",A26),Order205,4,FALSE)), "", vlookup(Concatenate("P5.",A26),Order205,4,FALSE))</f>
        <v/>
      </c>
      <c r="C26" s="762" t="str">
        <f> IF(ISERROR(vlookup(Concatenate("P5.",A26),Order205,2,FALSE)), "", vlookup(Concatenate("P5.",A26),Order205,2,FALSE))</f>
        <v/>
      </c>
      <c r="D26" s="763" t="str">
        <f> IF(ISERROR(vlookup(Concatenate("P5.",A26),Order205,3,FALSE)), "", vlookup(Concatenate("P5.",A26),Order205,3,FALSE))</f>
        <v/>
      </c>
      <c r="E26" s="764" t="str">
        <f> IF(ISERROR(vlookup(Concatenate("P5.",A26),Order205,5,FALSE)), "", vlookup(Concatenate("P5.",A26),Order205,5,FALSE))</f>
        <v/>
      </c>
      <c r="F26" s="763" t="str">
        <f> IF(ISERROR(vlookup(Concatenate("P5.",A26),Order205,6,FALSE)), "", vlookup(Concatenate("P5.",A26),Order205,6,FALSE))</f>
        <v/>
      </c>
      <c r="G26" s="764" t="str">
        <f> IF(ISERROR(vlookup(Concatenate("P5.",A26),Order205,7,FALSE)), "", vlookup(Concatenate("P5.",A26),Order205,7,FALSE))</f>
        <v/>
      </c>
      <c r="H26" s="763" t="str">
        <f> IF(ISERROR(vlookup(Concatenate("P5.",A26),Order205,8,FALSE)), "", vlookup(Concatenate("P5.",A26),Order205,8,FALSE))</f>
        <v/>
      </c>
      <c r="I26" s="763" t="str">
        <f> IF(ISERROR(vlookup(Concatenate("P5.",A26),Order205,9,FALSE)), "", vlookup(Concatenate("P5.",A26),Order205,9,FALSE))</f>
        <v/>
      </c>
      <c r="J26" s="787" t="str">
        <f> IF(ISERROR(vlookup(Concatenate("P5.",A26),Order205,10,FALSE)), "", vlookup(Concatenate("P5.",A26),Order205,10,FALSE))</f>
        <v/>
      </c>
    </row>
    <row r="27">
      <c r="A27" s="774" t="s">
        <v>558</v>
      </c>
      <c r="B27" s="74"/>
      <c r="C27" s="74"/>
      <c r="D27" s="74"/>
      <c r="E27" s="74"/>
      <c r="F27" s="74"/>
      <c r="G27" s="74"/>
      <c r="H27" s="74"/>
      <c r="I27" s="74"/>
      <c r="J27" s="45"/>
    </row>
    <row r="28">
      <c r="A28" s="775" t="str">
        <f>'205 Worksheet'!A148</f>
        <v>This is a test</v>
      </c>
      <c r="B28" s="165"/>
      <c r="C28" s="165"/>
      <c r="D28" s="165"/>
      <c r="E28" s="165"/>
      <c r="F28" s="165"/>
      <c r="G28" s="165"/>
      <c r="H28" s="165"/>
      <c r="I28" s="165"/>
      <c r="J28" s="210"/>
    </row>
    <row r="29">
      <c r="A29" s="104"/>
      <c r="B29" s="77"/>
      <c r="C29" s="77"/>
      <c r="D29" s="77"/>
      <c r="E29" s="77"/>
      <c r="F29" s="77"/>
      <c r="G29" s="77"/>
      <c r="H29" s="77"/>
      <c r="I29" s="77"/>
      <c r="J29" s="55"/>
    </row>
    <row r="30" ht="24.75" customHeight="1">
      <c r="A30" s="776" t="str">
        <f>Concatenate("6. Prepared by (Communications Unit Leader): Name: ", '205 Worksheet'!E150)  </f>
        <v>6. Prepared by (Communications Unit Leader): Name: </v>
      </c>
      <c r="B30" s="74"/>
      <c r="C30" s="74"/>
      <c r="D30" s="74"/>
      <c r="E30" s="74"/>
      <c r="F30" s="45"/>
      <c r="G30" s="777" t="s">
        <v>1134</v>
      </c>
      <c r="H30" s="74"/>
      <c r="I30" s="74"/>
      <c r="J30" s="45"/>
    </row>
    <row r="31">
      <c r="A31" s="778" t="s">
        <v>1135</v>
      </c>
      <c r="B31" s="77"/>
      <c r="C31" s="77"/>
      <c r="D31" s="77"/>
      <c r="E31" s="281"/>
      <c r="F31" s="389" t="s">
        <v>332</v>
      </c>
      <c r="G31" s="780" t="s">
        <v>389</v>
      </c>
      <c r="H31" s="781">
        <f>G3-1</f>
        <v>43892</v>
      </c>
      <c r="I31" s="782"/>
      <c r="J31" s="783">
        <f>'205 Worksheet'!E4</f>
        <v>1930</v>
      </c>
    </row>
    <row r="32" hidden="1">
      <c r="J32" s="788" t="s">
        <v>414</v>
      </c>
    </row>
    <row r="33" hidden="1"/>
    <row r="34" hidden="1"/>
    <row r="35" hidden="1"/>
    <row r="36" hidden="1"/>
    <row r="37" hidden="1"/>
    <row r="38" hidden="1"/>
    <row r="39" hidden="1"/>
    <row r="40" hidden="1"/>
    <row r="41" hidden="1"/>
    <row r="42" hidden="1"/>
    <row r="43" hidden="1"/>
    <row r="44" hidden="1"/>
    <row r="45" hidden="1"/>
    <row r="46" hidden="1"/>
    <row r="47" hidden="1"/>
    <row r="48" hidden="1"/>
    <row r="49" hidden="1"/>
    <row r="50" hidden="1"/>
    <row r="51" hidden="1"/>
    <row r="52" hidden="1"/>
    <row r="53" hidden="1"/>
    <row r="54" hidden="1"/>
    <row r="55" hidden="1"/>
    <row r="56" hidden="1"/>
    <row r="57" hidden="1"/>
    <row r="58" hidden="1"/>
    <row r="59" hidden="1"/>
    <row r="60" hidden="1"/>
    <row r="61" hidden="1"/>
    <row r="62" hidden="1"/>
    <row r="63" hidden="1"/>
    <row r="64" hidden="1"/>
    <row r="65" hidden="1"/>
    <row r="66" hidden="1"/>
    <row r="67" hidden="1"/>
    <row r="68" hidden="1"/>
    <row r="69" hidden="1"/>
    <row r="70" hidden="1"/>
    <row r="71" hidden="1"/>
    <row r="72" hidden="1"/>
    <row r="73" hidden="1"/>
    <row r="74" hidden="1"/>
    <row r="75" hidden="1"/>
    <row r="76" hidden="1"/>
    <row r="77" hidden="1"/>
    <row r="78" hidden="1"/>
    <row r="79" hidden="1"/>
    <row r="80" hidden="1"/>
    <row r="81" hidden="1"/>
    <row r="82" hidden="1"/>
    <row r="83" hidden="1"/>
    <row r="84" hidden="1"/>
    <row r="85" hidden="1"/>
    <row r="86" hidden="1"/>
    <row r="87" hidden="1"/>
    <row r="88" hidden="1"/>
    <row r="89" hidden="1"/>
    <row r="90" hidden="1"/>
    <row r="91" hidden="1"/>
    <row r="92" hidden="1"/>
    <row r="93" hidden="1"/>
    <row r="94" hidden="1"/>
    <row r="95" hidden="1"/>
    <row r="96" hidden="1"/>
    <row r="97" hidden="1"/>
    <row r="98" hidden="1"/>
    <row r="99" hidden="1"/>
    <row r="100" hidden="1"/>
    <row r="101" hidden="1"/>
    <row r="102" hidden="1"/>
    <row r="103" hidden="1"/>
    <row r="104" hidden="1"/>
    <row r="105" hidden="1"/>
    <row r="106" hidden="1"/>
    <row r="107" hidden="1"/>
    <row r="108" hidden="1"/>
    <row r="109" hidden="1"/>
    <row r="110" hidden="1"/>
    <row r="111" hidden="1"/>
    <row r="112" hidden="1"/>
    <row r="113" hidden="1"/>
    <row r="114" hidden="1"/>
    <row r="115" hidden="1"/>
    <row r="116" hidden="1"/>
    <row r="117" hidden="1"/>
    <row r="118" hidden="1"/>
    <row r="119" hidden="1"/>
    <row r="120" hidden="1"/>
    <row r="121" hidden="1"/>
    <row r="122" hidden="1"/>
    <row r="123" hidden="1"/>
    <row r="124" hidden="1"/>
    <row r="125" hidden="1"/>
    <row r="126" hidden="1"/>
    <row r="127" hidden="1"/>
    <row r="128" hidden="1"/>
    <row r="129" hidden="1"/>
    <row r="130" hidden="1"/>
    <row r="131" hidden="1"/>
    <row r="132" hidden="1"/>
    <row r="133" hidden="1"/>
    <row r="134" hidden="1"/>
    <row r="135" hidden="1"/>
    <row r="136" hidden="1"/>
    <row r="137" hidden="1"/>
    <row r="138" hidden="1"/>
    <row r="139" hidden="1"/>
    <row r="140" hidden="1"/>
    <row r="141" hidden="1"/>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hidden="1"/>
    <row r="498" hidden="1"/>
    <row r="499" hidden="1"/>
    <row r="500" hidden="1"/>
    <row r="501" hidden="1"/>
    <row r="502" hidden="1"/>
    <row r="503" hidden="1"/>
    <row r="504" hidden="1"/>
    <row r="505" hidden="1"/>
    <row r="506" hidden="1"/>
    <row r="507" hidden="1"/>
    <row r="508" hidden="1"/>
    <row r="509" hidden="1"/>
    <row r="510" hidden="1"/>
    <row r="511" hidden="1"/>
    <row r="512"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hidden="1"/>
    <row r="546" hidden="1"/>
    <row r="547" hidden="1"/>
    <row r="548" hidden="1"/>
    <row r="549" hidden="1"/>
    <row r="550" hidden="1"/>
    <row r="551" hidden="1"/>
    <row r="552" hidden="1"/>
    <row r="553" hidden="1"/>
    <row r="554" hidden="1"/>
    <row r="555" hidden="1"/>
    <row r="556" hidden="1"/>
    <row r="557" hidden="1"/>
    <row r="558" hidden="1"/>
    <row r="559" hidden="1"/>
    <row r="560" hidden="1"/>
    <row r="561" hidden="1"/>
    <row r="562" hidden="1"/>
    <row r="563" hidden="1"/>
    <row r="564" hidden="1"/>
    <row r="565" hidden="1"/>
    <row r="566" hidden="1"/>
    <row r="567" hidden="1"/>
    <row r="568" hidden="1"/>
    <row r="569" hidden="1"/>
    <row r="570" hidden="1"/>
    <row r="571" hidden="1"/>
    <row r="572" hidden="1"/>
    <row r="573" hidden="1"/>
    <row r="574" hidden="1"/>
    <row r="575" hidden="1"/>
    <row r="576" hidden="1"/>
    <row r="577" hidden="1"/>
    <row r="578" hidden="1"/>
    <row r="579" hidden="1"/>
    <row r="580" hidden="1"/>
    <row r="581" hidden="1"/>
    <row r="582" hidden="1"/>
    <row r="583" hidden="1"/>
    <row r="584" hidden="1"/>
    <row r="585" hidden="1"/>
    <row r="586" hidden="1"/>
    <row r="587" hidden="1"/>
    <row r="588" hidden="1"/>
    <row r="589" hidden="1"/>
    <row r="590" hidden="1"/>
    <row r="591" hidden="1"/>
    <row r="592" hidden="1"/>
    <row r="593" hidden="1"/>
    <row r="594" hidden="1"/>
    <row r="595" hidden="1"/>
    <row r="596" hidden="1"/>
    <row r="597" hidden="1"/>
    <row r="598" hidden="1"/>
    <row r="599" hidden="1"/>
    <row r="600" hidden="1"/>
    <row r="601" hidden="1"/>
    <row r="602" hidden="1"/>
    <row r="603" hidden="1"/>
    <row r="604" hidden="1"/>
    <row r="605" hidden="1"/>
    <row r="606" hidden="1"/>
    <row r="607" hidden="1"/>
    <row r="608" hidden="1"/>
    <row r="609" hidden="1"/>
    <row r="610" hidden="1"/>
    <row r="611" hidden="1"/>
    <row r="612" hidden="1"/>
    <row r="613" hidden="1"/>
    <row r="614" hidden="1"/>
    <row r="615" hidden="1"/>
    <row r="616" hidden="1"/>
    <row r="617" hidden="1"/>
    <row r="618" hidden="1"/>
    <row r="619" hidden="1"/>
    <row r="620" hidden="1"/>
    <row r="621" hidden="1"/>
    <row r="622" hidden="1"/>
    <row r="623" hidden="1"/>
    <row r="624" hidden="1"/>
    <row r="625" hidden="1"/>
    <row r="626" hidden="1"/>
    <row r="627" hidden="1"/>
    <row r="628" hidden="1"/>
    <row r="629" hidden="1"/>
    <row r="630" hidden="1"/>
    <row r="631" hidden="1"/>
    <row r="632" hidden="1"/>
    <row r="633" hidden="1"/>
    <row r="634" hidden="1"/>
    <row r="635" hidden="1"/>
    <row r="636" hidden="1"/>
    <row r="637" hidden="1"/>
    <row r="638" hidden="1"/>
    <row r="639" hidden="1"/>
    <row r="640" hidden="1"/>
    <row r="641" hidden="1"/>
    <row r="642" hidden="1"/>
    <row r="643" hidden="1"/>
    <row r="644" hidden="1"/>
    <row r="645" hidden="1"/>
    <row r="646" hidden="1"/>
    <row r="647" hidden="1"/>
    <row r="648" hidden="1"/>
    <row r="649" hidden="1"/>
    <row r="650" hidden="1"/>
    <row r="651" hidden="1"/>
    <row r="652" hidden="1"/>
    <row r="653" hidden="1"/>
    <row r="654" hidden="1"/>
    <row r="655" hidden="1"/>
    <row r="656" hidden="1"/>
    <row r="657" hidden="1"/>
    <row r="658" hidden="1"/>
    <row r="659" hidden="1"/>
    <row r="660" hidden="1"/>
    <row r="661" hidden="1"/>
    <row r="662" hidden="1"/>
    <row r="663" hidden="1"/>
    <row r="664" hidden="1"/>
    <row r="665" hidden="1"/>
    <row r="666" hidden="1"/>
    <row r="667" hidden="1"/>
    <row r="668" hidden="1"/>
    <row r="669" hidden="1"/>
    <row r="670" hidden="1"/>
    <row r="671" hidden="1"/>
    <row r="672" hidden="1"/>
    <row r="673" hidden="1"/>
    <row r="674" hidden="1"/>
    <row r="675" hidden="1"/>
    <row r="676" hidden="1"/>
    <row r="677" hidden="1"/>
    <row r="678" hidden="1"/>
    <row r="679" hidden="1"/>
    <row r="680" hidden="1"/>
    <row r="681" hidden="1"/>
    <row r="682" hidden="1"/>
    <row r="683" hidden="1"/>
    <row r="684" hidden="1"/>
    <row r="685" hidden="1"/>
    <row r="686" hidden="1"/>
    <row r="687" hidden="1"/>
    <row r="688" hidden="1"/>
    <row r="689" hidden="1"/>
    <row r="690" hidden="1"/>
    <row r="691" hidden="1"/>
    <row r="692" hidden="1"/>
    <row r="693" hidden="1"/>
    <row r="694" hidden="1"/>
    <row r="695" hidden="1"/>
    <row r="696" hidden="1"/>
    <row r="697" hidden="1"/>
    <row r="698" hidden="1"/>
    <row r="699" hidden="1"/>
    <row r="700" hidden="1"/>
    <row r="701" hidden="1"/>
    <row r="702" hidden="1"/>
    <row r="703" hidden="1"/>
    <row r="704" hidden="1"/>
    <row r="705" hidden="1"/>
    <row r="706" hidden="1"/>
    <row r="707" hidden="1"/>
    <row r="708" hidden="1"/>
    <row r="709" hidden="1"/>
    <row r="710" hidden="1"/>
    <row r="711" hidden="1"/>
    <row r="712" hidden="1"/>
    <row r="713" hidden="1"/>
    <row r="714" hidden="1"/>
    <row r="715" hidden="1"/>
    <row r="716" hidden="1"/>
    <row r="717" hidden="1"/>
    <row r="718" hidden="1"/>
    <row r="719" hidden="1"/>
    <row r="720" hidden="1"/>
    <row r="721" hidden="1"/>
    <row r="722" hidden="1"/>
    <row r="723" hidden="1"/>
    <row r="724" hidden="1"/>
    <row r="725" hidden="1"/>
    <row r="726" hidden="1"/>
    <row r="727" hidden="1"/>
    <row r="728" hidden="1"/>
    <row r="729" hidden="1"/>
    <row r="730" hidden="1"/>
    <row r="731" hidden="1"/>
    <row r="732" hidden="1"/>
    <row r="733" hidden="1"/>
    <row r="734" hidden="1"/>
    <row r="735" hidden="1"/>
    <row r="736" hidden="1"/>
    <row r="737" hidden="1"/>
    <row r="738" hidden="1"/>
    <row r="739" hidden="1"/>
    <row r="740" hidden="1"/>
    <row r="741" hidden="1"/>
    <row r="742" hidden="1"/>
    <row r="743" hidden="1"/>
    <row r="744" hidden="1"/>
    <row r="745" hidden="1"/>
    <row r="746" hidden="1"/>
    <row r="747" hidden="1"/>
    <row r="748" hidden="1"/>
    <row r="749" hidden="1"/>
    <row r="750" hidden="1"/>
    <row r="751" hidden="1"/>
    <row r="752" hidden="1"/>
    <row r="753" hidden="1"/>
    <row r="754" hidden="1"/>
    <row r="755" hidden="1"/>
    <row r="756" hidden="1"/>
    <row r="757" hidden="1"/>
    <row r="758" hidden="1"/>
    <row r="759" hidden="1"/>
    <row r="760" hidden="1"/>
    <row r="761" hidden="1"/>
    <row r="762" hidden="1"/>
    <row r="763" hidden="1"/>
    <row r="764" hidden="1"/>
    <row r="765" hidden="1"/>
    <row r="766" hidden="1"/>
    <row r="767" hidden="1"/>
    <row r="768" hidden="1"/>
    <row r="769" hidden="1"/>
    <row r="770" hidden="1"/>
    <row r="771" hidden="1"/>
    <row r="772" hidden="1"/>
    <row r="773" hidden="1"/>
    <row r="774" hidden="1"/>
    <row r="775" hidden="1"/>
    <row r="776" hidden="1"/>
    <row r="777" hidden="1"/>
    <row r="778" hidden="1"/>
    <row r="779" hidden="1"/>
    <row r="780" hidden="1"/>
    <row r="781" hidden="1"/>
    <row r="782" hidden="1"/>
    <row r="783" hidden="1"/>
    <row r="784" hidden="1"/>
    <row r="785" hidden="1"/>
    <row r="786" hidden="1"/>
    <row r="787" hidden="1"/>
    <row r="788" hidden="1"/>
    <row r="789" hidden="1"/>
    <row r="790" hidden="1"/>
    <row r="791" hidden="1"/>
    <row r="792" hidden="1"/>
    <row r="793" hidden="1"/>
    <row r="794" hidden="1"/>
    <row r="795" hidden="1"/>
    <row r="796" hidden="1"/>
    <row r="797" hidden="1"/>
    <row r="798" hidden="1"/>
    <row r="799" hidden="1"/>
    <row r="800" hidden="1"/>
    <row r="801" hidden="1"/>
    <row r="802" hidden="1"/>
    <row r="803" hidden="1"/>
    <row r="804" hidden="1"/>
    <row r="805" hidden="1"/>
    <row r="806" hidden="1"/>
    <row r="807" hidden="1"/>
    <row r="808" hidden="1"/>
    <row r="809" hidden="1"/>
    <row r="810" hidden="1"/>
    <row r="811" hidden="1"/>
    <row r="812" hidden="1"/>
    <row r="813" hidden="1"/>
    <row r="814" hidden="1"/>
    <row r="815" hidden="1"/>
    <row r="816" hidden="1"/>
    <row r="817" hidden="1"/>
    <row r="818" hidden="1"/>
    <row r="819" hidden="1"/>
    <row r="820" hidden="1"/>
    <row r="821" hidden="1"/>
    <row r="822" hidden="1"/>
    <row r="823" hidden="1"/>
    <row r="824" hidden="1"/>
    <row r="825" hidden="1"/>
    <row r="826" hidden="1"/>
    <row r="827" hidden="1"/>
    <row r="828" hidden="1"/>
    <row r="829" hidden="1"/>
    <row r="830" hidden="1"/>
    <row r="831" hidden="1"/>
    <row r="832" hidden="1"/>
    <row r="833" hidden="1"/>
    <row r="834" hidden="1"/>
    <row r="835" hidden="1"/>
    <row r="836" hidden="1"/>
    <row r="837" hidden="1"/>
    <row r="838" hidden="1"/>
    <row r="839" hidden="1"/>
    <row r="840" hidden="1"/>
    <row r="841" hidden="1"/>
    <row r="842" hidden="1"/>
    <row r="843" hidden="1"/>
    <row r="844" hidden="1"/>
    <row r="845" hidden="1"/>
    <row r="846" hidden="1"/>
    <row r="847" hidden="1"/>
    <row r="848" hidden="1"/>
    <row r="849" hidden="1"/>
    <row r="850" hidden="1"/>
    <row r="851" hidden="1"/>
    <row r="852" hidden="1"/>
    <row r="853" hidden="1"/>
    <row r="854" hidden="1"/>
    <row r="855" hidden="1"/>
    <row r="856" hidden="1"/>
    <row r="857" hidden="1"/>
    <row r="858" hidden="1"/>
    <row r="859" hidden="1"/>
    <row r="860" hidden="1"/>
    <row r="861" hidden="1"/>
    <row r="862" hidden="1"/>
    <row r="863" hidden="1"/>
    <row r="864" hidden="1"/>
    <row r="865" hidden="1"/>
    <row r="866" hidden="1"/>
    <row r="867" hidden="1"/>
    <row r="868" hidden="1"/>
    <row r="869" hidden="1"/>
    <row r="870" hidden="1"/>
    <row r="871" hidden="1"/>
    <row r="872" hidden="1"/>
    <row r="873" hidden="1"/>
    <row r="874" hidden="1"/>
    <row r="875" hidden="1"/>
    <row r="876" hidden="1"/>
    <row r="877" hidden="1"/>
    <row r="878" hidden="1"/>
    <row r="879" hidden="1"/>
    <row r="880" hidden="1"/>
    <row r="881" hidden="1"/>
    <row r="882" hidden="1"/>
    <row r="883" hidden="1"/>
    <row r="884" hidden="1"/>
    <row r="885" hidden="1"/>
    <row r="886" hidden="1"/>
    <row r="887" hidden="1"/>
    <row r="888" hidden="1"/>
    <row r="889" hidden="1"/>
    <row r="890" hidden="1"/>
    <row r="891" hidden="1"/>
    <row r="892" hidden="1"/>
    <row r="893" hidden="1"/>
    <row r="894" hidden="1"/>
    <row r="895" hidden="1"/>
    <row r="896" hidden="1"/>
    <row r="897" hidden="1"/>
    <row r="898" hidden="1"/>
    <row r="899" hidden="1"/>
    <row r="900" hidden="1"/>
    <row r="901" hidden="1"/>
    <row r="902" hidden="1"/>
    <row r="903" hidden="1"/>
    <row r="904" hidden="1"/>
    <row r="905" hidden="1"/>
    <row r="906" hidden="1"/>
    <row r="907" hidden="1"/>
    <row r="908" hidden="1"/>
    <row r="909" hidden="1"/>
    <row r="910" hidden="1"/>
    <row r="911" hidden="1"/>
    <row r="912" hidden="1"/>
    <row r="913" hidden="1"/>
    <row r="914" hidden="1"/>
    <row r="915" hidden="1"/>
    <row r="916" hidden="1"/>
    <row r="917" hidden="1"/>
    <row r="918" hidden="1"/>
    <row r="919" hidden="1"/>
    <row r="920" hidden="1"/>
    <row r="921" hidden="1"/>
    <row r="922" hidden="1"/>
    <row r="923" hidden="1"/>
    <row r="924" hidden="1"/>
    <row r="925" hidden="1"/>
    <row r="926" hidden="1"/>
    <row r="927" hidden="1"/>
    <row r="928" hidden="1"/>
    <row r="929" hidden="1"/>
    <row r="930" hidden="1"/>
    <row r="931" hidden="1"/>
    <row r="932" hidden="1"/>
    <row r="933" hidden="1"/>
    <row r="934" hidden="1"/>
    <row r="935" hidden="1"/>
    <row r="936" hidden="1"/>
    <row r="937" hidden="1"/>
    <row r="938" hidden="1"/>
    <row r="939" hidden="1"/>
    <row r="940" hidden="1"/>
    <row r="941" hidden="1"/>
    <row r="942" hidden="1"/>
    <row r="943" hidden="1"/>
    <row r="944" hidden="1"/>
    <row r="945" hidden="1"/>
    <row r="946" hidden="1"/>
    <row r="947" hidden="1"/>
    <row r="948" hidden="1"/>
    <row r="949" hidden="1"/>
    <row r="950" hidden="1"/>
    <row r="951" hidden="1"/>
    <row r="952" hidden="1"/>
    <row r="953" hidden="1"/>
    <row r="954" hidden="1"/>
    <row r="955" hidden="1"/>
    <row r="956" hidden="1"/>
    <row r="957" hidden="1"/>
    <row r="958" hidden="1"/>
    <row r="959" hidden="1"/>
    <row r="960" hidden="1"/>
    <row r="961" hidden="1"/>
    <row r="962" hidden="1"/>
    <row r="963" hidden="1"/>
    <row r="964" hidden="1"/>
    <row r="965" hidden="1"/>
    <row r="966" hidden="1"/>
    <row r="967" hidden="1"/>
    <row r="968" hidden="1"/>
    <row r="969" hidden="1"/>
    <row r="970" hidden="1"/>
    <row r="971" hidden="1"/>
    <row r="972" hidden="1"/>
    <row r="973" hidden="1"/>
    <row r="974" hidden="1"/>
    <row r="975" hidden="1"/>
    <row r="976" hidden="1"/>
    <row r="977" hidden="1"/>
    <row r="978" hidden="1"/>
    <row r="979" hidden="1"/>
    <row r="980" hidden="1"/>
    <row r="981" hidden="1"/>
    <row r="982" hidden="1"/>
    <row r="983" hidden="1"/>
    <row r="984" hidden="1"/>
    <row r="985" hidden="1"/>
    <row r="986" hidden="1"/>
    <row r="987" hidden="1"/>
    <row r="988" hidden="1"/>
    <row r="989" hidden="1"/>
    <row r="990" hidden="1"/>
    <row r="991" hidden="1"/>
    <row r="992" hidden="1"/>
    <row r="993" hidden="1"/>
    <row r="994" hidden="1"/>
    <row r="995" hidden="1"/>
    <row r="996" hidden="1"/>
    <row r="997" hidden="1"/>
    <row r="998" hidden="1"/>
    <row r="999" hidden="1"/>
    <row r="1000" hidden="1"/>
    <row r="1001" hidden="1"/>
    <row r="1002" hidden="1"/>
    <row r="1003" hidden="1"/>
    <row r="1004" hidden="1"/>
  </sheetData>
  <mergeCells count="11">
    <mergeCell ref="A28:J29"/>
    <mergeCell ref="A30:F30"/>
    <mergeCell ref="G30:J30"/>
    <mergeCell ref="A31:D31"/>
    <mergeCell ref="A1:H1"/>
    <mergeCell ref="A2:C2"/>
    <mergeCell ref="A3:C3"/>
    <mergeCell ref="A4:C4"/>
    <mergeCell ref="A5:C5"/>
    <mergeCell ref="D5:J5"/>
    <mergeCell ref="A27:J27"/>
  </mergeCells>
  <printOptions horizontalCentered="1"/>
  <pageMargins bottom="0.2575609756097561" footer="0.0" header="0.0" left="0.25" right="0.25" top="0.27902439024390246"/>
  <pageSetup orientation="landscape" pageOrder="overThenDown"/>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1" width="1.25"/>
    <col customWidth="1" min="2" max="2" width="5.75"/>
    <col customWidth="1" min="3" max="31" width="3.75"/>
  </cols>
  <sheetData>
    <row r="1" ht="247.5" customHeight="1">
      <c r="A1" s="789"/>
      <c r="B1" s="790" t="s">
        <v>414</v>
      </c>
      <c r="C1" s="791" t="s">
        <v>472</v>
      </c>
      <c r="D1" s="792">
        <f>OpDateTo</f>
        <v>43894</v>
      </c>
      <c r="E1" s="793" t="str">
        <f>OpEnd</f>
        <v>0700</v>
      </c>
      <c r="F1" s="794"/>
      <c r="G1" s="795" t="s">
        <v>434</v>
      </c>
      <c r="H1" s="796" t="str">
        <f>IFERROR(" " &amp; vlookup(H10,Order205,10,FALSE),"")</f>
        <v> </v>
      </c>
      <c r="I1" s="796" t="str">
        <f>IFERROR(" " &amp; vlookup(I10,Order205,10,FALSE),"")</f>
        <v> </v>
      </c>
      <c r="J1" s="796" t="str">
        <f>IFERROR(" " &amp; vlookup(J10,Order205,10,FALSE),"")</f>
        <v> </v>
      </c>
      <c r="K1" s="796" t="str">
        <f>IFERROR(" " &amp; vlookup(K10,Order205,10,FALSE),"")</f>
        <v> </v>
      </c>
      <c r="L1" s="796" t="str">
        <f>IFERROR(" " &amp; vlookup(L10,Order205,10,FALSE),"")</f>
        <v/>
      </c>
      <c r="M1" s="796" t="str">
        <f>IFERROR(" " &amp; vlookup(M10,Order205,10,FALSE),"")</f>
        <v/>
      </c>
      <c r="N1" s="796" t="str">
        <f>IFERROR(" " &amp; vlookup(N10,Order205,10,FALSE),"")</f>
        <v/>
      </c>
      <c r="O1" s="796" t="str">
        <f>IFERROR(" " &amp; vlookup(O10,Order205,10,FALSE),"")</f>
        <v/>
      </c>
      <c r="P1" s="796" t="str">
        <f>IFERROR(" " &amp; vlookup(P10,Order205,10,FALSE),"")</f>
        <v/>
      </c>
      <c r="Q1" s="796" t="str">
        <f>IFERROR(" " &amp; vlookup(Q10,Order205,10,FALSE),"")</f>
        <v/>
      </c>
      <c r="R1" s="796" t="str">
        <f>IFERROR(" " &amp; vlookup(R10,Order205,10,FALSE),"")</f>
        <v/>
      </c>
      <c r="S1" s="796" t="str">
        <f>IFERROR(" " &amp; vlookup(S10,Order205,10,FALSE),"")</f>
        <v/>
      </c>
      <c r="T1" s="796" t="str">
        <f>IFERROR(" " &amp; vlookup(T10,Order205,10,FALSE),"")</f>
        <v/>
      </c>
      <c r="U1" s="796" t="str">
        <f>IFERROR(" " &amp; vlookup(U10,Order205,10,FALSE),"")</f>
        <v> </v>
      </c>
      <c r="V1" s="796" t="str">
        <f>IFERROR(" " &amp; vlookup(V10,Order205,10,FALSE),"")</f>
        <v> </v>
      </c>
      <c r="W1" s="796" t="str">
        <f>IFERROR(" " &amp; vlookup(W10,Order205,10,FALSE),"")</f>
        <v> </v>
      </c>
      <c r="X1" s="796" t="str">
        <f>IFERROR(" " &amp; vlookup(X10,Order205,10,FALSE),"")</f>
        <v/>
      </c>
      <c r="Y1" s="796" t="str">
        <f>IFERROR(" " &amp; vlookup(Y10,Order205,10,FALSE),"")</f>
        <v/>
      </c>
      <c r="Z1" s="796" t="str">
        <f>IFERROR(" " &amp; vlookup(Z10,Order205,10,FALSE),"")</f>
        <v/>
      </c>
      <c r="AA1" s="796" t="str">
        <f>IFERROR(" " &amp; vlookup(AA10,Order205,10,FALSE),"")</f>
        <v/>
      </c>
      <c r="AB1" s="797" t="s">
        <v>558</v>
      </c>
      <c r="AC1" s="798" t="str">
        <f>'205 Worksheet'!A148</f>
        <v>This is a test</v>
      </c>
      <c r="AD1" s="799" t="s">
        <v>1136</v>
      </c>
      <c r="AE1" s="800">
        <f>E6</f>
        <v>1930</v>
      </c>
    </row>
    <row r="2" ht="64.5" customHeight="1">
      <c r="A2" s="801"/>
      <c r="B2" s="802"/>
      <c r="C2" s="166"/>
      <c r="D2" s="803"/>
      <c r="E2" s="804"/>
      <c r="F2" s="805"/>
      <c r="G2" s="795" t="s">
        <v>433</v>
      </c>
      <c r="H2" s="806" t="str">
        <f>IFERROR(" " &amp; vlookup(H10,Order205,9,FALSE),"")</f>
        <v> A</v>
      </c>
      <c r="I2" s="806" t="str">
        <f>IFERROR(" " &amp; vlookup(I10,Order205,9,FALSE),"")</f>
        <v> A</v>
      </c>
      <c r="J2" s="806" t="str">
        <f>IFERROR(" " &amp; vlookup(J10,Order205,9,FALSE),"")</f>
        <v> A</v>
      </c>
      <c r="K2" s="806" t="str">
        <f>IFERROR(" " &amp; vlookup(K10,Order205,9,FALSE),"")</f>
        <v> A</v>
      </c>
      <c r="L2" s="806" t="str">
        <f>IFERROR(" " &amp; vlookup(L10,Order205,9,FALSE),"")</f>
        <v/>
      </c>
      <c r="M2" s="806" t="str">
        <f>IFERROR(" " &amp; vlookup(M10,Order205,9,FALSE),"")</f>
        <v/>
      </c>
      <c r="N2" s="806" t="str">
        <f>IFERROR(" " &amp; vlookup(N10,Order205,9,FALSE),"")</f>
        <v/>
      </c>
      <c r="O2" s="806" t="str">
        <f>IFERROR(" " &amp; vlookup(O10,Order205,9,FALSE),"")</f>
        <v/>
      </c>
      <c r="P2" s="806" t="str">
        <f>IFERROR(" " &amp; vlookup(P10,Order205,9,FALSE),"")</f>
        <v/>
      </c>
      <c r="Q2" s="806" t="str">
        <f>IFERROR(" " &amp; vlookup(Q10,Order205,9,FALSE),"")</f>
        <v/>
      </c>
      <c r="R2" s="806" t="str">
        <f>IFERROR(" " &amp; vlookup(R10,Order205,9,FALSE),"")</f>
        <v/>
      </c>
      <c r="S2" s="806" t="str">
        <f>IFERROR(" " &amp; vlookup(S10,Order205,9,FALSE),"")</f>
        <v/>
      </c>
      <c r="T2" s="806" t="str">
        <f>IFERROR(" " &amp; vlookup(T10,Order205,9,FALSE),"")</f>
        <v/>
      </c>
      <c r="U2" s="806" t="str">
        <f>IFERROR(" " &amp; vlookup(U10,Order205,9,FALSE),"")</f>
        <v> A</v>
      </c>
      <c r="V2" s="806" t="str">
        <f>IFERROR(" " &amp; vlookup(V10,Order205,9,FALSE),"")</f>
        <v> A</v>
      </c>
      <c r="W2" s="806" t="str">
        <f>IFERROR(" " &amp; vlookup(W10,Order205,9,FALSE),"")</f>
        <v> A</v>
      </c>
      <c r="X2" s="806" t="str">
        <f>IFERROR(" " &amp; vlookup(X10,Order205,9,FALSE),"")</f>
        <v/>
      </c>
      <c r="Y2" s="806" t="str">
        <f>IFERROR(" " &amp; vlookup(Y10,Order205,9,FALSE),"")</f>
        <v/>
      </c>
      <c r="Z2" s="806" t="str">
        <f>IFERROR(" " &amp; vlookup(Z10,Order205,9,FALSE),"")</f>
        <v/>
      </c>
      <c r="AA2" s="806" t="str">
        <f>IFERROR(" " &amp; vlookup(AA10,Order205,9,FALSE),"")</f>
        <v/>
      </c>
      <c r="AB2" s="807"/>
      <c r="AC2" s="807"/>
      <c r="AD2" s="807"/>
      <c r="AE2" s="808"/>
    </row>
    <row r="3" ht="64.5" customHeight="1">
      <c r="A3" s="801"/>
      <c r="B3" s="809" t="s">
        <v>1137</v>
      </c>
      <c r="C3" s="166"/>
      <c r="D3" s="803" t="s">
        <v>130</v>
      </c>
      <c r="E3" s="804" t="s">
        <v>133</v>
      </c>
      <c r="F3" s="805"/>
      <c r="G3" s="795" t="s">
        <v>489</v>
      </c>
      <c r="H3" s="806" t="str">
        <f>IFERROR(vlookup(H10,Order205,8,FALSE),"")</f>
        <v>OST</v>
      </c>
      <c r="I3" s="806" t="str">
        <f>IFERROR(vlookup(I10,Order205,8,FALSE),"")</f>
        <v>(T16) 192.8</v>
      </c>
      <c r="J3" s="806" t="str">
        <f>IFERROR(vlookup(J10,Order205,8,FALSE),"")</f>
        <v>(T16) 192.8</v>
      </c>
      <c r="K3" s="806" t="str">
        <f>IFERROR(vlookup(K10,Order205,8,FALSE),"")</f>
        <v>(T16) 192.8</v>
      </c>
      <c r="L3" s="806" t="str">
        <f>IFERROR(vlookup(L10,Order205,8,FALSE),"")</f>
        <v/>
      </c>
      <c r="M3" s="806" t="str">
        <f>IFERROR(vlookup(M10,Order205,8,FALSE),"")</f>
        <v/>
      </c>
      <c r="N3" s="806" t="str">
        <f>IFERROR(vlookup(N10,Order205,8,FALSE),"")</f>
        <v/>
      </c>
      <c r="O3" s="806" t="str">
        <f>IFERROR(vlookup(O10,Order205,8,FALSE),"")</f>
        <v/>
      </c>
      <c r="P3" s="806" t="str">
        <f>IFERROR(vlookup(P10,Order205,8,FALSE),"")</f>
        <v/>
      </c>
      <c r="Q3" s="806" t="str">
        <f>IFERROR(vlookup(Q10,Order205,8,FALSE),"")</f>
        <v/>
      </c>
      <c r="R3" s="806" t="str">
        <f>IFERROR(vlookup(R10,Order205,8,FALSE),"")</f>
        <v/>
      </c>
      <c r="S3" s="806" t="str">
        <f>IFERROR(vlookup(S10,Order205,8,FALSE),"")</f>
        <v/>
      </c>
      <c r="T3" s="806" t="str">
        <f>IFERROR(vlookup(T10,Order205,8,FALSE),"")</f>
        <v/>
      </c>
      <c r="U3" s="806">
        <f>IFERROR(vlookup(U10,Order205,8,FALSE),"")</f>
        <v>0</v>
      </c>
      <c r="V3" s="806" t="str">
        <f>IFERROR(vlookup(V10,Order205,8,FALSE),"")</f>
        <v>(T6)  156.7</v>
      </c>
      <c r="W3" s="806">
        <f>IFERROR(vlookup(W10,Order205,8,FALSE),"")</f>
        <v>0</v>
      </c>
      <c r="X3" s="806" t="str">
        <f>IFERROR(vlookup(X10,Order205,8,FALSE),"")</f>
        <v/>
      </c>
      <c r="Y3" s="806" t="str">
        <f>IFERROR(vlookup(Y10,Order205,8,FALSE),"")</f>
        <v/>
      </c>
      <c r="Z3" s="806" t="str">
        <f>IFERROR(vlookup(Z10,Order205,8,FALSE),"")</f>
        <v/>
      </c>
      <c r="AA3" s="806" t="str">
        <f>IFERROR(vlookup(AA10,Order205,8,FALSE),"")</f>
        <v/>
      </c>
      <c r="AB3" s="807"/>
      <c r="AC3" s="807"/>
      <c r="AD3" s="807"/>
      <c r="AE3" s="810">
        <f>D6</f>
        <v>43892</v>
      </c>
    </row>
    <row r="4" ht="69.0" customHeight="1">
      <c r="A4" s="801"/>
      <c r="B4" s="807"/>
      <c r="C4" s="166"/>
      <c r="D4" s="811">
        <f>OpDate</f>
        <v>43893</v>
      </c>
      <c r="E4" s="812" t="str">
        <f>OpStart</f>
        <v>0700</v>
      </c>
      <c r="F4" s="805"/>
      <c r="G4" s="795" t="s">
        <v>488</v>
      </c>
      <c r="H4" s="806">
        <f> IFERROR(vlookup(H10,Order205,7,FALSE),"")</f>
        <v>159.3</v>
      </c>
      <c r="I4" s="806">
        <f> IFERROR(vlookup(I10,Order205,7,FALSE),"")</f>
        <v>151.175</v>
      </c>
      <c r="J4" s="806">
        <f> IFERROR(vlookup(J10,Order205,7,FALSE),"")</f>
        <v>151.19</v>
      </c>
      <c r="K4" s="806">
        <f> IFERROR(vlookup(K10,Order205,7,FALSE),"")</f>
        <v>159.3225</v>
      </c>
      <c r="L4" s="806" t="str">
        <f> IFERROR(vlookup(L10,Order205,7,FALSE),"")</f>
        <v/>
      </c>
      <c r="M4" s="806" t="str">
        <f> IFERROR(vlookup(M10,Order205,7,FALSE),"")</f>
        <v/>
      </c>
      <c r="N4" s="806" t="str">
        <f> IFERROR(vlookup(N10,Order205,7,FALSE),"")</f>
        <v/>
      </c>
      <c r="O4" s="806" t="str">
        <f> IFERROR(vlookup(O10,Order205,7,FALSE),"")</f>
        <v/>
      </c>
      <c r="P4" s="806" t="str">
        <f> IFERROR(vlookup(P10,Order205,7,FALSE),"")</f>
        <v/>
      </c>
      <c r="Q4" s="806" t="str">
        <f> IFERROR(vlookup(Q10,Order205,7,FALSE),"")</f>
        <v/>
      </c>
      <c r="R4" s="806" t="str">
        <f> IFERROR(vlookup(R10,Order205,7,FALSE),"")</f>
        <v/>
      </c>
      <c r="S4" s="806" t="str">
        <f> IFERROR(vlookup(S10,Order205,7,FALSE),"")</f>
        <v/>
      </c>
      <c r="T4" s="806" t="str">
        <f> IFERROR(vlookup(T10,Order205,7,FALSE),"")</f>
        <v/>
      </c>
      <c r="U4" s="806" t="str">
        <f> IFERROR(vlookup(U10,Order205,7,FALSE),"")</f>
        <v>166.6125</v>
      </c>
      <c r="V4" s="806">
        <f> IFERROR(vlookup(V10,Order205,7,FALSE),"")</f>
        <v>156.075</v>
      </c>
      <c r="W4" s="806" t="str">
        <f> IFERROR(vlookup(W10,Order205,7,FALSE),"")</f>
        <v>168.5625</v>
      </c>
      <c r="X4" s="806" t="str">
        <f> IFERROR(vlookup(X10,Order205,7,FALSE),"")</f>
        <v/>
      </c>
      <c r="Y4" s="806" t="str">
        <f> IFERROR(vlookup(Y10,Order205,7,FALSE),"")</f>
        <v/>
      </c>
      <c r="Z4" s="806" t="str">
        <f> IFERROR(vlookup(Z10,Order205,7,FALSE),"")</f>
        <v/>
      </c>
      <c r="AA4" s="806" t="str">
        <f> IFERROR(vlookup(AA10,Order205,7,FALSE),"")</f>
        <v/>
      </c>
      <c r="AB4" s="807"/>
      <c r="AC4" s="807"/>
      <c r="AD4" s="813"/>
      <c r="AE4" s="814" t="s">
        <v>389</v>
      </c>
    </row>
    <row r="5" ht="60.0" customHeight="1">
      <c r="A5" s="801"/>
      <c r="B5" s="807"/>
      <c r="C5" s="104"/>
      <c r="D5" s="815" t="s">
        <v>1138</v>
      </c>
      <c r="E5" s="816" t="s">
        <v>1139</v>
      </c>
      <c r="F5" s="805"/>
      <c r="G5" s="795" t="s">
        <v>487</v>
      </c>
      <c r="H5" s="806" t="str">
        <f> IFERROR(vlookup(H10,Order205,6,FALSE),"")</f>
        <v>(T8)  103.5</v>
      </c>
      <c r="I5" s="806" t="str">
        <f> IFERROR(vlookup(I10,Order205,6,FALSE),"")</f>
        <v>(T16) 192.8</v>
      </c>
      <c r="J5" s="806" t="str">
        <f> IFERROR(vlookup(J10,Order205,6,FALSE),"")</f>
        <v>(T16) 192.8</v>
      </c>
      <c r="K5" s="806" t="str">
        <f> IFERROR(vlookup(K10,Order205,6,FALSE),"")</f>
        <v>(T16) 192.8</v>
      </c>
      <c r="L5" s="806" t="str">
        <f> IFERROR(vlookup(L10,Order205,6,FALSE),"")</f>
        <v/>
      </c>
      <c r="M5" s="806" t="str">
        <f> IFERROR(vlookup(M10,Order205,6,FALSE),"")</f>
        <v/>
      </c>
      <c r="N5" s="806" t="str">
        <f> IFERROR(vlookup(N10,Order205,6,FALSE),"")</f>
        <v/>
      </c>
      <c r="O5" s="806" t="str">
        <f> IFERROR(vlookup(O10,Order205,6,FALSE),"")</f>
        <v/>
      </c>
      <c r="P5" s="806" t="str">
        <f> IFERROR(vlookup(P10,Order205,6,FALSE),"")</f>
        <v/>
      </c>
      <c r="Q5" s="806" t="str">
        <f> IFERROR(vlookup(Q10,Order205,6,FALSE),"")</f>
        <v/>
      </c>
      <c r="R5" s="806" t="str">
        <f> IFERROR(vlookup(R10,Order205,6,FALSE),"")</f>
        <v/>
      </c>
      <c r="S5" s="806" t="str">
        <f> IFERROR(vlookup(S10,Order205,6,FALSE),"")</f>
        <v/>
      </c>
      <c r="T5" s="806" t="str">
        <f> IFERROR(vlookup(T10,Order205,6,FALSE),"")</f>
        <v/>
      </c>
      <c r="U5" s="806" t="str">
        <f> IFERROR(vlookup(U10,Order205,6,FALSE),"")</f>
        <v/>
      </c>
      <c r="V5" s="806" t="str">
        <f> IFERROR(vlookup(V10,Order205,6,FALSE),"")</f>
        <v>(T6)  156.7</v>
      </c>
      <c r="W5" s="806" t="str">
        <f> IFERROR(vlookup(W10,Order205,6,FALSE),"")</f>
        <v/>
      </c>
      <c r="X5" s="806" t="str">
        <f> IFERROR(vlookup(X10,Order205,6,FALSE),"")</f>
        <v/>
      </c>
      <c r="Y5" s="806" t="str">
        <f> IFERROR(vlookup(Y10,Order205,6,FALSE),"")</f>
        <v/>
      </c>
      <c r="Z5" s="806" t="str">
        <f> IFERROR(vlookup(Z10,Order205,6,FALSE),"")</f>
        <v/>
      </c>
      <c r="AA5" s="806" t="str">
        <f> IFERROR(vlookup(AA10,Order205,6,FALSE),"")</f>
        <v/>
      </c>
      <c r="AB5" s="807"/>
      <c r="AC5" s="807"/>
      <c r="AD5" s="798" t="str">
        <f>Concatenate("6. Prepared by (Communications Unit Leader): Name: ", '205 Worksheet'!E150) </f>
        <v>6. Prepared by (Communications Unit Leader): Name: </v>
      </c>
      <c r="AE5" s="817" t="s">
        <v>332</v>
      </c>
    </row>
    <row r="6" ht="70.5" customHeight="1">
      <c r="A6" s="801"/>
      <c r="B6" s="807"/>
      <c r="C6" s="818" t="s">
        <v>471</v>
      </c>
      <c r="D6" s="819">
        <f>D4-1</f>
        <v>43892</v>
      </c>
      <c r="E6" s="820">
        <f>'205 Worksheet'!E4</f>
        <v>1930</v>
      </c>
      <c r="F6" s="805"/>
      <c r="G6" s="795" t="s">
        <v>486</v>
      </c>
      <c r="H6" s="806">
        <f> IFERROR(vlookup(H10,Order205,5,FALSE),"")</f>
        <v>151.355</v>
      </c>
      <c r="I6" s="806">
        <f> IFERROR(vlookup(I10,Order205,5,FALSE),"")</f>
        <v>151.175</v>
      </c>
      <c r="J6" s="806">
        <f> IFERROR(vlookup(J10,Order205,5,FALSE),"")</f>
        <v>151.19</v>
      </c>
      <c r="K6" s="806">
        <f> IFERROR(vlookup(K10,Order205,5,FALSE),"")</f>
        <v>159.3225</v>
      </c>
      <c r="L6" s="806" t="str">
        <f> IFERROR(vlookup(L10,Order205,5,FALSE),"")</f>
        <v/>
      </c>
      <c r="M6" s="806" t="str">
        <f> IFERROR(vlookup(M10,Order205,5,FALSE),"")</f>
        <v/>
      </c>
      <c r="N6" s="806" t="str">
        <f> IFERROR(vlookup(N10,Order205,5,FALSE),"")</f>
        <v/>
      </c>
      <c r="O6" s="806" t="str">
        <f> IFERROR(vlookup(O10,Order205,5,FALSE),"")</f>
        <v/>
      </c>
      <c r="P6" s="806" t="str">
        <f> IFERROR(vlookup(P10,Order205,5,FALSE),"")</f>
        <v/>
      </c>
      <c r="Q6" s="806" t="str">
        <f> IFERROR(vlookup(Q10,Order205,5,FALSE),"")</f>
        <v/>
      </c>
      <c r="R6" s="806" t="str">
        <f> IFERROR(vlookup(R10,Order205,5,FALSE),"")</f>
        <v/>
      </c>
      <c r="S6" s="806" t="str">
        <f> IFERROR(vlookup(S10,Order205,5,FALSE),"")</f>
        <v/>
      </c>
      <c r="T6" s="806" t="str">
        <f> IFERROR(vlookup(T10,Order205,5,FALSE),"")</f>
        <v/>
      </c>
      <c r="U6" s="806" t="str">
        <f> IFERROR(vlookup(U10,Order205,5,FALSE),"")</f>
        <v>166.6125</v>
      </c>
      <c r="V6" s="806">
        <f> IFERROR(vlookup(V10,Order205,5,FALSE),"")</f>
        <v>156.075</v>
      </c>
      <c r="W6" s="806" t="str">
        <f> IFERROR(vlookup(W10,Order205,5,FALSE),"")</f>
        <v>168.5625</v>
      </c>
      <c r="X6" s="806" t="str">
        <f> IFERROR(vlookup(X10,Order205,5,FALSE),"")</f>
        <v/>
      </c>
      <c r="Y6" s="806" t="str">
        <f> IFERROR(vlookup(Y10,Order205,5,FALSE),"")</f>
        <v/>
      </c>
      <c r="Z6" s="806" t="str">
        <f> IFERROR(vlookup(Z10,Order205,5,FALSE),"")</f>
        <v/>
      </c>
      <c r="AA6" s="806" t="str">
        <f> IFERROR(vlookup(AA10,Order205,5,FALSE),"")</f>
        <v/>
      </c>
      <c r="AB6" s="807"/>
      <c r="AC6" s="807"/>
      <c r="AD6" s="807"/>
      <c r="AE6" s="821" t="s">
        <v>1135</v>
      </c>
    </row>
    <row r="7" ht="76.5" customHeight="1">
      <c r="A7" s="801"/>
      <c r="B7" s="807"/>
      <c r="D7" s="822" t="s">
        <v>1140</v>
      </c>
      <c r="E7" s="823" t="s">
        <v>1141</v>
      </c>
      <c r="F7" s="824"/>
      <c r="G7" s="795" t="s">
        <v>1133</v>
      </c>
      <c r="H7" s="806" t="str">
        <f> IFERROR(vlookup(H10,Order205,3,FALSE),"")</f>
        <v>ALL DIVS</v>
      </c>
      <c r="I7" s="806" t="str">
        <f> IFERROR(vlookup(I10,Order205,3,FALSE),"")</f>
        <v>DIV A</v>
      </c>
      <c r="J7" s="806" t="str">
        <f> IFERROR(vlookup(J10,Order205,3,FALSE),"")</f>
        <v>DIV B</v>
      </c>
      <c r="K7" s="806" t="str">
        <f> IFERROR(vlookup(K10,Order205,3,FALSE),"")</f>
        <v/>
      </c>
      <c r="L7" s="806" t="str">
        <f> IFERROR(vlookup(L10,Order205,3,FALSE),"")</f>
        <v/>
      </c>
      <c r="M7" s="806" t="str">
        <f> IFERROR(vlookup(M10,Order205,3,FALSE),"")</f>
        <v/>
      </c>
      <c r="N7" s="806" t="str">
        <f> IFERROR(vlookup(N10,Order205,3,FALSE),"")</f>
        <v/>
      </c>
      <c r="O7" s="806" t="str">
        <f> IFERROR(vlookup(O10,Order205,3,FALSE),"")</f>
        <v/>
      </c>
      <c r="P7" s="806" t="str">
        <f> IFERROR(vlookup(P10,Order205,3,FALSE),"")</f>
        <v/>
      </c>
      <c r="Q7" s="806" t="str">
        <f> IFERROR(vlookup(Q10,Order205,3,FALSE),"")</f>
        <v/>
      </c>
      <c r="R7" s="806" t="str">
        <f> IFERROR(vlookup(R10,Order205,3,FALSE),"")</f>
        <v/>
      </c>
      <c r="S7" s="806" t="str">
        <f> IFERROR(vlookup(S10,Order205,3,FALSE),"")</f>
        <v/>
      </c>
      <c r="T7" s="806" t="str">
        <f> IFERROR(vlookup(T10,Order205,3,FALSE),"")</f>
        <v/>
      </c>
      <c r="U7" s="806" t="str">
        <f> IFERROR(vlookup(U10,Order205,3,FALSE),"")</f>
        <v>ALL DIVS</v>
      </c>
      <c r="V7" s="806" t="str">
        <f> IFERROR(vlookup(V10,Order205,3,FALSE),"")</f>
        <v>ALL DIVS</v>
      </c>
      <c r="W7" s="806" t="str">
        <f> IFERROR(vlookup(W10,Order205,3,FALSE),"")</f>
        <v>ALL DIVS</v>
      </c>
      <c r="X7" s="806" t="str">
        <f> IFERROR(vlookup(X10,Order205,3,FALSE),"")</f>
        <v/>
      </c>
      <c r="Y7" s="806" t="str">
        <f> IFERROR(vlookup(Y10,Order205,3,FALSE),"")</f>
        <v/>
      </c>
      <c r="Z7" s="806" t="str">
        <f> IFERROR(vlookup(Z10,Order205,3,FALSE),"")</f>
        <v/>
      </c>
      <c r="AA7" s="806" t="str">
        <f> IFERROR(vlookup(AA10,Order205,3,FALSE),"")</f>
        <v/>
      </c>
      <c r="AB7" s="807"/>
      <c r="AC7" s="807"/>
      <c r="AD7" s="807"/>
      <c r="AE7" s="807"/>
    </row>
    <row r="8" ht="84.75" customHeight="1">
      <c r="A8" s="801"/>
      <c r="B8" s="807"/>
      <c r="C8" s="825" t="s">
        <v>282</v>
      </c>
      <c r="D8" s="826" t="str">
        <f>IncName</f>
        <v>NO NAME</v>
      </c>
      <c r="E8" s="827" t="str">
        <f>'205 Worksheet'!B7</f>
        <v>Incident Channels</v>
      </c>
      <c r="F8" s="828" t="s">
        <v>478</v>
      </c>
      <c r="G8" s="829" t="s">
        <v>352</v>
      </c>
      <c r="H8" s="806" t="str">
        <f> IFERROR(vlookup(H10,Order205,2,FALSE),"")</f>
        <v>CDF C1</v>
      </c>
      <c r="I8" s="806" t="str">
        <f> IFERROR(vlookup(I10,Order205,2,FALSE),"")</f>
        <v>CDF T3</v>
      </c>
      <c r="J8" s="806" t="str">
        <f> IFERROR(vlookup(J10,Order205,2,FALSE),"")</f>
        <v>CDF T4</v>
      </c>
      <c r="K8" s="806" t="str">
        <f> IFERROR(vlookup(K10,Order205,2,FALSE),"")</f>
        <v>CDF T35</v>
      </c>
      <c r="L8" s="806" t="str">
        <f> IFERROR(vlookup(L10,Order205,2,FALSE),"")</f>
        <v/>
      </c>
      <c r="M8" s="806" t="str">
        <f> IFERROR(vlookup(M10,Order205,2,FALSE),"")</f>
        <v/>
      </c>
      <c r="N8" s="806" t="str">
        <f> IFERROR(vlookup(N10,Order205,2,FALSE),"")</f>
        <v/>
      </c>
      <c r="O8" s="806" t="str">
        <f> IFERROR(vlookup(O10,Order205,2,FALSE),"")</f>
        <v/>
      </c>
      <c r="P8" s="806" t="str">
        <f> IFERROR(vlookup(P10,Order205,2,FALSE),"")</f>
        <v/>
      </c>
      <c r="Q8" s="806" t="str">
        <f> IFERROR(vlookup(Q10,Order205,2,FALSE),"")</f>
        <v/>
      </c>
      <c r="R8" s="806" t="str">
        <f> IFERROR(vlookup(R10,Order205,2,FALSE),"")</f>
        <v/>
      </c>
      <c r="S8" s="806" t="str">
        <f> IFERROR(vlookup(S10,Order205,2,FALSE),"")</f>
        <v/>
      </c>
      <c r="T8" s="806" t="str">
        <f> IFERROR(vlookup(T10,Order205,2,FALSE),"")</f>
        <v/>
      </c>
      <c r="U8" s="806" t="str">
        <f> IFERROR(vlookup(U10,Order205,2,FALSE),"")</f>
        <v>A/G CMD</v>
      </c>
      <c r="V8" s="806" t="str">
        <f> IFERROR(vlookup(V10,Order205,2,FALSE),"")</f>
        <v>CALCORD</v>
      </c>
      <c r="W8" s="806" t="str">
        <f> IFERROR(vlookup(W10,Order205,2,FALSE),"")</f>
        <v>A/G YNP</v>
      </c>
      <c r="X8" s="806" t="str">
        <f> IF(ISERROR(vlookup(X10,Order205,2,FALSE)), "", vlookup(X10,Order205,2,FALSE))</f>
        <v/>
      </c>
      <c r="Y8" s="806" t="str">
        <f> IF(ISERROR(vlookup(Y10,Order205,2,FALSE)), "", vlookup(Y10,Order205,2,FALSE))</f>
        <v/>
      </c>
      <c r="Z8" s="806" t="str">
        <f> IF(ISERROR(vlookup(Z10,Order205,2,FALSE)), "", vlookup(Z10,Order205,2,FALSE))</f>
        <v/>
      </c>
      <c r="AA8" s="806" t="str">
        <f> IF(ISERROR(vlookup(AA10,Order205,2,FALSE)), "", vlookup(AA10,Order205,2,FALSE))</f>
        <v/>
      </c>
      <c r="AB8" s="807"/>
      <c r="AC8" s="807"/>
      <c r="AD8" s="807"/>
      <c r="AE8" s="807"/>
    </row>
    <row r="9" ht="101.25" customHeight="1">
      <c r="A9" s="801"/>
      <c r="B9" s="807"/>
      <c r="C9" s="166"/>
      <c r="E9" s="94"/>
      <c r="F9" s="807"/>
      <c r="G9" s="830" t="s">
        <v>485</v>
      </c>
      <c r="H9" s="798" t="str">
        <f> IFERROR(" " &amp; vlookup(H10,Order205,4,FALSE),"")</f>
        <v> COMMAND</v>
      </c>
      <c r="I9" s="798" t="str">
        <f> IFERROR(" " &amp; vlookup(I10,Order205,4,FALSE),"")</f>
        <v> TACTICAL</v>
      </c>
      <c r="J9" s="798" t="str">
        <f> IFERROR(" " &amp; vlookup(J10,Order205,4,FALSE),"")</f>
        <v> TACTICAL</v>
      </c>
      <c r="K9" s="798" t="str">
        <f> IFERROR(" " &amp; vlookup(K10,Order205,4,FALSE),"")</f>
        <v> TACTICAL</v>
      </c>
      <c r="L9" s="798" t="str">
        <f> IFERROR(" " &amp; vlookup(L10,Order205,4,FALSE),"")</f>
        <v/>
      </c>
      <c r="M9" s="798" t="str">
        <f> IFERROR(" " &amp; vlookup(M10,Order205,4,FALSE),"")</f>
        <v/>
      </c>
      <c r="N9" s="798" t="str">
        <f> IFERROR(" " &amp; vlookup(N10,Order205,4,FALSE),"")</f>
        <v/>
      </c>
      <c r="O9" s="798" t="str">
        <f> IFERROR(" " &amp; vlookup(O10,Order205,4,FALSE),"")</f>
        <v/>
      </c>
      <c r="P9" s="798" t="str">
        <f> IFERROR(" " &amp; vlookup(P10,Order205,4,FALSE),"")</f>
        <v/>
      </c>
      <c r="Q9" s="798" t="str">
        <f> IFERROR(" " &amp; vlookup(Q10,Order205,4,FALSE),"")</f>
        <v/>
      </c>
      <c r="R9" s="798" t="str">
        <f> IFERROR(" " &amp; vlookup(R10,Order205,4,FALSE),"")</f>
        <v/>
      </c>
      <c r="S9" s="798" t="str">
        <f> IFERROR(" " &amp; vlookup(S10,Order205,4,FALSE),"")</f>
        <v/>
      </c>
      <c r="T9" s="798" t="str">
        <f> IFERROR(" " &amp; vlookup(T10,Order205,4,FALSE),"")</f>
        <v/>
      </c>
      <c r="U9" s="798" t="str">
        <f> IFERROR(" " &amp; vlookup(U10,Order205,4,FALSE),"")</f>
        <v> A/G CMD</v>
      </c>
      <c r="V9" s="798" t="str">
        <f> IFERROR(" " &amp; vlookup(V10,Order205,4,FALSE),"")</f>
        <v> TACTICAL</v>
      </c>
      <c r="W9" s="798" t="str">
        <f> IFERROR(" " &amp; vlookup(W10,Order205,4,FALSE),"")</f>
        <v> A/G</v>
      </c>
      <c r="X9" s="798" t="str">
        <f> IFERROR(" " &amp; vlookup(X10,Order205,4,FALSE),"")</f>
        <v/>
      </c>
      <c r="Y9" s="798" t="str">
        <f> IFERROR(" " &amp; vlookup(Y10,Order205,4,FALSE),"")</f>
        <v/>
      </c>
      <c r="Z9" s="798" t="str">
        <f> IFERROR(" " &amp; vlookup(Z10,Order205,4,FALSE),"")</f>
        <v/>
      </c>
      <c r="AA9" s="798" t="str">
        <f> IFERROR(" " &amp; vlookup(AA10,Order205,4,FALSE),"")</f>
        <v/>
      </c>
      <c r="AB9" s="807"/>
      <c r="AC9" s="807"/>
      <c r="AD9" s="807"/>
      <c r="AE9" s="807"/>
    </row>
    <row r="10" ht="30.0" customHeight="1">
      <c r="A10" s="801"/>
      <c r="B10" s="813"/>
      <c r="C10" s="104"/>
      <c r="D10" s="77"/>
      <c r="E10" s="55"/>
      <c r="F10" s="813"/>
      <c r="G10" s="831" t="s">
        <v>1132</v>
      </c>
      <c r="H10" s="831">
        <v>1.0</v>
      </c>
      <c r="I10" s="831">
        <v>2.0</v>
      </c>
      <c r="J10" s="831">
        <v>3.0</v>
      </c>
      <c r="K10" s="831">
        <v>4.0</v>
      </c>
      <c r="L10" s="831">
        <v>5.0</v>
      </c>
      <c r="M10" s="831">
        <v>6.0</v>
      </c>
      <c r="N10" s="831">
        <v>7.0</v>
      </c>
      <c r="O10" s="831">
        <v>8.0</v>
      </c>
      <c r="P10" s="831">
        <v>9.0</v>
      </c>
      <c r="Q10" s="831">
        <v>10.0</v>
      </c>
      <c r="R10" s="831">
        <v>11.0</v>
      </c>
      <c r="S10" s="831">
        <v>12.0</v>
      </c>
      <c r="T10" s="831">
        <v>13.0</v>
      </c>
      <c r="U10" s="831">
        <v>14.0</v>
      </c>
      <c r="V10" s="831">
        <v>15.0</v>
      </c>
      <c r="W10" s="831">
        <v>16.0</v>
      </c>
      <c r="X10" s="831">
        <v>17.0</v>
      </c>
      <c r="Y10" s="831">
        <v>18.0</v>
      </c>
      <c r="Z10" s="831">
        <v>19.0</v>
      </c>
      <c r="AA10" s="831">
        <v>20.0</v>
      </c>
      <c r="AB10" s="813"/>
      <c r="AC10" s="813"/>
      <c r="AD10" s="813"/>
      <c r="AE10" s="813"/>
    </row>
    <row r="11" ht="9.75" customHeight="1">
      <c r="A11" s="801"/>
      <c r="B11" s="801"/>
      <c r="C11" s="818"/>
      <c r="D11" s="826"/>
      <c r="E11" s="826"/>
      <c r="F11" s="832"/>
      <c r="G11" s="833"/>
      <c r="H11" s="833"/>
      <c r="I11" s="833"/>
      <c r="J11" s="833"/>
      <c r="K11" s="833"/>
      <c r="L11" s="833"/>
      <c r="M11" s="833"/>
      <c r="N11" s="833"/>
      <c r="O11" s="833"/>
      <c r="P11" s="833"/>
      <c r="Q11" s="833"/>
      <c r="R11" s="833"/>
      <c r="S11" s="833"/>
      <c r="T11" s="833"/>
      <c r="U11" s="833"/>
      <c r="V11" s="833"/>
      <c r="W11" s="833"/>
      <c r="X11" s="833"/>
      <c r="Y11" s="833"/>
      <c r="Z11" s="833"/>
      <c r="AA11" s="833"/>
    </row>
  </sheetData>
  <mergeCells count="12">
    <mergeCell ref="C6:C7"/>
    <mergeCell ref="C8:C10"/>
    <mergeCell ref="D8:D10"/>
    <mergeCell ref="E8:E10"/>
    <mergeCell ref="C1:C5"/>
    <mergeCell ref="AB1:AB10"/>
    <mergeCell ref="AC1:AC10"/>
    <mergeCell ref="AD1:AD4"/>
    <mergeCell ref="B3:B10"/>
    <mergeCell ref="AD5:AD10"/>
    <mergeCell ref="AE6:AE10"/>
    <mergeCell ref="F8:F10"/>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1" width="1.25"/>
    <col customWidth="1" min="2" max="2" width="5.75"/>
    <col customWidth="1" min="3" max="31" width="3.75"/>
  </cols>
  <sheetData>
    <row r="1" ht="247.5" customHeight="1">
      <c r="A1" s="789"/>
      <c r="B1" s="790" t="s">
        <v>414</v>
      </c>
      <c r="C1" s="791" t="s">
        <v>472</v>
      </c>
      <c r="D1" s="792">
        <f>OpDateTo</f>
        <v>43894</v>
      </c>
      <c r="E1" s="793" t="str">
        <f>OpEnd</f>
        <v>0700</v>
      </c>
      <c r="F1" s="794"/>
      <c r="G1" s="795" t="s">
        <v>434</v>
      </c>
      <c r="H1" s="796" t="str">
        <f> IF(ISERROR(vlookup(Concatenate("P2.",H10),Order205,10,FALSE)), "", vlookup(Concatenate("P2.",H10),Order205,10,FALSE))</f>
        <v/>
      </c>
      <c r="I1" s="796" t="str">
        <f> IF(ISERROR(vlookup(Concatenate("P2.",I10),Order205,10,FALSE)), "", vlookup(Concatenate("P2.",I10),Order205,10,FALSE))</f>
        <v/>
      </c>
      <c r="J1" s="796" t="str">
        <f> IF(ISERROR(vlookup(Concatenate("P2.",J10),Order205,10,FALSE)), "", vlookup(Concatenate("P2.",J10),Order205,10,FALSE))</f>
        <v/>
      </c>
      <c r="K1" s="796" t="str">
        <f> IF(ISERROR(vlookup(Concatenate("P2.",K10),Order205,10,FALSE)), "", vlookup(Concatenate("P2.",K10),Order205,10,FALSE))</f>
        <v/>
      </c>
      <c r="L1" s="796" t="str">
        <f> IF(ISERROR(vlookup(Concatenate("P2.",L10),Order205,10,FALSE)), "", vlookup(Concatenate("P2.",L10),Order205,10,FALSE))</f>
        <v/>
      </c>
      <c r="M1" s="796" t="str">
        <f> IF(ISERROR(vlookup(Concatenate("P2.",M10),Order205,10,FALSE)), "", vlookup(Concatenate("P2.",M10),Order205,10,FALSE))</f>
        <v/>
      </c>
      <c r="N1" s="796" t="str">
        <f> IF(ISERROR(vlookup(Concatenate("P2.",N10),Order205,10,FALSE)), "", vlookup(Concatenate("P2.",N10),Order205,10,FALSE))</f>
        <v/>
      </c>
      <c r="O1" s="796" t="str">
        <f> IF(ISERROR(vlookup(Concatenate("P2.",O10),Order205,10,FALSE)), "", vlookup(Concatenate("P2.",O10),Order205,10,FALSE))</f>
        <v/>
      </c>
      <c r="P1" s="796" t="str">
        <f> IF(ISERROR(vlookup(Concatenate("P2.",P10),Order205,10,FALSE)), "", vlookup(Concatenate("P2.",P10),Order205,10,FALSE))</f>
        <v/>
      </c>
      <c r="Q1" s="796" t="str">
        <f> IF(ISERROR(vlookup(Concatenate("P2.",Q10),Order205,10,FALSE)), "", vlookup(Concatenate("P2.",Q10),Order205,10,FALSE))</f>
        <v/>
      </c>
      <c r="R1" s="796" t="str">
        <f> IF(ISERROR(vlookup(Concatenate("P2.",R10),Order205,10,FALSE)), "", vlookup(Concatenate("P2.",R10),Order205,10,FALSE))</f>
        <v/>
      </c>
      <c r="S1" s="796" t="str">
        <f> IF(ISERROR(vlookup(Concatenate("P2.",S10),Order205,10,FALSE)), "", vlookup(Concatenate("P2.",S10),Order205,10,FALSE))</f>
        <v/>
      </c>
      <c r="T1" s="796" t="str">
        <f> IF(ISERROR(vlookup(Concatenate("P2.",T10),Order205,10,FALSE)), "", vlookup(Concatenate("P2.",T10),Order205,10,FALSE))</f>
        <v/>
      </c>
      <c r="U1" s="796" t="str">
        <f> IF(ISERROR(vlookup(Concatenate("P2.",U10),Order205,10,FALSE)), "", vlookup(Concatenate("P2.",U10),Order205,10,FALSE))</f>
        <v/>
      </c>
      <c r="V1" s="796" t="str">
        <f> IF(ISERROR(vlookup(Concatenate("P2.",V10),Order205,10,FALSE)), "", vlookup(Concatenate("P2.",V10),Order205,10,FALSE))</f>
        <v/>
      </c>
      <c r="W1" s="796" t="str">
        <f> IF(ISERROR(vlookup(Concatenate("P2.",W10),Order205,10,FALSE)), "", vlookup(Concatenate("P2.",W10),Order205,10,FALSE))</f>
        <v/>
      </c>
      <c r="X1" s="796" t="str">
        <f> IF(ISERROR(vlookup(Concatenate("P2.",X10),Order205,10,FALSE)), "", vlookup(Concatenate("P2.",X10),Order205,10,FALSE))</f>
        <v/>
      </c>
      <c r="Y1" s="796" t="str">
        <f> IF(ISERROR(vlookup(Concatenate("P2.",Y10),Order205,10,FALSE)), "", vlookup(Concatenate("P2.",Y10),Order205,10,FALSE))</f>
        <v/>
      </c>
      <c r="Z1" s="796" t="str">
        <f> IF(ISERROR(vlookup(Concatenate("P2.",Z10),Order205,10,FALSE)), "", vlookup(Concatenate("P2.",Z10),Order205,10,FALSE))</f>
        <v/>
      </c>
      <c r="AA1" s="796" t="str">
        <f> IF(ISERROR(vlookup(Concatenate("P2.",AA10),Order205,10,FALSE)), "", vlookup(Concatenate("P2.",AA10),Order205,10,FALSE))</f>
        <v/>
      </c>
      <c r="AB1" s="797" t="s">
        <v>558</v>
      </c>
      <c r="AC1" s="798" t="str">
        <f>'205 Worksheet'!A148</f>
        <v>This is a test</v>
      </c>
      <c r="AD1" s="799" t="s">
        <v>1136</v>
      </c>
      <c r="AE1" s="800">
        <f>E6</f>
        <v>1930</v>
      </c>
    </row>
    <row r="2" ht="64.5" customHeight="1">
      <c r="A2" s="801"/>
      <c r="B2" s="802"/>
      <c r="C2" s="166"/>
      <c r="D2" s="803"/>
      <c r="E2" s="804"/>
      <c r="F2" s="805"/>
      <c r="G2" s="795" t="s">
        <v>433</v>
      </c>
      <c r="H2" s="834" t="str">
        <f> IF(ISERROR(vlookup(Concatenate("P2.",H10),Order205,9,FALSE)), "", vlookup(Concatenate("P2.",H10),Order205,9,FALSE))</f>
        <v>A</v>
      </c>
      <c r="I2" s="834" t="str">
        <f> IF(ISERROR(vlookup(Concatenate("P2.",I10),Order205,9,FALSE)), "", vlookup(Concatenate("P2.",I10),Order205,9,FALSE))</f>
        <v>A</v>
      </c>
      <c r="J2" s="834" t="str">
        <f> IF(ISERROR(vlookup(Concatenate("P2.",J10),Order205,9,FALSE)), "", vlookup(Concatenate("P2.",J10),Order205,9,FALSE))</f>
        <v>A</v>
      </c>
      <c r="K2" s="834" t="str">
        <f> IF(ISERROR(vlookup(Concatenate("P2.",K10),Order205,9,FALSE)), "", vlookup(Concatenate("P2.",K10),Order205,9,FALSE))</f>
        <v>A</v>
      </c>
      <c r="L2" s="834" t="str">
        <f> IF(ISERROR(vlookup(Concatenate("P2.",L10),Order205,9,FALSE)), "", vlookup(Concatenate("P2.",L10),Order205,9,FALSE))</f>
        <v>A</v>
      </c>
      <c r="M2" s="834" t="str">
        <f> IF(ISERROR(vlookup(Concatenate("P2.",M10),Order205,9,FALSE)), "", vlookup(Concatenate("P2.",M10),Order205,9,FALSE))</f>
        <v>A</v>
      </c>
      <c r="N2" s="834" t="str">
        <f> IF(ISERROR(vlookup(Concatenate("P2.",N10),Order205,9,FALSE)), "", vlookup(Concatenate("P2.",N10),Order205,9,FALSE))</f>
        <v>A</v>
      </c>
      <c r="O2" s="834" t="str">
        <f> IF(ISERROR(vlookup(Concatenate("P2.",O10),Order205,9,FALSE)), "", vlookup(Concatenate("P2.",O10),Order205,9,FALSE))</f>
        <v>A</v>
      </c>
      <c r="P2" s="834" t="str">
        <f> IF(ISERROR(vlookup(Concatenate("P2.",P10),Order205,9,FALSE)), "", vlookup(Concatenate("P2.",P10),Order205,9,FALSE))</f>
        <v>A</v>
      </c>
      <c r="Q2" s="834" t="str">
        <f> IF(ISERROR(vlookup(Concatenate("P2.",Q10),Order205,9,FALSE)), "", vlookup(Concatenate("P2.",Q10),Order205,9,FALSE))</f>
        <v>A</v>
      </c>
      <c r="R2" s="834" t="str">
        <f> IF(ISERROR(vlookup(Concatenate("P2.",R10),Order205,9,FALSE)), "", vlookup(Concatenate("P2.",R10),Order205,9,FALSE))</f>
        <v>A</v>
      </c>
      <c r="S2" s="834" t="str">
        <f> IF(ISERROR(vlookup(Concatenate("P2.",S10),Order205,9,FALSE)), "", vlookup(Concatenate("P2.",S10),Order205,9,FALSE))</f>
        <v>A</v>
      </c>
      <c r="T2" s="834" t="str">
        <f> IF(ISERROR(vlookup(Concatenate("P2.",T10),Order205,9,FALSE)), "", vlookup(Concatenate("P2.",T10),Order205,9,FALSE))</f>
        <v>A</v>
      </c>
      <c r="U2" s="834" t="str">
        <f> IF(ISERROR(vlookup(Concatenate("P2.",U10),Order205,9,FALSE)), "", vlookup(Concatenate("P2.",U10),Order205,9,FALSE))</f>
        <v>A</v>
      </c>
      <c r="V2" s="834" t="str">
        <f> IF(ISERROR(vlookup(Concatenate("P2.",V10),Order205,9,FALSE)), "", vlookup(Concatenate("P2.",V10),Order205,9,FALSE))</f>
        <v>A</v>
      </c>
      <c r="W2" s="834" t="str">
        <f> IF(ISERROR(vlookup(Concatenate("P2.",W10),Order205,9,FALSE)), "", vlookup(Concatenate("P2.",W10),Order205,9,FALSE))</f>
        <v>A</v>
      </c>
      <c r="X2" s="834" t="str">
        <f> IF(ISERROR(vlookup(Concatenate("P2.",X10),Order205,9,FALSE)), "", vlookup(Concatenate("P2.",X10),Order205,9,FALSE))</f>
        <v>A</v>
      </c>
      <c r="Y2" s="834" t="str">
        <f> IF(ISERROR(vlookup(Concatenate("P2.",Y10),Order205,9,FALSE)), "", vlookup(Concatenate("P2.",Y10),Order205,9,FALSE))</f>
        <v>A</v>
      </c>
      <c r="Z2" s="834" t="str">
        <f> IF(ISERROR(vlookup(Concatenate("P2.",Z10),Order205,9,FALSE)), "", vlookup(Concatenate("P2.",Z10),Order205,9,FALSE))</f>
        <v>A</v>
      </c>
      <c r="AA2" s="834" t="str">
        <f> IF(ISERROR(vlookup(Concatenate("P2.",AA10),Order205,9,FALSE)), "", vlookup(Concatenate("P2.",AA10),Order205,9,FALSE))</f>
        <v>A</v>
      </c>
      <c r="AB2" s="807"/>
      <c r="AC2" s="807"/>
      <c r="AD2" s="807"/>
      <c r="AE2" s="808"/>
    </row>
    <row r="3" ht="64.5" customHeight="1">
      <c r="A3" s="801"/>
      <c r="B3" s="809" t="s">
        <v>1137</v>
      </c>
      <c r="C3" s="166"/>
      <c r="D3" s="803" t="s">
        <v>130</v>
      </c>
      <c r="E3" s="804" t="s">
        <v>133</v>
      </c>
      <c r="F3" s="805"/>
      <c r="G3" s="795" t="s">
        <v>489</v>
      </c>
      <c r="H3" s="806" t="str">
        <f> IFERROR(vlookup(Concatenate("P2.",H$10),Order205,8,FALSE), "")</f>
        <v>OST</v>
      </c>
      <c r="I3" s="806">
        <f> IFERROR(vlookup(Concatenate("P2.",I10),Order205,8,FALSE), "")</f>
        <v>0</v>
      </c>
      <c r="J3" s="806">
        <f> IFERROR(vlookup(Concatenate("P2.",J10),Order205,8,FALSE), "")</f>
        <v>0</v>
      </c>
      <c r="K3" s="806">
        <f> IFERROR(vlookup(Concatenate("P2.",K10),Order205,8,FALSE), "")</f>
        <v>0</v>
      </c>
      <c r="L3" s="806">
        <f> IFERROR(vlookup(Concatenate("P2.",L10),Order205,8,FALSE), "")</f>
        <v>0</v>
      </c>
      <c r="M3" s="806">
        <f> IFERROR(vlookup(Concatenate("P2.",M10),Order205,8,FALSE), "")</f>
        <v>0</v>
      </c>
      <c r="N3" s="806">
        <f> IFERROR(vlookup(Concatenate("P2.",N10),Order205,8,FALSE), "")</f>
        <v>0</v>
      </c>
      <c r="O3" s="806">
        <f> IFERROR(vlookup(Concatenate("P2.",O10),Order205,8,FALSE), "")</f>
        <v>0</v>
      </c>
      <c r="P3" s="806">
        <f> IFERROR(vlookup(Concatenate("P2.",P10),Order205,8,FALSE), "")</f>
        <v>0</v>
      </c>
      <c r="Q3" s="806">
        <f> IFERROR(vlookup(Concatenate("P2.",Q10),Order205,8,FALSE), "")</f>
        <v>0</v>
      </c>
      <c r="R3" s="806">
        <f> IFERROR(vlookup(Concatenate("P2.",R10),Order205,8,FALSE), "")</f>
        <v>0</v>
      </c>
      <c r="S3" s="806">
        <f> IFERROR(vlookup(Concatenate("P2.",S10),Order205,8,FALSE), "")</f>
        <v>0</v>
      </c>
      <c r="T3" s="806">
        <f> IFERROR(vlookup(Concatenate("P2.",T10),Order205,8,FALSE), "")</f>
        <v>0</v>
      </c>
      <c r="U3" s="806" t="str">
        <f> IFERROR(vlookup(Concatenate("P2.",U10),Order205,8,FALSE), "")</f>
        <v>(T6)  156.7</v>
      </c>
      <c r="V3" s="806">
        <f> IFERROR(vlookup(Concatenate("P2.",V10),Order205,8,FALSE), "")</f>
        <v>0</v>
      </c>
      <c r="W3" s="806" t="str">
        <f> IFERROR(vlookup(Concatenate("P2.",W10),Order205,8,FALSE), "")</f>
        <v>(T1)  110.9</v>
      </c>
      <c r="X3" s="806">
        <f> IFERROR(vlookup(Concatenate("P2.",X10),Order205,8,FALSE), "")</f>
        <v>0</v>
      </c>
      <c r="Y3" s="806">
        <f> IFERROR(vlookup(Concatenate("P2.",Y10),Order205,8,FALSE), "")</f>
        <v>0</v>
      </c>
      <c r="Z3" s="806">
        <f> IFERROR(vlookup(Concatenate("P2.",Z10),Order205,8,FALSE), "")</f>
        <v>0</v>
      </c>
      <c r="AA3" s="806">
        <f> IFERROR(vlookup(Concatenate("P2.",AA10),Order205,8,FALSE), "")</f>
        <v>0</v>
      </c>
      <c r="AB3" s="807"/>
      <c r="AC3" s="807"/>
      <c r="AD3" s="807"/>
      <c r="AE3" s="810">
        <f>D6</f>
        <v>43892</v>
      </c>
    </row>
    <row r="4" ht="69.0" customHeight="1">
      <c r="A4" s="801"/>
      <c r="B4" s="807"/>
      <c r="C4" s="166"/>
      <c r="D4" s="811">
        <f>OpDate</f>
        <v>43893</v>
      </c>
      <c r="E4" s="812" t="str">
        <f>OpStart</f>
        <v>0700</v>
      </c>
      <c r="F4" s="805"/>
      <c r="G4" s="795" t="s">
        <v>488</v>
      </c>
      <c r="H4" s="806">
        <f> IFERROR(vlookup(Concatenate("P2.",H$10),Order205,7,FALSE), "")</f>
        <v>159.3</v>
      </c>
      <c r="I4" s="806" t="str">
        <f> IFERROR(vlookup(Concatenate("P2.",I$10),Order205,7,FALSE), "")</f>
        <v>168.7500</v>
      </c>
      <c r="J4" s="806" t="str">
        <f> IFERROR(vlookup(Concatenate("P2.",J$10),Order205,7,FALSE), "")</f>
        <v>168.7500</v>
      </c>
      <c r="K4" s="806" t="str">
        <f> IFERROR(vlookup(Concatenate("P2.",K$10),Order205,7,FALSE), "")</f>
        <v>168.7500</v>
      </c>
      <c r="L4" s="806" t="str">
        <f> IFERROR(vlookup(Concatenate("P2.",L$10),Order205,7,FALSE), "")</f>
        <v>168.7500</v>
      </c>
      <c r="M4" s="806" t="str">
        <f> IFERROR(vlookup(Concatenate("P2.",M$10),Order205,7,FALSE), "")</f>
        <v>168.7500</v>
      </c>
      <c r="N4" s="806" t="str">
        <f> IFERROR(vlookup(Concatenate("P2.",N$10),Order205,7,FALSE), "")</f>
        <v>168.7500</v>
      </c>
      <c r="O4" s="806" t="str">
        <f> IFERROR(vlookup(Concatenate("P2.",O$10),Order205,7,FALSE), "")</f>
        <v>168.7500</v>
      </c>
      <c r="P4" s="806" t="str">
        <f> IFERROR(vlookup(Concatenate("P2.",P$10),Order205,7,FALSE), "")</f>
        <v>168.7500</v>
      </c>
      <c r="Q4" s="806" t="str">
        <f> IFERROR(vlookup(Concatenate("P2.",Q$10),Order205,7,FALSE), "")</f>
        <v>168.7500</v>
      </c>
      <c r="R4" s="806" t="str">
        <f> IFERROR(vlookup(Concatenate("P2.",R$10),Order205,7,FALSE), "")</f>
        <v>168.7500</v>
      </c>
      <c r="S4" s="806" t="str">
        <f> IFERROR(vlookup(Concatenate("P2.",S$10),Order205,7,FALSE), "")</f>
        <v>168.7500</v>
      </c>
      <c r="T4" s="806" t="str">
        <f> IFERROR(vlookup(Concatenate("P2.",T$10),Order205,7,FALSE), "")</f>
        <v>168.7500</v>
      </c>
      <c r="U4" s="806">
        <f> IFERROR(vlookup(Concatenate("P2.",U$10),Order205,7,FALSE), "")</f>
        <v>156.075</v>
      </c>
      <c r="V4" s="806" t="str">
        <f> IFERROR(vlookup(Concatenate("P2.",V$10),Order205,7,FALSE), "")</f>
        <v>166.6125</v>
      </c>
      <c r="W4" s="806">
        <f> IFERROR(vlookup(Concatenate("P2.",W$10),Order205,7,FALSE), "")</f>
        <v>168.625</v>
      </c>
      <c r="X4" s="806" t="str">
        <f> IFERROR(vlookup(Concatenate("P2.",X$10),Order205,7,FALSE), "")</f>
        <v>168.7500</v>
      </c>
      <c r="Y4" s="806" t="str">
        <f> IFERROR(vlookup(Concatenate("P2.",Y$10),Order205,7,FALSE), "")</f>
        <v>168.7500</v>
      </c>
      <c r="Z4" s="806" t="str">
        <f> IFERROR(vlookup(Concatenate("P2.",Z$10),Order205,7,FALSE), "")</f>
        <v>168.7500</v>
      </c>
      <c r="AA4" s="806" t="str">
        <f> IFERROR(vlookup(Concatenate("P2.",AA$10),Order205,7,FALSE), "")</f>
        <v>168.7500</v>
      </c>
      <c r="AB4" s="807"/>
      <c r="AC4" s="807"/>
      <c r="AD4" s="813"/>
      <c r="AE4" s="814" t="s">
        <v>389</v>
      </c>
    </row>
    <row r="5" ht="60.0" customHeight="1">
      <c r="A5" s="801"/>
      <c r="B5" s="807"/>
      <c r="C5" s="104"/>
      <c r="D5" s="815" t="s">
        <v>1138</v>
      </c>
      <c r="E5" s="816" t="s">
        <v>1139</v>
      </c>
      <c r="F5" s="805"/>
      <c r="G5" s="795" t="s">
        <v>487</v>
      </c>
      <c r="H5" s="806" t="str">
        <f> IFERROR(vlookup(Concatenate("P2.",H$10),Order205,6,FALSE), "")</f>
        <v>(T8)  103.5</v>
      </c>
      <c r="I5" s="806">
        <f> IFERROR(vlookup(Concatenate("P2.",I$10),Order205,6,FALSE), "")</f>
        <v>0</v>
      </c>
      <c r="J5" s="806">
        <f> IFERROR(vlookup(Concatenate("P2.",J$10),Order205,6,FALSE), "")</f>
        <v>0</v>
      </c>
      <c r="K5" s="806">
        <f> IFERROR(vlookup(Concatenate("P2.",K$10),Order205,6,FALSE), "")</f>
        <v>0</v>
      </c>
      <c r="L5" s="806">
        <f> IFERROR(vlookup(Concatenate("P2.",L$10),Order205,6,FALSE), "")</f>
        <v>0</v>
      </c>
      <c r="M5" s="806">
        <f> IFERROR(vlookup(Concatenate("P2.",M$10),Order205,6,FALSE), "")</f>
        <v>0</v>
      </c>
      <c r="N5" s="806">
        <f> IFERROR(vlookup(Concatenate("P2.",N$10),Order205,6,FALSE), "")</f>
        <v>0</v>
      </c>
      <c r="O5" s="806">
        <f> IFERROR(vlookup(Concatenate("P2.",O$10),Order205,6,FALSE), "")</f>
        <v>0</v>
      </c>
      <c r="P5" s="806">
        <f> IFERROR(vlookup(Concatenate("P2.",P$10),Order205,6,FALSE), "")</f>
        <v>0</v>
      </c>
      <c r="Q5" s="806">
        <f> IFERROR(vlookup(Concatenate("P2.",Q$10),Order205,6,FALSE), "")</f>
        <v>0</v>
      </c>
      <c r="R5" s="806">
        <f> IFERROR(vlookup(Concatenate("P2.",R$10),Order205,6,FALSE), "")</f>
        <v>0</v>
      </c>
      <c r="S5" s="806">
        <f> IFERROR(vlookup(Concatenate("P2.",S$10),Order205,6,FALSE), "")</f>
        <v>0</v>
      </c>
      <c r="T5" s="806">
        <f> IFERROR(vlookup(Concatenate("P2.",T$10),Order205,6,FALSE), "")</f>
        <v>0</v>
      </c>
      <c r="U5" s="806" t="str">
        <f> IFERROR(vlookup(Concatenate("P2.",U$10),Order205,6,FALSE), "")</f>
        <v>(T6)  156.7</v>
      </c>
      <c r="V5" s="806" t="str">
        <f> IFERROR(vlookup(Concatenate("P2.",V$10),Order205,6,FALSE), "")</f>
        <v/>
      </c>
      <c r="W5" s="806">
        <f> IFERROR(vlookup(Concatenate("P2.",W$10),Order205,6,FALSE), "")</f>
        <v>0</v>
      </c>
      <c r="X5" s="806">
        <f> IFERROR(vlookup(Concatenate("P2.",X$10),Order205,6,FALSE), "")</f>
        <v>0</v>
      </c>
      <c r="Y5" s="806">
        <f> IFERROR(vlookup(Concatenate("P2.",Y$10),Order205,6,FALSE), "")</f>
        <v>0</v>
      </c>
      <c r="Z5" s="806">
        <f> IFERROR(vlookup(Concatenate("P2.",Z$10),Order205,6,FALSE), "")</f>
        <v>0</v>
      </c>
      <c r="AA5" s="806">
        <f> IFERROR(vlookup(Concatenate("P2.",AA$10),Order205,6,FALSE), "")</f>
        <v>0</v>
      </c>
      <c r="AB5" s="807"/>
      <c r="AC5" s="807"/>
      <c r="AD5" s="798" t="str">
        <f>Concatenate("6. Prepared by (Communications Unit Leader): Name: ", '205 Worksheet'!E150) </f>
        <v>6. Prepared by (Communications Unit Leader): Name: </v>
      </c>
      <c r="AE5" s="817" t="s">
        <v>332</v>
      </c>
    </row>
    <row r="6" ht="70.5" customHeight="1">
      <c r="A6" s="801"/>
      <c r="B6" s="807"/>
      <c r="C6" s="818" t="s">
        <v>471</v>
      </c>
      <c r="D6" s="819">
        <f>D4-1</f>
        <v>43892</v>
      </c>
      <c r="E6" s="820">
        <f>'205 Worksheet'!E4</f>
        <v>1930</v>
      </c>
      <c r="F6" s="805"/>
      <c r="G6" s="795" t="s">
        <v>486</v>
      </c>
      <c r="H6" s="806">
        <f> IFERROR(vlookup(Concatenate("P2.",H$10),Order205,5,FALSE), "")</f>
        <v>151.355</v>
      </c>
      <c r="I6" s="806" t="str">
        <f> IFERROR(vlookup(Concatenate("P2.",I$10),Order205,5,FALSE), "")</f>
        <v>170.5000</v>
      </c>
      <c r="J6" s="806" t="str">
        <f> IFERROR(vlookup(Concatenate("P2.",J$10),Order205,5,FALSE), "")</f>
        <v>170.5000</v>
      </c>
      <c r="K6" s="806" t="str">
        <f> IFERROR(vlookup(Concatenate("P2.",K$10),Order205,5,FALSE), "")</f>
        <v>170.5000</v>
      </c>
      <c r="L6" s="806" t="str">
        <f> IFERROR(vlookup(Concatenate("P2.",L$10),Order205,5,FALSE), "")</f>
        <v>170.5000</v>
      </c>
      <c r="M6" s="806" t="str">
        <f> IFERROR(vlookup(Concatenate("P2.",M$10),Order205,5,FALSE), "")</f>
        <v>170.5000</v>
      </c>
      <c r="N6" s="806" t="str">
        <f> IFERROR(vlookup(Concatenate("P2.",N$10),Order205,5,FALSE), "")</f>
        <v>170.5000</v>
      </c>
      <c r="O6" s="806" t="str">
        <f> IFERROR(vlookup(Concatenate("P2.",O$10),Order205,5,FALSE), "")</f>
        <v>170.5000</v>
      </c>
      <c r="P6" s="806" t="str">
        <f> IFERROR(vlookup(Concatenate("P2.",P$10),Order205,5,FALSE), "")</f>
        <v>170.5000</v>
      </c>
      <c r="Q6" s="806" t="str">
        <f> IFERROR(vlookup(Concatenate("P2.",Q$10),Order205,5,FALSE), "")</f>
        <v>170.5000</v>
      </c>
      <c r="R6" s="806" t="str">
        <f> IFERROR(vlookup(Concatenate("P2.",R$10),Order205,5,FALSE), "")</f>
        <v>170.5000</v>
      </c>
      <c r="S6" s="806" t="str">
        <f> IFERROR(vlookup(Concatenate("P2.",S$10),Order205,5,FALSE), "")</f>
        <v>170.5000</v>
      </c>
      <c r="T6" s="806" t="str">
        <f> IFERROR(vlookup(Concatenate("P2.",T$10),Order205,5,FALSE), "")</f>
        <v>170.5000</v>
      </c>
      <c r="U6" s="806">
        <f> IFERROR(vlookup(Concatenate("P2.",U$10),Order205,5,FALSE), "")</f>
        <v>156.075</v>
      </c>
      <c r="V6" s="806" t="str">
        <f> IFERROR(vlookup(Concatenate("P2.",V$10),Order205,5,FALSE), "")</f>
        <v>166.6125</v>
      </c>
      <c r="W6" s="806">
        <f> IFERROR(vlookup(Concatenate("P2.",W$10),Order205,5,FALSE), "")</f>
        <v>168.625</v>
      </c>
      <c r="X6" s="806" t="str">
        <f> IFERROR(vlookup(Concatenate("P2.",X$10),Order205,5,FALSE), "")</f>
        <v>170.5000</v>
      </c>
      <c r="Y6" s="806" t="str">
        <f> IFERROR(vlookup(Concatenate("P2.",Y$10),Order205,5,FALSE), "")</f>
        <v>170.5000</v>
      </c>
      <c r="Z6" s="806" t="str">
        <f> IFERROR(vlookup(Concatenate("P2.",Z$10),Order205,5,FALSE), "")</f>
        <v>170.5000</v>
      </c>
      <c r="AA6" s="806" t="str">
        <f> IFERROR(vlookup(Concatenate("P2.",AA$10),Order205,5,FALSE), "")</f>
        <v>170.5000</v>
      </c>
      <c r="AB6" s="807"/>
      <c r="AC6" s="807"/>
      <c r="AD6" s="807"/>
      <c r="AE6" s="821" t="s">
        <v>1135</v>
      </c>
    </row>
    <row r="7" ht="76.5" customHeight="1">
      <c r="A7" s="801"/>
      <c r="B7" s="807"/>
      <c r="D7" s="822" t="s">
        <v>1140</v>
      </c>
      <c r="E7" s="823" t="s">
        <v>1141</v>
      </c>
      <c r="F7" s="824"/>
      <c r="G7" s="795" t="s">
        <v>1133</v>
      </c>
      <c r="H7" s="806" t="str">
        <f> IFERROR(vlookup(Concatenate("P2.",H$10),Order205,3,FALSE), "")</f>
        <v>FIRE NET</v>
      </c>
      <c r="I7" s="806" t="str">
        <f> IFERROR(vlookup(Concatenate("P2.",I$10),Order205,3,FALSE), "")</f>
        <v>FIRE NET</v>
      </c>
      <c r="J7" s="806" t="str">
        <f> IFERROR(vlookup(Concatenate("P2.",J$10),Order205,3,FALSE), "")</f>
        <v>FIRE NET</v>
      </c>
      <c r="K7" s="806" t="str">
        <f> IFERROR(vlookup(Concatenate("P2.",K$10),Order205,3,FALSE), "")</f>
        <v>FIRE NET</v>
      </c>
      <c r="L7" s="806" t="str">
        <f> IFERROR(vlookup(Concatenate("P2.",L$10),Order205,3,FALSE), "")</f>
        <v>FIRE NET</v>
      </c>
      <c r="M7" s="806" t="str">
        <f> IFERROR(vlookup(Concatenate("P2.",M$10),Order205,3,FALSE), "")</f>
        <v>FIRE NET</v>
      </c>
      <c r="N7" s="806" t="str">
        <f> IFERROR(vlookup(Concatenate("P2.",N$10),Order205,3,FALSE), "")</f>
        <v>FIRE NET</v>
      </c>
      <c r="O7" s="806" t="str">
        <f> IFERROR(vlookup(Concatenate("P2.",O$10),Order205,3,FALSE), "")</f>
        <v>FIRE NET</v>
      </c>
      <c r="P7" s="806" t="str">
        <f> IFERROR(vlookup(Concatenate("P2.",P$10),Order205,3,FALSE), "")</f>
        <v>FIRE NET</v>
      </c>
      <c r="Q7" s="806" t="str">
        <f> IFERROR(vlookup(Concatenate("P2.",Q$10),Order205,3,FALSE), "")</f>
        <v>FIRE NET</v>
      </c>
      <c r="R7" s="806" t="str">
        <f> IFERROR(vlookup(Concatenate("P2.",R$10),Order205,3,FALSE), "")</f>
        <v>FIRE NET</v>
      </c>
      <c r="S7" s="806" t="str">
        <f> IFERROR(vlookup(Concatenate("P2.",S$10),Order205,3,FALSE), "")</f>
        <v>FIRE NET</v>
      </c>
      <c r="T7" s="806" t="str">
        <f> IFERROR(vlookup(Concatenate("P2.",T$10),Order205,3,FALSE), "")</f>
        <v>FIRE NET</v>
      </c>
      <c r="U7" s="806" t="str">
        <f> IFERROR(vlookup(Concatenate("P2.",U$10),Order205,3,FALSE), "")</f>
        <v>INCIDENT</v>
      </c>
      <c r="V7" s="806" t="str">
        <f> IFERROR(vlookup(Concatenate("P2.",V$10),Order205,3,FALSE), "")</f>
        <v>ALL DIVS</v>
      </c>
      <c r="W7" s="806" t="str">
        <f> IFERROR(vlookup(Concatenate("P2.",W$10),Order205,3,FALSE), "")</f>
        <v>EMERGENCY</v>
      </c>
      <c r="X7" s="806" t="str">
        <f> IFERROR(vlookup(Concatenate("P2.",X$10),Order205,3,FALSE), "")</f>
        <v>FIRE NET</v>
      </c>
      <c r="Y7" s="806" t="str">
        <f> IFERROR(vlookup(Concatenate("P2.",Y$10),Order205,3,FALSE), "")</f>
        <v>FIRE NET</v>
      </c>
      <c r="Z7" s="806" t="str">
        <f> IFERROR(vlookup(Concatenate("P2.",Z$10),Order205,3,FALSE), "")</f>
        <v>FIRE NET</v>
      </c>
      <c r="AA7" s="806" t="str">
        <f> IFERROR(vlookup(Concatenate("P2.",AA$10),Order205,3,FALSE), "")</f>
        <v>FIRE NET</v>
      </c>
      <c r="AB7" s="807"/>
      <c r="AC7" s="807"/>
      <c r="AD7" s="807"/>
      <c r="AE7" s="807"/>
    </row>
    <row r="8" ht="84.75" customHeight="1">
      <c r="A8" s="801"/>
      <c r="B8" s="807"/>
      <c r="C8" s="825" t="s">
        <v>282</v>
      </c>
      <c r="D8" s="826" t="str">
        <f>IncName</f>
        <v>NO NAME</v>
      </c>
      <c r="E8" s="827" t="str">
        <f>'205 Worksheet'!B36</f>
        <v>Page 2</v>
      </c>
      <c r="F8" s="835" t="s">
        <v>478</v>
      </c>
      <c r="G8" s="829" t="s">
        <v>352</v>
      </c>
      <c r="H8" s="836" t="str">
        <f> IF(ISERROR(vlookup(Concatenate("P2.",H10),Order205,2,FALSE)), "", vlookup(Concatenate("P2.",H10),Order205,2,FALSE))</f>
        <v>CDF C1</v>
      </c>
      <c r="I8" s="836" t="str">
        <f> IF(ISERROR(vlookup(Concatenate("P2.",I10),Order205,2,FALSE)), "", vlookup(Concatenate("P2.",I10),Order205,2,FALSE))</f>
        <v>STF OPS T2</v>
      </c>
      <c r="J8" s="836" t="str">
        <f> IF(ISERROR(vlookup(Concatenate("P2.",J10),Order205,2,FALSE)), "", vlookup(Concatenate("P2.",J10),Order205,2,FALSE))</f>
        <v>STF OPS T2</v>
      </c>
      <c r="K8" s="836" t="str">
        <f> IF(ISERROR(vlookup(Concatenate("P2.",K10),Order205,2,FALSE)), "", vlookup(Concatenate("P2.",K10),Order205,2,FALSE))</f>
        <v>STF OPS T2</v>
      </c>
      <c r="L8" s="836" t="str">
        <f> IF(ISERROR(vlookup(Concatenate("P2.",L10),Order205,2,FALSE)), "", vlookup(Concatenate("P2.",L10),Order205,2,FALSE))</f>
        <v>STF OPS T2</v>
      </c>
      <c r="M8" s="836" t="str">
        <f> IF(ISERROR(vlookup(Concatenate("P2.",M10),Order205,2,FALSE)), "", vlookup(Concatenate("P2.",M10),Order205,2,FALSE))</f>
        <v>STF OPS T2</v>
      </c>
      <c r="N8" s="836" t="str">
        <f> IF(ISERROR(vlookup(Concatenate("P2.",N10),Order205,2,FALSE)), "", vlookup(Concatenate("P2.",N10),Order205,2,FALSE))</f>
        <v>STF OPS T2</v>
      </c>
      <c r="O8" s="836" t="str">
        <f> IF(ISERROR(vlookup(Concatenate("P2.",O10),Order205,2,FALSE)), "", vlookup(Concatenate("P2.",O10),Order205,2,FALSE))</f>
        <v>STF OPS T2</v>
      </c>
      <c r="P8" s="836" t="str">
        <f> IF(ISERROR(vlookup(Concatenate("P2.",P10),Order205,2,FALSE)), "", vlookup(Concatenate("P2.",P10),Order205,2,FALSE))</f>
        <v>STF OPS T2</v>
      </c>
      <c r="Q8" s="836" t="str">
        <f> IF(ISERROR(vlookup(Concatenate("P2.",Q10),Order205,2,FALSE)), "", vlookup(Concatenate("P2.",Q10),Order205,2,FALSE))</f>
        <v>STF OPS T2</v>
      </c>
      <c r="R8" s="836" t="str">
        <f> IF(ISERROR(vlookup(Concatenate("P2.",R10),Order205,2,FALSE)), "", vlookup(Concatenate("P2.",R10),Order205,2,FALSE))</f>
        <v>STF OPS T2</v>
      </c>
      <c r="S8" s="836" t="str">
        <f> IF(ISERROR(vlookup(Concatenate("P2.",S10),Order205,2,FALSE)), "", vlookup(Concatenate("P2.",S10),Order205,2,FALSE))</f>
        <v>STF OPS T2</v>
      </c>
      <c r="T8" s="836" t="str">
        <f> IF(ISERROR(vlookup(Concatenate("P2.",T10),Order205,2,FALSE)), "", vlookup(Concatenate("P2.",T10),Order205,2,FALSE))</f>
        <v>STF OPS T2</v>
      </c>
      <c r="U8" s="836" t="str">
        <f> IF(ISERROR(vlookup(Concatenate("P2.",U10),Order205,2,FALSE)), "", vlookup(Concatenate("P2.",U10),Order205,2,FALSE))</f>
        <v>CALCORD</v>
      </c>
      <c r="V8" s="836" t="str">
        <f> IF(ISERROR(vlookup(Concatenate("P2.",V10),Order205,2,FALSE)), "", vlookup(Concatenate("P2.",V10),Order205,2,FALSE))</f>
        <v>A/G CMD</v>
      </c>
      <c r="W8" s="836" t="str">
        <f> IF(ISERROR(vlookup(Concatenate("P2.",W10),Order205,2,FALSE)), "", vlookup(Concatenate("P2.",W10),Order205,2,FALSE))</f>
        <v>GUARD</v>
      </c>
      <c r="X8" s="836" t="str">
        <f> IF(ISERROR(vlookup(Concatenate("P2.",X10),Order205,2,FALSE)), "", vlookup(Concatenate("P2.",X10),Order205,2,FALSE))</f>
        <v>STF OPS T2</v>
      </c>
      <c r="Y8" s="836" t="str">
        <f> IF(ISERROR(vlookup(Concatenate("P2.",Y10),Order205,2,FALSE)), "", vlookup(Concatenate("P2.",Y10),Order205,2,FALSE))</f>
        <v>STF OPS T2</v>
      </c>
      <c r="Z8" s="836" t="str">
        <f> IF(ISERROR(vlookup(Concatenate("P2.",Z10),Order205,2,FALSE)), "", vlookup(Concatenate("P2.",Z10),Order205,2,FALSE))</f>
        <v>STF OPS T2</v>
      </c>
      <c r="AA8" s="836" t="str">
        <f> IF(ISERROR(vlookup(Concatenate("P2.",AA10),Order205,2,FALSE)), "", vlookup(Concatenate("P2.",AA10),Order205,2,FALSE))</f>
        <v>STF OPS T2</v>
      </c>
      <c r="AB8" s="807"/>
      <c r="AC8" s="807"/>
      <c r="AD8" s="807"/>
      <c r="AE8" s="807"/>
    </row>
    <row r="9" ht="101.25" customHeight="1">
      <c r="A9" s="801"/>
      <c r="B9" s="807"/>
      <c r="C9" s="166"/>
      <c r="E9" s="94"/>
      <c r="F9" s="807"/>
      <c r="G9" s="830" t="s">
        <v>485</v>
      </c>
      <c r="H9" s="837" t="str">
        <f> IF(ISERROR(vlookup(Concatenate("P2.",H10),Order205,4,FALSE)), "", vlookup(Concatenate("P2.",H10),Order205,4,FALSE))</f>
        <v>COMMAND</v>
      </c>
      <c r="I9" s="837" t="str">
        <f> IF(ISERROR(vlookup(Concatenate("P2.",I10),Order205,4,FALSE)), "", vlookup(Concatenate("P2.",I10),Order205,4,FALSE))</f>
        <v>COMMAND</v>
      </c>
      <c r="J9" s="837" t="str">
        <f> IF(ISERROR(vlookup(Concatenate("P2.",J10),Order205,4,FALSE)), "", vlookup(Concatenate("P2.",J10),Order205,4,FALSE))</f>
        <v>COMMAND</v>
      </c>
      <c r="K9" s="837" t="str">
        <f> IF(ISERROR(vlookup(Concatenate("P2.",K10),Order205,4,FALSE)), "", vlookup(Concatenate("P2.",K10),Order205,4,FALSE))</f>
        <v>COMMAND</v>
      </c>
      <c r="L9" s="837" t="str">
        <f> IF(ISERROR(vlookup(Concatenate("P2.",L10),Order205,4,FALSE)), "", vlookup(Concatenate("P2.",L10),Order205,4,FALSE))</f>
        <v>COMMAND</v>
      </c>
      <c r="M9" s="837" t="str">
        <f> IF(ISERROR(vlookup(Concatenate("P2.",M10),Order205,4,FALSE)), "", vlookup(Concatenate("P2.",M10),Order205,4,FALSE))</f>
        <v>COMMAND</v>
      </c>
      <c r="N9" s="837" t="str">
        <f> IF(ISERROR(vlookup(Concatenate("P2.",N10),Order205,4,FALSE)), "", vlookup(Concatenate("P2.",N10),Order205,4,FALSE))</f>
        <v>COMMAND</v>
      </c>
      <c r="O9" s="837" t="str">
        <f> IF(ISERROR(vlookup(Concatenate("P2.",O10),Order205,4,FALSE)), "", vlookup(Concatenate("P2.",O10),Order205,4,FALSE))</f>
        <v>COMMAND</v>
      </c>
      <c r="P9" s="837" t="str">
        <f> IF(ISERROR(vlookup(Concatenate("P2.",P10),Order205,4,FALSE)), "", vlookup(Concatenate("P2.",P10),Order205,4,FALSE))</f>
        <v>COMMAND</v>
      </c>
      <c r="Q9" s="837" t="str">
        <f> IF(ISERROR(vlookup(Concatenate("P2.",Q10),Order205,4,FALSE)), "", vlookup(Concatenate("P2.",Q10),Order205,4,FALSE))</f>
        <v>COMMAND</v>
      </c>
      <c r="R9" s="837" t="str">
        <f> IF(ISERROR(vlookup(Concatenate("P2.",R10),Order205,4,FALSE)), "", vlookup(Concatenate("P2.",R10),Order205,4,FALSE))</f>
        <v>COMMAND</v>
      </c>
      <c r="S9" s="837" t="str">
        <f> IF(ISERROR(vlookup(Concatenate("P2.",S10),Order205,4,FALSE)), "", vlookup(Concatenate("P2.",S10),Order205,4,FALSE))</f>
        <v>COMMAND</v>
      </c>
      <c r="T9" s="837" t="str">
        <f> IF(ISERROR(vlookup(Concatenate("P2.",T10),Order205,4,FALSE)), "", vlookup(Concatenate("P2.",T10),Order205,4,FALSE))</f>
        <v>COMMAND</v>
      </c>
      <c r="U9" s="837" t="str">
        <f> IF(ISERROR(vlookup(Concatenate("P2.",U10),Order205,4,FALSE)), "", vlookup(Concatenate("P2.",U10),Order205,4,FALSE))</f>
        <v>TACTICAL</v>
      </c>
      <c r="V9" s="837" t="str">
        <f> IF(ISERROR(vlookup(Concatenate("P2.",V10),Order205,4,FALSE)), "", vlookup(Concatenate("P2.",V10),Order205,4,FALSE))</f>
        <v>A/G CMD</v>
      </c>
      <c r="W9" s="837" t="str">
        <f> IF(ISERROR(vlookup(Concatenate("P2.",W10),Order205,4,FALSE)), "", vlookup(Concatenate("P2.",W10),Order205,4,FALSE))</f>
        <v>AIRGUARD</v>
      </c>
      <c r="X9" s="837" t="str">
        <f> IF(ISERROR(vlookup(Concatenate("P2.",X10),Order205,4,FALSE)), "", vlookup(Concatenate("P2.",X10),Order205,4,FALSE))</f>
        <v>COMMAND</v>
      </c>
      <c r="Y9" s="837" t="str">
        <f> IF(ISERROR(vlookup(Concatenate("P2.",Y10),Order205,4,FALSE)), "", vlookup(Concatenate("P2.",Y10),Order205,4,FALSE))</f>
        <v>COMMAND</v>
      </c>
      <c r="Z9" s="837" t="str">
        <f> IF(ISERROR(vlookup(Concatenate("P2.",Z10),Order205,4,FALSE)), "", vlookup(Concatenate("P2.",Z10),Order205,4,FALSE))</f>
        <v>COMMAND</v>
      </c>
      <c r="AA9" s="837" t="str">
        <f> IF(ISERROR(vlookup(Concatenate("P2.",AA10),Order205,4,FALSE)), "", vlookup(Concatenate("P2.",AA10),Order205,4,FALSE))</f>
        <v>COMMAND</v>
      </c>
      <c r="AB9" s="807"/>
      <c r="AC9" s="807"/>
      <c r="AD9" s="807"/>
      <c r="AE9" s="807"/>
    </row>
    <row r="10" ht="30.0" customHeight="1">
      <c r="A10" s="801"/>
      <c r="B10" s="813"/>
      <c r="C10" s="104"/>
      <c r="D10" s="77"/>
      <c r="E10" s="55"/>
      <c r="F10" s="813"/>
      <c r="G10" s="838" t="s">
        <v>1132</v>
      </c>
      <c r="H10" s="831">
        <v>1.0</v>
      </c>
      <c r="I10" s="831">
        <v>2.0</v>
      </c>
      <c r="J10" s="831">
        <v>3.0</v>
      </c>
      <c r="K10" s="831">
        <v>4.0</v>
      </c>
      <c r="L10" s="831">
        <v>5.0</v>
      </c>
      <c r="M10" s="831">
        <v>6.0</v>
      </c>
      <c r="N10" s="831">
        <v>7.0</v>
      </c>
      <c r="O10" s="831">
        <v>8.0</v>
      </c>
      <c r="P10" s="831">
        <v>9.0</v>
      </c>
      <c r="Q10" s="831">
        <v>10.0</v>
      </c>
      <c r="R10" s="831">
        <v>11.0</v>
      </c>
      <c r="S10" s="831">
        <v>12.0</v>
      </c>
      <c r="T10" s="831">
        <v>13.0</v>
      </c>
      <c r="U10" s="831">
        <v>14.0</v>
      </c>
      <c r="V10" s="831">
        <v>15.0</v>
      </c>
      <c r="W10" s="831">
        <v>16.0</v>
      </c>
      <c r="X10" s="831">
        <v>17.0</v>
      </c>
      <c r="Y10" s="831">
        <v>18.0</v>
      </c>
      <c r="Z10" s="831">
        <v>19.0</v>
      </c>
      <c r="AA10" s="831">
        <v>20.0</v>
      </c>
      <c r="AB10" s="813"/>
      <c r="AC10" s="813"/>
      <c r="AD10" s="813"/>
      <c r="AE10" s="813"/>
    </row>
    <row r="11" ht="9.75" customHeight="1">
      <c r="A11" s="801"/>
      <c r="B11" s="801"/>
      <c r="C11" s="818"/>
      <c r="D11" s="826"/>
      <c r="E11" s="826"/>
      <c r="F11" s="832"/>
      <c r="G11" s="833"/>
      <c r="H11" s="833"/>
      <c r="I11" s="833"/>
      <c r="J11" s="833"/>
      <c r="K11" s="833"/>
      <c r="L11" s="833"/>
      <c r="M11" s="833"/>
      <c r="N11" s="833"/>
      <c r="O11" s="833"/>
      <c r="P11" s="833"/>
      <c r="Q11" s="833"/>
      <c r="R11" s="833"/>
      <c r="S11" s="833"/>
      <c r="T11" s="833"/>
      <c r="U11" s="833"/>
      <c r="V11" s="833"/>
      <c r="W11" s="833"/>
      <c r="X11" s="833"/>
      <c r="Y11" s="833"/>
      <c r="Z11" s="833"/>
      <c r="AA11" s="833"/>
    </row>
  </sheetData>
  <mergeCells count="12">
    <mergeCell ref="C6:C7"/>
    <mergeCell ref="C8:C10"/>
    <mergeCell ref="D8:D10"/>
    <mergeCell ref="E8:E10"/>
    <mergeCell ref="C1:C5"/>
    <mergeCell ref="AB1:AB10"/>
    <mergeCell ref="AC1:AC10"/>
    <mergeCell ref="AD1:AD4"/>
    <mergeCell ref="B3:B10"/>
    <mergeCell ref="AD5:AD10"/>
    <mergeCell ref="AE6:AE10"/>
    <mergeCell ref="F8:F10"/>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1" width="1.25"/>
    <col customWidth="1" min="2" max="2" width="5.75"/>
    <col customWidth="1" min="3" max="31" width="3.75"/>
  </cols>
  <sheetData>
    <row r="1" ht="247.5" customHeight="1">
      <c r="A1" s="789"/>
      <c r="B1" s="790" t="s">
        <v>414</v>
      </c>
      <c r="C1" s="791" t="s">
        <v>472</v>
      </c>
      <c r="D1" s="792">
        <f>OpDateTo</f>
        <v>43894</v>
      </c>
      <c r="E1" s="793" t="str">
        <f>OpEnd</f>
        <v>0700</v>
      </c>
      <c r="F1" s="794"/>
      <c r="G1" s="795" t="s">
        <v>434</v>
      </c>
      <c r="H1" s="796" t="str">
        <f> IF(ISERROR(vlookup(Concatenate("p3.",H10),Order205,10,FALSE)), "", vlookup(Concatenate("p3.",H10),Order205,10,FALSE))</f>
        <v/>
      </c>
      <c r="I1" s="796" t="str">
        <f> IF(ISERROR(vlookup(Concatenate("p3.",I10),Order205,10,FALSE)), "", vlookup(Concatenate("p3.",I10),Order205,10,FALSE))</f>
        <v/>
      </c>
      <c r="J1" s="796" t="str">
        <f> IF(ISERROR(vlookup(Concatenate("p3.",J10),Order205,10,FALSE)), "", vlookup(Concatenate("p3.",J10),Order205,10,FALSE))</f>
        <v/>
      </c>
      <c r="K1" s="796" t="str">
        <f> IF(ISERROR(vlookup(Concatenate("p3.",K10),Order205,10,FALSE)), "", vlookup(Concatenate("p3.",K10),Order205,10,FALSE))</f>
        <v/>
      </c>
      <c r="L1" s="796" t="str">
        <f> IF(ISERROR(vlookup(Concatenate("p3.",L10),Order205,10,FALSE)), "", vlookup(Concatenate("p3.",L10),Order205,10,FALSE))</f>
        <v/>
      </c>
      <c r="M1" s="796" t="str">
        <f> IF(ISERROR(vlookup(Concatenate("p3.",M10),Order205,10,FALSE)), "", vlookup(Concatenate("p3.",M10),Order205,10,FALSE))</f>
        <v/>
      </c>
      <c r="N1" s="796" t="str">
        <f> IF(ISERROR(vlookup(Concatenate("p3.",N10),Order205,10,FALSE)), "", vlookup(Concatenate("p3.",N10),Order205,10,FALSE))</f>
        <v/>
      </c>
      <c r="O1" s="796" t="str">
        <f> IF(ISERROR(vlookup(Concatenate("p3.",O10),Order205,10,FALSE)), "", vlookup(Concatenate("p3.",O10),Order205,10,FALSE))</f>
        <v/>
      </c>
      <c r="P1" s="796" t="str">
        <f> IF(ISERROR(vlookup(Concatenate("p3.",P10),Order205,10,FALSE)), "", vlookup(Concatenate("p3.",P10),Order205,10,FALSE))</f>
        <v/>
      </c>
      <c r="Q1" s="796" t="str">
        <f> IF(ISERROR(vlookup(Concatenate("p3.",Q10),Order205,10,FALSE)), "", vlookup(Concatenate("p3.",Q10),Order205,10,FALSE))</f>
        <v/>
      </c>
      <c r="R1" s="796" t="str">
        <f> IF(ISERROR(vlookup(Concatenate("p3.",R10),Order205,10,FALSE)), "", vlookup(Concatenate("p3.",R10),Order205,10,FALSE))</f>
        <v/>
      </c>
      <c r="S1" s="796" t="str">
        <f> IF(ISERROR(vlookup(Concatenate("p3.",S10),Order205,10,FALSE)), "", vlookup(Concatenate("p3.",S10),Order205,10,FALSE))</f>
        <v/>
      </c>
      <c r="T1" s="796" t="str">
        <f> IF(ISERROR(vlookup(Concatenate("p3.",T10),Order205,10,FALSE)), "", vlookup(Concatenate("p3.",T10),Order205,10,FALSE))</f>
        <v/>
      </c>
      <c r="U1" s="796" t="str">
        <f> IF(ISERROR(vlookup(Concatenate("p3.",U10),Order205,10,FALSE)), "", vlookup(Concatenate("p3.",U10),Order205,10,FALSE))</f>
        <v/>
      </c>
      <c r="V1" s="796" t="str">
        <f> IF(ISERROR(vlookup(Concatenate("p3.",V10),Order205,10,FALSE)), "", vlookup(Concatenate("p3.",V10),Order205,10,FALSE))</f>
        <v/>
      </c>
      <c r="W1" s="796" t="str">
        <f> IF(ISERROR(vlookup(Concatenate("p3.",W10),Order205,10,FALSE)), "", vlookup(Concatenate("p3.",W10),Order205,10,FALSE))</f>
        <v/>
      </c>
      <c r="X1" s="796" t="str">
        <f> IF(ISERROR(vlookup(Concatenate("p3.",X10),Order205,10,FALSE)), "", vlookup(Concatenate("p3.",X10),Order205,10,FALSE))</f>
        <v/>
      </c>
      <c r="Y1" s="796" t="str">
        <f> IF(ISERROR(vlookup(Concatenate("p3.",Y10),Order205,10,FALSE)), "", vlookup(Concatenate("p3.",Y10),Order205,10,FALSE))</f>
        <v/>
      </c>
      <c r="Z1" s="796" t="str">
        <f> IF(ISERROR(vlookup(Concatenate("p3.",Z10),Order205,10,FALSE)), "", vlookup(Concatenate("p3.",Z10),Order205,10,FALSE))</f>
        <v/>
      </c>
      <c r="AA1" s="796" t="str">
        <f> IF(ISERROR(vlookup(Concatenate("p3.",AA10),Order205,10,FALSE)), "", vlookup(Concatenate("p3.",AA10),Order205,10,FALSE))</f>
        <v/>
      </c>
      <c r="AB1" s="797" t="s">
        <v>558</v>
      </c>
      <c r="AC1" s="798" t="str">
        <f>'205 Worksheet'!A148</f>
        <v>This is a test</v>
      </c>
      <c r="AD1" s="799" t="s">
        <v>1136</v>
      </c>
      <c r="AE1" s="800">
        <f>E6</f>
        <v>1930</v>
      </c>
    </row>
    <row r="2" ht="64.5" customHeight="1">
      <c r="A2" s="801"/>
      <c r="B2" s="802"/>
      <c r="C2" s="166"/>
      <c r="D2" s="803"/>
      <c r="E2" s="804"/>
      <c r="F2" s="805"/>
      <c r="G2" s="795" t="s">
        <v>433</v>
      </c>
      <c r="H2" s="834" t="str">
        <f> IF(ISERROR(vlookup(Concatenate("p3.",H10),Order205,9,FALSE)), "", vlookup(Concatenate("p3.",H10),Order205,9,FALSE))</f>
        <v>A</v>
      </c>
      <c r="I2" s="806" t="str">
        <f> IF(ISERROR(vlookup(Concatenate("p3.",I10),Order205,9,FALSE)), "", vlookup(Concatenate("p3.",I10),Order205,9,FALSE))</f>
        <v/>
      </c>
      <c r="J2" s="806" t="str">
        <f> IF(ISERROR(vlookup(Concatenate("p3.",J10),Order205,9,FALSE)), "", vlookup(Concatenate("p3.",J10),Order205,9,FALSE))</f>
        <v/>
      </c>
      <c r="K2" s="806" t="str">
        <f> IF(ISERROR(vlookup(Concatenate("p3.",K10),Order205,9,FALSE)), "", vlookup(Concatenate("p3.",K10),Order205,9,FALSE))</f>
        <v/>
      </c>
      <c r="L2" s="806" t="str">
        <f> IF(ISERROR(vlookup(Concatenate("p3.",L10),Order205,9,FALSE)), "", vlookup(Concatenate("p3.",L10),Order205,9,FALSE))</f>
        <v/>
      </c>
      <c r="M2" s="806" t="str">
        <f> IF(ISERROR(vlookup(Concatenate("p3.",M10),Order205,9,FALSE)), "", vlookup(Concatenate("p3.",M10),Order205,9,FALSE))</f>
        <v/>
      </c>
      <c r="N2" s="806" t="str">
        <f> IF(ISERROR(vlookup(Concatenate("p3.",N10),Order205,9,FALSE)), "", vlookup(Concatenate("p3.",N10),Order205,9,FALSE))</f>
        <v/>
      </c>
      <c r="O2" s="806" t="str">
        <f> IF(ISERROR(vlookup(Concatenate("p3.",O10),Order205,9,FALSE)), "", vlookup(Concatenate("p3.",O10),Order205,9,FALSE))</f>
        <v/>
      </c>
      <c r="P2" s="806" t="str">
        <f> IF(ISERROR(vlookup(Concatenate("p3.",P10),Order205,9,FALSE)), "", vlookup(Concatenate("p3.",P10),Order205,9,FALSE))</f>
        <v/>
      </c>
      <c r="Q2" s="806" t="str">
        <f> IF(ISERROR(vlookup(Concatenate("p3.",Q10),Order205,9,FALSE)), "", vlookup(Concatenate("p3.",Q10),Order205,9,FALSE))</f>
        <v/>
      </c>
      <c r="R2" s="806" t="str">
        <f> IF(ISERROR(vlookup(Concatenate("p3.",R10),Order205,9,FALSE)), "", vlookup(Concatenate("p3.",R10),Order205,9,FALSE))</f>
        <v/>
      </c>
      <c r="S2" s="806" t="str">
        <f> IF(ISERROR(vlookup(Concatenate("p3.",S10),Order205,9,FALSE)), "", vlookup(Concatenate("p3.",S10),Order205,9,FALSE))</f>
        <v/>
      </c>
      <c r="T2" s="806" t="str">
        <f> IF(ISERROR(vlookup(Concatenate("p3.",T10),Order205,9,FALSE)), "", vlookup(Concatenate("p3.",T10),Order205,9,FALSE))</f>
        <v/>
      </c>
      <c r="U2" s="834" t="str">
        <f> IF(ISERROR(vlookup(Concatenate("p3.",U10),Order205,9,FALSE)), "", vlookup(Concatenate("p3.",U10),Order205,9,FALSE))</f>
        <v>A</v>
      </c>
      <c r="V2" s="834" t="str">
        <f> IF(ISERROR(vlookup(Concatenate("p3.",V10),Order205,9,FALSE)), "", vlookup(Concatenate("p3.",V10),Order205,9,FALSE))</f>
        <v>A</v>
      </c>
      <c r="W2" s="834" t="str">
        <f> IF(ISERROR(vlookup(Concatenate("p3.",W10),Order205,9,FALSE)), "", vlookup(Concatenate("p3.",W10),Order205,9,FALSE))</f>
        <v>A</v>
      </c>
      <c r="X2" s="806" t="str">
        <f> IF(ISERROR(vlookup(Concatenate("p3.",X10),Order205,9,FALSE)), "", vlookup(Concatenate("p3.",X10),Order205,9,FALSE))</f>
        <v/>
      </c>
      <c r="Y2" s="806" t="str">
        <f> IF(ISERROR(vlookup(Concatenate("p3.",Y10),Order205,9,FALSE)), "", vlookup(Concatenate("p3.",Y10),Order205,9,FALSE))</f>
        <v/>
      </c>
      <c r="Z2" s="806" t="str">
        <f> IF(ISERROR(vlookup(Concatenate("p3.",Z10),Order205,9,FALSE)), "", vlookup(Concatenate("p3.",Z10),Order205,9,FALSE))</f>
        <v/>
      </c>
      <c r="AA2" s="806" t="str">
        <f> IF(ISERROR(vlookup(Concatenate("p3.",AA10),Order205,9,FALSE)), "", vlookup(Concatenate("p3.",AA10),Order205,9,FALSE))</f>
        <v/>
      </c>
      <c r="AB2" s="807"/>
      <c r="AC2" s="807"/>
      <c r="AD2" s="807"/>
      <c r="AE2" s="808"/>
    </row>
    <row r="3" ht="64.5" customHeight="1">
      <c r="A3" s="801"/>
      <c r="B3" s="809" t="s">
        <v>1137</v>
      </c>
      <c r="C3" s="166"/>
      <c r="D3" s="803" t="s">
        <v>130</v>
      </c>
      <c r="E3" s="804" t="s">
        <v>133</v>
      </c>
      <c r="F3" s="805"/>
      <c r="G3" s="795" t="s">
        <v>489</v>
      </c>
      <c r="H3" s="806" t="str">
        <f> IFERROR(vlookup(Concatenate("p3.",H$10),Order205,8,FALSE), "")</f>
        <v>OST</v>
      </c>
      <c r="I3" s="806" t="str">
        <f> IFERROR(vlookup(Concatenate("p3.",I10),Order205,8,FALSE), "")</f>
        <v/>
      </c>
      <c r="J3" s="806" t="str">
        <f> IFERROR(vlookup(Concatenate("p3.",J10),Order205,8,FALSE), "")</f>
        <v/>
      </c>
      <c r="K3" s="806" t="str">
        <f> IFERROR(vlookup(Concatenate("p3.",K10),Order205,8,FALSE), "")</f>
        <v/>
      </c>
      <c r="L3" s="806" t="str">
        <f> IFERROR(vlookup(Concatenate("p3.",L10),Order205,8,FALSE), "")</f>
        <v/>
      </c>
      <c r="M3" s="806" t="str">
        <f> IFERROR(vlookup(Concatenate("p3.",M10),Order205,8,FALSE), "")</f>
        <v/>
      </c>
      <c r="N3" s="806" t="str">
        <f> IFERROR(vlookup(Concatenate("p3.",N10),Order205,8,FALSE), "")</f>
        <v/>
      </c>
      <c r="O3" s="806" t="str">
        <f> IFERROR(vlookup(Concatenate("p3.",O10),Order205,8,FALSE), "")</f>
        <v/>
      </c>
      <c r="P3" s="806" t="str">
        <f> IFERROR(vlookup(Concatenate("p3.",P10),Order205,8,FALSE), "")</f>
        <v/>
      </c>
      <c r="Q3" s="806" t="str">
        <f> IFERROR(vlookup(Concatenate("p3.",Q10),Order205,8,FALSE), "")</f>
        <v/>
      </c>
      <c r="R3" s="806" t="str">
        <f> IFERROR(vlookup(Concatenate("p3.",R10),Order205,8,FALSE), "")</f>
        <v/>
      </c>
      <c r="S3" s="806" t="str">
        <f> IFERROR(vlookup(Concatenate("p3.",S10),Order205,8,FALSE), "")</f>
        <v/>
      </c>
      <c r="T3" s="806" t="str">
        <f> IFERROR(vlookup(Concatenate("p3.",T10),Order205,8,FALSE), "")</f>
        <v/>
      </c>
      <c r="U3" s="806" t="str">
        <f> IFERROR(vlookup(Concatenate("p3.",U10),Order205,8,FALSE), "")</f>
        <v>(T6)  156.7</v>
      </c>
      <c r="V3" s="806">
        <f> IFERROR(vlookup(Concatenate("p3.",V10),Order205,8,FALSE), "")</f>
        <v>0</v>
      </c>
      <c r="W3" s="806" t="str">
        <f> IFERROR(vlookup(Concatenate("p3.",W10),Order205,8,FALSE), "")</f>
        <v>(T1)  110.9</v>
      </c>
      <c r="X3" s="806" t="str">
        <f> IFERROR(vlookup(Concatenate("p3.",X10),Order205,8,FALSE), "")</f>
        <v/>
      </c>
      <c r="Y3" s="806" t="str">
        <f> IFERROR(vlookup(Concatenate("p3.",Y10),Order205,8,FALSE), "")</f>
        <v/>
      </c>
      <c r="Z3" s="806" t="str">
        <f> IFERROR(vlookup(Concatenate("p3.",Z10),Order205,8,FALSE), "")</f>
        <v/>
      </c>
      <c r="AA3" s="806" t="str">
        <f> IFERROR(vlookup(Concatenate("p3.",AA10),Order205,8,FALSE), "")</f>
        <v/>
      </c>
      <c r="AB3" s="807"/>
      <c r="AC3" s="807"/>
      <c r="AD3" s="807"/>
      <c r="AE3" s="810">
        <f>D6</f>
        <v>43892</v>
      </c>
    </row>
    <row r="4" ht="69.0" customHeight="1">
      <c r="A4" s="801"/>
      <c r="B4" s="807"/>
      <c r="C4" s="166"/>
      <c r="D4" s="811">
        <f>OpDate</f>
        <v>43893</v>
      </c>
      <c r="E4" s="812" t="str">
        <f>OpStart</f>
        <v>0700</v>
      </c>
      <c r="F4" s="805"/>
      <c r="G4" s="795" t="s">
        <v>488</v>
      </c>
      <c r="H4" s="806">
        <f> IFERROR(vlookup(Concatenate("p3.",H$10),Order205,7,FALSE), "")</f>
        <v>159.33</v>
      </c>
      <c r="I4" s="806" t="str">
        <f> IFERROR(vlookup(Concatenate("p3.",I$10),Order205,7,FALSE), "")</f>
        <v/>
      </c>
      <c r="J4" s="806" t="str">
        <f> IFERROR(vlookup(Concatenate("p3.",J$10),Order205,7,FALSE), "")</f>
        <v/>
      </c>
      <c r="K4" s="806" t="str">
        <f> IFERROR(vlookup(Concatenate("p3.",K$10),Order205,7,FALSE), "")</f>
        <v/>
      </c>
      <c r="L4" s="806" t="str">
        <f> IFERROR(vlookup(Concatenate("p3.",L$10),Order205,7,FALSE), "")</f>
        <v/>
      </c>
      <c r="M4" s="806" t="str">
        <f> IFERROR(vlookup(Concatenate("p3.",M$10),Order205,7,FALSE), "")</f>
        <v/>
      </c>
      <c r="N4" s="806" t="str">
        <f> IFERROR(vlookup(Concatenate("p3.",N$10),Order205,7,FALSE), "")</f>
        <v/>
      </c>
      <c r="O4" s="806" t="str">
        <f> IFERROR(vlookup(Concatenate("p3.",O$10),Order205,7,FALSE), "")</f>
        <v/>
      </c>
      <c r="P4" s="806" t="str">
        <f> IFERROR(vlookup(Concatenate("p3.",P$10),Order205,7,FALSE), "")</f>
        <v/>
      </c>
      <c r="Q4" s="806" t="str">
        <f> IFERROR(vlookup(Concatenate("p3.",Q$10),Order205,7,FALSE), "")</f>
        <v/>
      </c>
      <c r="R4" s="806" t="str">
        <f> IFERROR(vlookup(Concatenate("p3.",R$10),Order205,7,FALSE), "")</f>
        <v/>
      </c>
      <c r="S4" s="806" t="str">
        <f> IFERROR(vlookup(Concatenate("p3.",S$10),Order205,7,FALSE), "")</f>
        <v/>
      </c>
      <c r="T4" s="806" t="str">
        <f> IFERROR(vlookup(Concatenate("p3.",T$10),Order205,7,FALSE), "")</f>
        <v/>
      </c>
      <c r="U4" s="806">
        <f> IFERROR(vlookup(Concatenate("p3.",U$10),Order205,7,FALSE), "")</f>
        <v>156.075</v>
      </c>
      <c r="V4" s="806">
        <f> IFERROR(vlookup(Concatenate("p3.",V$10),Order205,7,FALSE), "")</f>
        <v>168.325</v>
      </c>
      <c r="W4" s="806">
        <f> IFERROR(vlookup(Concatenate("p3.",W$10),Order205,7,FALSE), "")</f>
        <v>168.625</v>
      </c>
      <c r="X4" s="806" t="str">
        <f> IFERROR(vlookup(Concatenate("p3.",X$10),Order205,7,FALSE), "")</f>
        <v/>
      </c>
      <c r="Y4" s="806" t="str">
        <f> IFERROR(vlookup(Concatenate("p3.",Y$10),Order205,7,FALSE), "")</f>
        <v/>
      </c>
      <c r="Z4" s="806" t="str">
        <f> IFERROR(vlookup(Concatenate("p3.",Z$10),Order205,7,FALSE), "")</f>
        <v/>
      </c>
      <c r="AA4" s="806" t="str">
        <f> IFERROR(vlookup(Concatenate("p3.",AA$10),Order205,7,FALSE), "")</f>
        <v/>
      </c>
      <c r="AB4" s="807"/>
      <c r="AC4" s="807"/>
      <c r="AD4" s="813"/>
      <c r="AE4" s="814" t="s">
        <v>389</v>
      </c>
    </row>
    <row r="5" ht="60.0" customHeight="1">
      <c r="A5" s="801"/>
      <c r="B5" s="807"/>
      <c r="C5" s="104"/>
      <c r="D5" s="815" t="s">
        <v>1138</v>
      </c>
      <c r="E5" s="816" t="s">
        <v>1139</v>
      </c>
      <c r="F5" s="805"/>
      <c r="G5" s="795" t="s">
        <v>487</v>
      </c>
      <c r="H5" s="806" t="str">
        <f> IFERROR(vlookup(Concatenate("p3.",H$10),Order205,6,FALSE), "")</f>
        <v>(T8)  103.5</v>
      </c>
      <c r="I5" s="806" t="str">
        <f> IFERROR(vlookup(Concatenate("p3.",I$10),Order205,6,FALSE), "")</f>
        <v/>
      </c>
      <c r="J5" s="806" t="str">
        <f> IFERROR(vlookup(Concatenate("p3.",J$10),Order205,6,FALSE), "")</f>
        <v/>
      </c>
      <c r="K5" s="806" t="str">
        <f> IFERROR(vlookup(Concatenate("p3.",K$10),Order205,6,FALSE), "")</f>
        <v/>
      </c>
      <c r="L5" s="806" t="str">
        <f> IFERROR(vlookup(Concatenate("p3.",L$10),Order205,6,FALSE), "")</f>
        <v/>
      </c>
      <c r="M5" s="806" t="str">
        <f> IFERROR(vlookup(Concatenate("p3.",M$10),Order205,6,FALSE), "")</f>
        <v/>
      </c>
      <c r="N5" s="806" t="str">
        <f> IFERROR(vlookup(Concatenate("p3.",N$10),Order205,6,FALSE), "")</f>
        <v/>
      </c>
      <c r="O5" s="806" t="str">
        <f> IFERROR(vlookup(Concatenate("p3.",O$10),Order205,6,FALSE), "")</f>
        <v/>
      </c>
      <c r="P5" s="806" t="str">
        <f> IFERROR(vlookup(Concatenate("p3.",P$10),Order205,6,FALSE), "")</f>
        <v/>
      </c>
      <c r="Q5" s="806" t="str">
        <f> IFERROR(vlookup(Concatenate("p3.",Q$10),Order205,6,FALSE), "")</f>
        <v/>
      </c>
      <c r="R5" s="806" t="str">
        <f> IFERROR(vlookup(Concatenate("p3.",R$10),Order205,6,FALSE), "")</f>
        <v/>
      </c>
      <c r="S5" s="806" t="str">
        <f> IFERROR(vlookup(Concatenate("p3.",S$10),Order205,6,FALSE), "")</f>
        <v/>
      </c>
      <c r="T5" s="806" t="str">
        <f> IFERROR(vlookup(Concatenate("p3.",T$10),Order205,6,FALSE), "")</f>
        <v/>
      </c>
      <c r="U5" s="806" t="str">
        <f> IFERROR(vlookup(Concatenate("p3.",U$10),Order205,6,FALSE), "")</f>
        <v>(T6)  156.7</v>
      </c>
      <c r="V5" s="806" t="str">
        <f> IFERROR(vlookup(Concatenate("p3.",V$10),Order205,6,FALSE), "")</f>
        <v/>
      </c>
      <c r="W5" s="806">
        <f> IFERROR(vlookup(Concatenate("p3.",W$10),Order205,6,FALSE), "")</f>
        <v>0</v>
      </c>
      <c r="X5" s="806" t="str">
        <f> IFERROR(vlookup(Concatenate("p3.",X$10),Order205,6,FALSE), "")</f>
        <v/>
      </c>
      <c r="Y5" s="806" t="str">
        <f> IFERROR(vlookup(Concatenate("p3.",Y$10),Order205,6,FALSE), "")</f>
        <v/>
      </c>
      <c r="Z5" s="806" t="str">
        <f> IFERROR(vlookup(Concatenate("p3.",Z$10),Order205,6,FALSE), "")</f>
        <v/>
      </c>
      <c r="AA5" s="806" t="str">
        <f> IFERROR(vlookup(Concatenate("p3.",AA$10),Order205,6,FALSE), "")</f>
        <v/>
      </c>
      <c r="AB5" s="807"/>
      <c r="AC5" s="807"/>
      <c r="AD5" s="798" t="str">
        <f>Concatenate("6. Prepared by (Communications Unit Leader): Name: ", '205 Worksheet'!E150) </f>
        <v>6. Prepared by (Communications Unit Leader): Name: </v>
      </c>
      <c r="AE5" s="817" t="s">
        <v>332</v>
      </c>
    </row>
    <row r="6" ht="70.5" customHeight="1">
      <c r="A6" s="801"/>
      <c r="B6" s="807"/>
      <c r="C6" s="818" t="s">
        <v>471</v>
      </c>
      <c r="D6" s="819">
        <f>D4-1</f>
        <v>43892</v>
      </c>
      <c r="E6" s="820">
        <f>'205 Worksheet'!E4</f>
        <v>1930</v>
      </c>
      <c r="F6" s="805"/>
      <c r="G6" s="795" t="s">
        <v>486</v>
      </c>
      <c r="H6" s="806">
        <f> IFERROR(vlookup(Concatenate("p3.",H$10),Order205,5,FALSE), "")</f>
        <v>151.265</v>
      </c>
      <c r="I6" s="806" t="str">
        <f> IFERROR(vlookup(Concatenate("p3.",I$10),Order205,5,FALSE), "")</f>
        <v/>
      </c>
      <c r="J6" s="806" t="str">
        <f> IFERROR(vlookup(Concatenate("p3.",J$10),Order205,5,FALSE), "")</f>
        <v/>
      </c>
      <c r="K6" s="806" t="str">
        <f> IFERROR(vlookup(Concatenate("p3.",K$10),Order205,5,FALSE), "")</f>
        <v/>
      </c>
      <c r="L6" s="806" t="str">
        <f> IFERROR(vlookup(Concatenate("p3.",L$10),Order205,5,FALSE), "")</f>
        <v/>
      </c>
      <c r="M6" s="806" t="str">
        <f> IFERROR(vlookup(Concatenate("p3.",M$10),Order205,5,FALSE), "")</f>
        <v/>
      </c>
      <c r="N6" s="806" t="str">
        <f> IFERROR(vlookup(Concatenate("p3.",N$10),Order205,5,FALSE), "")</f>
        <v/>
      </c>
      <c r="O6" s="806" t="str">
        <f> IFERROR(vlookup(Concatenate("p3.",O$10),Order205,5,FALSE), "")</f>
        <v/>
      </c>
      <c r="P6" s="806" t="str">
        <f> IFERROR(vlookup(Concatenate("p3.",P$10),Order205,5,FALSE), "")</f>
        <v/>
      </c>
      <c r="Q6" s="806" t="str">
        <f> IFERROR(vlookup(Concatenate("p3.",Q$10),Order205,5,FALSE), "")</f>
        <v/>
      </c>
      <c r="R6" s="806" t="str">
        <f> IFERROR(vlookup(Concatenate("p3.",R$10),Order205,5,FALSE), "")</f>
        <v/>
      </c>
      <c r="S6" s="806" t="str">
        <f> IFERROR(vlookup(Concatenate("p3.",S$10),Order205,5,FALSE), "")</f>
        <v/>
      </c>
      <c r="T6" s="806" t="str">
        <f> IFERROR(vlookup(Concatenate("p3.",T$10),Order205,5,FALSE), "")</f>
        <v/>
      </c>
      <c r="U6" s="806">
        <f> IFERROR(vlookup(Concatenate("p3.",U$10),Order205,5,FALSE), "")</f>
        <v>156.075</v>
      </c>
      <c r="V6" s="806">
        <f> IFERROR(vlookup(Concatenate("p3.",V$10),Order205,5,FALSE), "")</f>
        <v>168.325</v>
      </c>
      <c r="W6" s="806">
        <f> IFERROR(vlookup(Concatenate("p3.",W$10),Order205,5,FALSE), "")</f>
        <v>168.625</v>
      </c>
      <c r="X6" s="806" t="str">
        <f> IFERROR(vlookup(Concatenate("p3.",X$10),Order205,5,FALSE), "")</f>
        <v/>
      </c>
      <c r="Y6" s="806" t="str">
        <f> IFERROR(vlookup(Concatenate("p3.",Y$10),Order205,5,FALSE), "")</f>
        <v/>
      </c>
      <c r="Z6" s="806" t="str">
        <f> IFERROR(vlookup(Concatenate("p3.",Z$10),Order205,5,FALSE), "")</f>
        <v/>
      </c>
      <c r="AA6" s="806" t="str">
        <f> IFERROR(vlookup(Concatenate("p3.",AA$10),Order205,5,FALSE), "")</f>
        <v/>
      </c>
      <c r="AB6" s="807"/>
      <c r="AC6" s="807"/>
      <c r="AD6" s="807"/>
      <c r="AE6" s="821" t="s">
        <v>1135</v>
      </c>
    </row>
    <row r="7" ht="76.5" customHeight="1">
      <c r="A7" s="801"/>
      <c r="B7" s="807"/>
      <c r="D7" s="822" t="s">
        <v>1140</v>
      </c>
      <c r="E7" s="823" t="s">
        <v>1141</v>
      </c>
      <c r="F7" s="824"/>
      <c r="G7" s="795" t="s">
        <v>1133</v>
      </c>
      <c r="H7" s="806" t="str">
        <f> IFERROR(vlookup(Concatenate("p3.",H$10),Order205,3,FALSE), "")</f>
        <v>FIRE NET</v>
      </c>
      <c r="I7" s="806" t="str">
        <f> IFERROR(vlookup(Concatenate("p3.",I$10),Order205,3,FALSE), "")</f>
        <v/>
      </c>
      <c r="J7" s="806" t="str">
        <f> IFERROR(vlookup(Concatenate("p3.",J$10),Order205,3,FALSE), "")</f>
        <v/>
      </c>
      <c r="K7" s="806" t="str">
        <f> IFERROR(vlookup(Concatenate("p3.",K$10),Order205,3,FALSE), "")</f>
        <v/>
      </c>
      <c r="L7" s="806" t="str">
        <f> IFERROR(vlookup(Concatenate("p3.",L$10),Order205,3,FALSE), "")</f>
        <v/>
      </c>
      <c r="M7" s="806" t="str">
        <f> IFERROR(vlookup(Concatenate("p3.",M$10),Order205,3,FALSE), "")</f>
        <v/>
      </c>
      <c r="N7" s="806" t="str">
        <f> IFERROR(vlookup(Concatenate("p3.",N$10),Order205,3,FALSE), "")</f>
        <v/>
      </c>
      <c r="O7" s="806" t="str">
        <f> IFERROR(vlookup(Concatenate("p3.",O$10),Order205,3,FALSE), "")</f>
        <v/>
      </c>
      <c r="P7" s="806" t="str">
        <f> IFERROR(vlookup(Concatenate("p3.",P$10),Order205,3,FALSE), "")</f>
        <v/>
      </c>
      <c r="Q7" s="806" t="str">
        <f> IFERROR(vlookup(Concatenate("p3.",Q$10),Order205,3,FALSE), "")</f>
        <v/>
      </c>
      <c r="R7" s="806" t="str">
        <f> IFERROR(vlookup(Concatenate("p3.",R$10),Order205,3,FALSE), "")</f>
        <v/>
      </c>
      <c r="S7" s="806" t="str">
        <f> IFERROR(vlookup(Concatenate("p3.",S$10),Order205,3,FALSE), "")</f>
        <v/>
      </c>
      <c r="T7" s="806" t="str">
        <f> IFERROR(vlookup(Concatenate("p3.",T$10),Order205,3,FALSE), "")</f>
        <v/>
      </c>
      <c r="U7" s="806" t="str">
        <f> IFERROR(vlookup(Concatenate("p3.",U$10),Order205,3,FALSE), "")</f>
        <v>INCIDENT</v>
      </c>
      <c r="V7" s="806" t="str">
        <f> IFERROR(vlookup(Concatenate("p3.",V$10),Order205,3,FALSE), "")</f>
        <v>ALL DIVS</v>
      </c>
      <c r="W7" s="806" t="str">
        <f> IFERROR(vlookup(Concatenate("p3.",W$10),Order205,3,FALSE), "")</f>
        <v>EMERGENCY</v>
      </c>
      <c r="X7" s="806" t="str">
        <f> IFERROR(vlookup(Concatenate("p3.",X$10),Order205,3,FALSE), "")</f>
        <v/>
      </c>
      <c r="Y7" s="806" t="str">
        <f> IFERROR(vlookup(Concatenate("p3.",Y$10),Order205,3,FALSE), "")</f>
        <v/>
      </c>
      <c r="Z7" s="806" t="str">
        <f> IFERROR(vlookup(Concatenate("p3.",Z$10),Order205,3,FALSE), "")</f>
        <v/>
      </c>
      <c r="AA7" s="806" t="str">
        <f> IFERROR(vlookup(Concatenate("p3.",AA$10),Order205,3,FALSE), "")</f>
        <v/>
      </c>
      <c r="AB7" s="807"/>
      <c r="AC7" s="807"/>
      <c r="AD7" s="807"/>
      <c r="AE7" s="807"/>
    </row>
    <row r="8" ht="84.75" customHeight="1">
      <c r="A8" s="801"/>
      <c r="B8" s="807"/>
      <c r="C8" s="825" t="s">
        <v>282</v>
      </c>
      <c r="D8" s="826" t="str">
        <f>IncName</f>
        <v>NO NAME</v>
      </c>
      <c r="E8" s="827" t="str">
        <f>'205 Worksheet'!B68</f>
        <v>Page 3</v>
      </c>
      <c r="F8" s="828" t="s">
        <v>478</v>
      </c>
      <c r="G8" s="829" t="s">
        <v>352</v>
      </c>
      <c r="H8" s="836" t="str">
        <f> IF(ISERROR(vlookup(Concatenate("p3.",H10),Order205,2,FALSE)), "", vlookup(Concatenate("p3.",H10),Order205,2,FALSE))</f>
        <v>CDF C2</v>
      </c>
      <c r="I8" s="836" t="str">
        <f> IF(ISERROR(vlookup(Concatenate("p3.",I10),Order205,2,FALSE)), "", vlookup(Concatenate("p3.",I10),Order205,2,FALSE))</f>
        <v/>
      </c>
      <c r="J8" s="836" t="str">
        <f> IF(ISERROR(vlookup(Concatenate("p3.",J10),Order205,2,FALSE)), "", vlookup(Concatenate("p3.",J10),Order205,2,FALSE))</f>
        <v/>
      </c>
      <c r="K8" s="836" t="str">
        <f> IF(ISERROR(vlookup(Concatenate("p3.",K10),Order205,2,FALSE)), "", vlookup(Concatenate("p3.",K10),Order205,2,FALSE))</f>
        <v/>
      </c>
      <c r="L8" s="836" t="str">
        <f> IF(ISERROR(vlookup(Concatenate("p3.",L10),Order205,2,FALSE)), "", vlookup(Concatenate("p3.",L10),Order205,2,FALSE))</f>
        <v/>
      </c>
      <c r="M8" s="836" t="str">
        <f> IF(ISERROR(vlookup(Concatenate("p3.",M10),Order205,2,FALSE)), "", vlookup(Concatenate("p3.",M10),Order205,2,FALSE))</f>
        <v/>
      </c>
      <c r="N8" s="836" t="str">
        <f> IF(ISERROR(vlookup(Concatenate("p3.",N10),Order205,2,FALSE)), "", vlookup(Concatenate("p3.",N10),Order205,2,FALSE))</f>
        <v/>
      </c>
      <c r="O8" s="836" t="str">
        <f> IF(ISERROR(vlookup(Concatenate("p3.",O10),Order205,2,FALSE)), "", vlookup(Concatenate("p3.",O10),Order205,2,FALSE))</f>
        <v/>
      </c>
      <c r="P8" s="836" t="str">
        <f> IF(ISERROR(vlookup(Concatenate("p3.",P10),Order205,2,FALSE)), "", vlookup(Concatenate("p3.",P10),Order205,2,FALSE))</f>
        <v/>
      </c>
      <c r="Q8" s="836" t="str">
        <f> IF(ISERROR(vlookup(Concatenate("p3.",Q10),Order205,2,FALSE)), "", vlookup(Concatenate("p3.",Q10),Order205,2,FALSE))</f>
        <v/>
      </c>
      <c r="R8" s="836" t="str">
        <f> IF(ISERROR(vlookup(Concatenate("p3.",R10),Order205,2,FALSE)), "", vlookup(Concatenate("p3.",R10),Order205,2,FALSE))</f>
        <v/>
      </c>
      <c r="S8" s="836" t="str">
        <f> IF(ISERROR(vlookup(Concatenate("p3.",S10),Order205,2,FALSE)), "", vlookup(Concatenate("p3.",S10),Order205,2,FALSE))</f>
        <v/>
      </c>
      <c r="T8" s="836" t="str">
        <f> IF(ISERROR(vlookup(Concatenate("p3.",T10),Order205,2,FALSE)), "", vlookup(Concatenate("p3.",T10),Order205,2,FALSE))</f>
        <v/>
      </c>
      <c r="U8" s="836" t="str">
        <f> IF(ISERROR(vlookup(Concatenate("p3.",U10),Order205,2,FALSE)), "", vlookup(Concatenate("p3.",U10),Order205,2,FALSE))</f>
        <v>CALCORD</v>
      </c>
      <c r="V8" s="836" t="str">
        <f> IF(ISERROR(vlookup(Concatenate("p3.",V10),Order205,2,FALSE)), "", vlookup(Concatenate("p3.",V10),Order205,2,FALSE))</f>
        <v>A/G</v>
      </c>
      <c r="W8" s="836" t="str">
        <f> IF(ISERROR(vlookup(Concatenate("p3.",W10),Order205,2,FALSE)), "", vlookup(Concatenate("p3.",W10),Order205,2,FALSE))</f>
        <v>GUARD</v>
      </c>
      <c r="X8" s="836" t="str">
        <f> IF(ISERROR(vlookup(Concatenate("p3.",X10),Order205,2,FALSE)), "", vlookup(Concatenate("p3.",X10),Order205,2,FALSE))</f>
        <v/>
      </c>
      <c r="Y8" s="836" t="str">
        <f> IF(ISERROR(vlookup(Concatenate("p3.",Y10),Order205,2,FALSE)), "", vlookup(Concatenate("p3.",Y10),Order205,2,FALSE))</f>
        <v/>
      </c>
      <c r="Z8" s="836" t="str">
        <f> IF(ISERROR(vlookup(Concatenate("p3.",Z10),Order205,2,FALSE)), "", vlookup(Concatenate("p3.",Z10),Order205,2,FALSE))</f>
        <v/>
      </c>
      <c r="AA8" s="836" t="str">
        <f> IF(ISERROR(vlookup(Concatenate("p3.",AA10),Order205,2,FALSE)), "", vlookup(Concatenate("p3.",AA10),Order205,2,FALSE))</f>
        <v/>
      </c>
      <c r="AB8" s="807"/>
      <c r="AC8" s="807"/>
      <c r="AD8" s="807"/>
      <c r="AE8" s="807"/>
    </row>
    <row r="9" ht="101.25" customHeight="1">
      <c r="A9" s="801"/>
      <c r="B9" s="807"/>
      <c r="C9" s="166"/>
      <c r="E9" s="94"/>
      <c r="F9" s="807"/>
      <c r="G9" s="830" t="s">
        <v>485</v>
      </c>
      <c r="H9" s="837" t="str">
        <f> IF(ISERROR(vlookup(Concatenate("p3.",H10),Order205,4,FALSE)), "", vlookup(Concatenate("p3.",H10),Order205,4,FALSE))</f>
        <v>COMMAND</v>
      </c>
      <c r="I9" s="837" t="str">
        <f> IF(ISERROR(vlookup(Concatenate("p3.",I10),Order205,4,FALSE)), "", vlookup(Concatenate("p3.",I10),Order205,4,FALSE))</f>
        <v/>
      </c>
      <c r="J9" s="837" t="str">
        <f> IF(ISERROR(vlookup(Concatenate("p3.",J10),Order205,4,FALSE)), "", vlookup(Concatenate("p3.",J10),Order205,4,FALSE))</f>
        <v/>
      </c>
      <c r="K9" s="837" t="str">
        <f> IF(ISERROR(vlookup(Concatenate("p3.",K10),Order205,4,FALSE)), "", vlookup(Concatenate("p3.",K10),Order205,4,FALSE))</f>
        <v/>
      </c>
      <c r="L9" s="837" t="str">
        <f> IF(ISERROR(vlookup(Concatenate("p3.",L10),Order205,4,FALSE)), "", vlookup(Concatenate("p3.",L10),Order205,4,FALSE))</f>
        <v/>
      </c>
      <c r="M9" s="837" t="str">
        <f> IF(ISERROR(vlookup(Concatenate("p3.",M10),Order205,4,FALSE)), "", vlookup(Concatenate("p3.",M10),Order205,4,FALSE))</f>
        <v/>
      </c>
      <c r="N9" s="837" t="str">
        <f> IF(ISERROR(vlookup(Concatenate("p3.",N10),Order205,4,FALSE)), "", vlookup(Concatenate("p3.",N10),Order205,4,FALSE))</f>
        <v/>
      </c>
      <c r="O9" s="837" t="str">
        <f> IF(ISERROR(vlookup(Concatenate("p3.",O10),Order205,4,FALSE)), "", vlookup(Concatenate("p3.",O10),Order205,4,FALSE))</f>
        <v/>
      </c>
      <c r="P9" s="837" t="str">
        <f> IF(ISERROR(vlookup(Concatenate("p3.",P10),Order205,4,FALSE)), "", vlookup(Concatenate("p3.",P10),Order205,4,FALSE))</f>
        <v/>
      </c>
      <c r="Q9" s="837" t="str">
        <f> IF(ISERROR(vlookup(Concatenate("p3.",Q10),Order205,4,FALSE)), "", vlookup(Concatenate("p3.",Q10),Order205,4,FALSE))</f>
        <v/>
      </c>
      <c r="R9" s="837" t="str">
        <f> IF(ISERROR(vlookup(Concatenate("p3.",R10),Order205,4,FALSE)), "", vlookup(Concatenate("p3.",R10),Order205,4,FALSE))</f>
        <v/>
      </c>
      <c r="S9" s="837" t="str">
        <f> IF(ISERROR(vlookup(Concatenate("p3.",S10),Order205,4,FALSE)), "", vlookup(Concatenate("p3.",S10),Order205,4,FALSE))</f>
        <v/>
      </c>
      <c r="T9" s="837" t="str">
        <f> IF(ISERROR(vlookup(Concatenate("p3.",T10),Order205,4,FALSE)), "", vlookup(Concatenate("p3.",T10),Order205,4,FALSE))</f>
        <v/>
      </c>
      <c r="U9" s="837" t="str">
        <f> IF(ISERROR(vlookup(Concatenate("p3.",U10),Order205,4,FALSE)), "", vlookup(Concatenate("p3.",U10),Order205,4,FALSE))</f>
        <v>TACTICAL</v>
      </c>
      <c r="V9" s="837" t="str">
        <f> IF(ISERROR(vlookup(Concatenate("p3.",V10),Order205,4,FALSE)), "", vlookup(Concatenate("p3.",V10),Order205,4,FALSE))</f>
        <v>A/G</v>
      </c>
      <c r="W9" s="837" t="str">
        <f> IF(ISERROR(vlookup(Concatenate("p3.",W10),Order205,4,FALSE)), "", vlookup(Concatenate("p3.",W10),Order205,4,FALSE))</f>
        <v>AIRGUARD</v>
      </c>
      <c r="X9" s="837" t="str">
        <f> IF(ISERROR(vlookup(Concatenate("p3.",X10),Order205,4,FALSE)), "", vlookup(Concatenate("p3.",X10),Order205,4,FALSE))</f>
        <v/>
      </c>
      <c r="Y9" s="837" t="str">
        <f> IF(ISERROR(vlookup(Concatenate("p3.",Y10),Order205,4,FALSE)), "", vlookup(Concatenate("p3.",Y10),Order205,4,FALSE))</f>
        <v/>
      </c>
      <c r="Z9" s="837" t="str">
        <f> IF(ISERROR(vlookup(Concatenate("p3.",Z10),Order205,4,FALSE)), "", vlookup(Concatenate("p3.",Z10),Order205,4,FALSE))</f>
        <v/>
      </c>
      <c r="AA9" s="837" t="str">
        <f> IF(ISERROR(vlookup(Concatenate("p3.",AA10),Order205,4,FALSE)), "", vlookup(Concatenate("p3.",AA10),Order205,4,FALSE))</f>
        <v/>
      </c>
      <c r="AB9" s="807"/>
      <c r="AC9" s="807"/>
      <c r="AD9" s="807"/>
      <c r="AE9" s="807"/>
    </row>
    <row r="10" ht="30.0" customHeight="1">
      <c r="A10" s="801"/>
      <c r="B10" s="813"/>
      <c r="C10" s="104"/>
      <c r="D10" s="77"/>
      <c r="E10" s="55"/>
      <c r="F10" s="813"/>
      <c r="G10" s="838" t="s">
        <v>1132</v>
      </c>
      <c r="H10" s="831">
        <v>1.0</v>
      </c>
      <c r="I10" s="831">
        <v>2.0</v>
      </c>
      <c r="J10" s="831">
        <v>3.0</v>
      </c>
      <c r="K10" s="831">
        <v>4.0</v>
      </c>
      <c r="L10" s="831">
        <v>5.0</v>
      </c>
      <c r="M10" s="831">
        <v>6.0</v>
      </c>
      <c r="N10" s="831">
        <v>7.0</v>
      </c>
      <c r="O10" s="831">
        <v>8.0</v>
      </c>
      <c r="P10" s="831">
        <v>9.0</v>
      </c>
      <c r="Q10" s="831">
        <v>10.0</v>
      </c>
      <c r="R10" s="831">
        <v>11.0</v>
      </c>
      <c r="S10" s="831">
        <v>12.0</v>
      </c>
      <c r="T10" s="831">
        <v>13.0</v>
      </c>
      <c r="U10" s="831">
        <v>14.0</v>
      </c>
      <c r="V10" s="831">
        <v>15.0</v>
      </c>
      <c r="W10" s="831">
        <v>16.0</v>
      </c>
      <c r="X10" s="831">
        <v>17.0</v>
      </c>
      <c r="Y10" s="831">
        <v>18.0</v>
      </c>
      <c r="Z10" s="831">
        <v>19.0</v>
      </c>
      <c r="AA10" s="831">
        <v>20.0</v>
      </c>
      <c r="AB10" s="813"/>
      <c r="AC10" s="813"/>
      <c r="AD10" s="813"/>
      <c r="AE10" s="813"/>
    </row>
    <row r="11" ht="9.75" customHeight="1">
      <c r="A11" s="801"/>
      <c r="B11" s="801"/>
      <c r="C11" s="818"/>
      <c r="D11" s="826"/>
      <c r="E11" s="826"/>
      <c r="F11" s="832"/>
      <c r="G11" s="833"/>
      <c r="H11" s="833"/>
      <c r="I11" s="833"/>
      <c r="J11" s="833"/>
      <c r="K11" s="833"/>
      <c r="L11" s="833"/>
      <c r="M11" s="833"/>
      <c r="N11" s="833"/>
      <c r="O11" s="833"/>
      <c r="P11" s="833"/>
      <c r="Q11" s="833"/>
      <c r="R11" s="833"/>
      <c r="S11" s="833"/>
      <c r="T11" s="833"/>
      <c r="U11" s="833"/>
      <c r="V11" s="833"/>
      <c r="W11" s="833"/>
      <c r="X11" s="833"/>
      <c r="Y11" s="833"/>
      <c r="Z11" s="833"/>
      <c r="AA11" s="833"/>
    </row>
  </sheetData>
  <mergeCells count="12">
    <mergeCell ref="C6:C7"/>
    <mergeCell ref="C8:C10"/>
    <mergeCell ref="D8:D10"/>
    <mergeCell ref="E8:E10"/>
    <mergeCell ref="C1:C5"/>
    <mergeCell ref="AB1:AB10"/>
    <mergeCell ref="AC1:AC10"/>
    <mergeCell ref="AD1:AD4"/>
    <mergeCell ref="B3:B10"/>
    <mergeCell ref="AD5:AD10"/>
    <mergeCell ref="AE6:AE10"/>
    <mergeCell ref="F8:F10"/>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1" width="1.25"/>
    <col customWidth="1" min="2" max="2" width="5.75"/>
    <col customWidth="1" min="3" max="31" width="3.75"/>
  </cols>
  <sheetData>
    <row r="1" ht="247.5" customHeight="1">
      <c r="A1" s="789"/>
      <c r="B1" s="790" t="s">
        <v>414</v>
      </c>
      <c r="C1" s="791" t="s">
        <v>472</v>
      </c>
      <c r="D1" s="792">
        <f>OpDateTo</f>
        <v>43894</v>
      </c>
      <c r="E1" s="793" t="str">
        <f>OpEnd</f>
        <v>0700</v>
      </c>
      <c r="F1" s="794"/>
      <c r="G1" s="795" t="s">
        <v>434</v>
      </c>
      <c r="H1" s="796" t="str">
        <f> IF(ISERROR(vlookup(Concatenate("p4.",H10),Order205,10,FALSE)), "", vlookup(Concatenate("p4.",H10),Order205,10,FALSE))</f>
        <v/>
      </c>
      <c r="I1" s="796" t="str">
        <f> IF(ISERROR(vlookup(Concatenate("p4.",I10),Order205,10,FALSE)), "", vlookup(Concatenate("p4.",I10),Order205,10,FALSE))</f>
        <v/>
      </c>
      <c r="J1" s="796" t="str">
        <f> IF(ISERROR(vlookup(Concatenate("p4.",J10),Order205,10,FALSE)), "", vlookup(Concatenate("p4.",J10),Order205,10,FALSE))</f>
        <v/>
      </c>
      <c r="K1" s="796" t="str">
        <f> IF(ISERROR(vlookup(Concatenate("p4.",K10),Order205,10,FALSE)), "", vlookup(Concatenate("p4.",K10),Order205,10,FALSE))</f>
        <v/>
      </c>
      <c r="L1" s="796" t="str">
        <f> IF(ISERROR(vlookup(Concatenate("p4.",L10),Order205,10,FALSE)), "", vlookup(Concatenate("p4.",L10),Order205,10,FALSE))</f>
        <v/>
      </c>
      <c r="M1" s="796" t="str">
        <f> IF(ISERROR(vlookup(Concatenate("p4.",M10),Order205,10,FALSE)), "", vlookup(Concatenate("p4.",M10),Order205,10,FALSE))</f>
        <v/>
      </c>
      <c r="N1" s="796" t="str">
        <f> IF(ISERROR(vlookup(Concatenate("p4.",N10),Order205,10,FALSE)), "", vlookup(Concatenate("p4.",N10),Order205,10,FALSE))</f>
        <v/>
      </c>
      <c r="O1" s="796" t="str">
        <f> IF(ISERROR(vlookup(Concatenate("p4.",O10),Order205,10,FALSE)), "", vlookup(Concatenate("p4.",O10),Order205,10,FALSE))</f>
        <v/>
      </c>
      <c r="P1" s="796" t="str">
        <f> IF(ISERROR(vlookup(Concatenate("p4.",P10),Order205,10,FALSE)), "", vlookup(Concatenate("p4.",P10),Order205,10,FALSE))</f>
        <v/>
      </c>
      <c r="Q1" s="796" t="str">
        <f> IF(ISERROR(vlookup(Concatenate("p4.",Q10),Order205,10,FALSE)), "", vlookup(Concatenate("p4.",Q10),Order205,10,FALSE))</f>
        <v/>
      </c>
      <c r="R1" s="796" t="str">
        <f> IF(ISERROR(vlookup(Concatenate("p4.",R10),Order205,10,FALSE)), "", vlookup(Concatenate("p4.",R10),Order205,10,FALSE))</f>
        <v/>
      </c>
      <c r="S1" s="796" t="str">
        <f> IF(ISERROR(vlookup(Concatenate("p4.",S10),Order205,10,FALSE)), "", vlookup(Concatenate("p4.",S10),Order205,10,FALSE))</f>
        <v/>
      </c>
      <c r="T1" s="796" t="str">
        <f> IF(ISERROR(vlookup(Concatenate("p4.",T10),Order205,10,FALSE)), "", vlookup(Concatenate("p4.",T10),Order205,10,FALSE))</f>
        <v/>
      </c>
      <c r="U1" s="796" t="str">
        <f> IF(ISERROR(vlookup(Concatenate("p4.",U10),Order205,10,FALSE)), "", vlookup(Concatenate("p4.",U10),Order205,10,FALSE))</f>
        <v/>
      </c>
      <c r="V1" s="796" t="str">
        <f> IF(ISERROR(vlookup(Concatenate("p4.",V10),Order205,10,FALSE)), "", vlookup(Concatenate("p4.",V10),Order205,10,FALSE))</f>
        <v/>
      </c>
      <c r="W1" s="796" t="str">
        <f> IF(ISERROR(vlookup(Concatenate("p4.",W10),Order205,10,FALSE)), "", vlookup(Concatenate("p4.",W10),Order205,10,FALSE))</f>
        <v/>
      </c>
      <c r="X1" s="796" t="str">
        <f> IF(ISERROR(vlookup(Concatenate("p4.",X10),Order205,10,FALSE)), "", vlookup(Concatenate("p4.",X10),Order205,10,FALSE))</f>
        <v/>
      </c>
      <c r="Y1" s="796" t="str">
        <f> IF(ISERROR(vlookup(Concatenate("p4.",Y10),Order205,10,FALSE)), "", vlookup(Concatenate("p4.",Y10),Order205,10,FALSE))</f>
        <v/>
      </c>
      <c r="Z1" s="796" t="str">
        <f> IF(ISERROR(vlookup(Concatenate("p4.",Z10),Order205,10,FALSE)), "", vlookup(Concatenate("p4.",Z10),Order205,10,FALSE))</f>
        <v/>
      </c>
      <c r="AA1" s="796" t="str">
        <f> IF(ISERROR(vlookup(Concatenate("p4.",AA10),Order205,10,FALSE)), "", vlookup(Concatenate("p4.",AA10),Order205,10,FALSE))</f>
        <v/>
      </c>
      <c r="AB1" s="797" t="s">
        <v>558</v>
      </c>
      <c r="AC1" s="798" t="str">
        <f>'205 Worksheet'!A148</f>
        <v>This is a test</v>
      </c>
      <c r="AD1" s="799" t="s">
        <v>1136</v>
      </c>
      <c r="AE1" s="800">
        <f>E6</f>
        <v>1930</v>
      </c>
    </row>
    <row r="2" ht="64.5" customHeight="1">
      <c r="A2" s="801"/>
      <c r="B2" s="802"/>
      <c r="C2" s="166"/>
      <c r="D2" s="803"/>
      <c r="E2" s="804"/>
      <c r="F2" s="805"/>
      <c r="G2" s="795" t="s">
        <v>433</v>
      </c>
      <c r="H2" s="834" t="str">
        <f> IF(ISERROR(vlookup(Concatenate("p4.",H10),Order205,9,FALSE)), "", vlookup(Concatenate("p4.",H10),Order205,9,FALSE))</f>
        <v>A</v>
      </c>
      <c r="I2" s="806" t="str">
        <f> IF(ISERROR(vlookup(Concatenate("p4.",I10),Order205,9,FALSE)), "", vlookup(Concatenate("p4.",I10),Order205,9,FALSE))</f>
        <v/>
      </c>
      <c r="J2" s="806" t="str">
        <f> IF(ISERROR(vlookup(Concatenate("p4.",J10),Order205,9,FALSE)), "", vlookup(Concatenate("p4.",J10),Order205,9,FALSE))</f>
        <v/>
      </c>
      <c r="K2" s="806" t="str">
        <f> IF(ISERROR(vlookup(Concatenate("p4.",K10),Order205,9,FALSE)), "", vlookup(Concatenate("p4.",K10),Order205,9,FALSE))</f>
        <v/>
      </c>
      <c r="L2" s="806" t="str">
        <f> IF(ISERROR(vlookup(Concatenate("p4.",L10),Order205,9,FALSE)), "", vlookup(Concatenate("p4.",L10),Order205,9,FALSE))</f>
        <v/>
      </c>
      <c r="M2" s="806" t="str">
        <f> IF(ISERROR(vlookup(Concatenate("p4.",M10),Order205,9,FALSE)), "", vlookup(Concatenate("p4.",M10),Order205,9,FALSE))</f>
        <v/>
      </c>
      <c r="N2" s="806" t="str">
        <f> IF(ISERROR(vlookup(Concatenate("p4.",N10),Order205,9,FALSE)), "", vlookup(Concatenate("p4.",N10),Order205,9,FALSE))</f>
        <v/>
      </c>
      <c r="O2" s="806" t="str">
        <f> IF(ISERROR(vlookup(Concatenate("p4.",O10),Order205,9,FALSE)), "", vlookup(Concatenate("p4.",O10),Order205,9,FALSE))</f>
        <v/>
      </c>
      <c r="P2" s="806" t="str">
        <f> IF(ISERROR(vlookup(Concatenate("p4.",P10),Order205,9,FALSE)), "", vlookup(Concatenate("p4.",P10),Order205,9,FALSE))</f>
        <v/>
      </c>
      <c r="Q2" s="806" t="str">
        <f> IF(ISERROR(vlookup(Concatenate("p4.",Q10),Order205,9,FALSE)), "", vlookup(Concatenate("p4.",Q10),Order205,9,FALSE))</f>
        <v/>
      </c>
      <c r="R2" s="806" t="str">
        <f> IF(ISERROR(vlookup(Concatenate("p4.",R10),Order205,9,FALSE)), "", vlookup(Concatenate("p4.",R10),Order205,9,FALSE))</f>
        <v/>
      </c>
      <c r="S2" s="806" t="str">
        <f> IF(ISERROR(vlookup(Concatenate("p4.",S10),Order205,9,FALSE)), "", vlookup(Concatenate("p4.",S10),Order205,9,FALSE))</f>
        <v/>
      </c>
      <c r="T2" s="806" t="str">
        <f> IF(ISERROR(vlookup(Concatenate("p4.",T10),Order205,9,FALSE)), "", vlookup(Concatenate("p4.",T10),Order205,9,FALSE))</f>
        <v/>
      </c>
      <c r="U2" s="834" t="str">
        <f> IF(ISERROR(vlookup(Concatenate("p4.",U10),Order205,9,FALSE)), "", vlookup(Concatenate("p4.",U10),Order205,9,FALSE))</f>
        <v>A</v>
      </c>
      <c r="V2" s="834" t="str">
        <f> IF(ISERROR(vlookup(Concatenate("p4.",V10),Order205,9,FALSE)), "", vlookup(Concatenate("p4.",V10),Order205,9,FALSE))</f>
        <v>A</v>
      </c>
      <c r="W2" s="834" t="str">
        <f> IF(ISERROR(vlookup(Concatenate("p4.",W10),Order205,9,FALSE)), "", vlookup(Concatenate("p4.",W10),Order205,9,FALSE))</f>
        <v>A</v>
      </c>
      <c r="X2" s="806" t="str">
        <f> IF(ISERROR(vlookup(Concatenate("p4.",X10),Order205,9,FALSE)), "", vlookup(Concatenate("p4.",X10),Order205,9,FALSE))</f>
        <v/>
      </c>
      <c r="Y2" s="806" t="str">
        <f> IF(ISERROR(vlookup(Concatenate("p4.",Y10),Order205,9,FALSE)), "", vlookup(Concatenate("p4.",Y10),Order205,9,FALSE))</f>
        <v/>
      </c>
      <c r="Z2" s="806" t="str">
        <f> IF(ISERROR(vlookup(Concatenate("p4.",Z10),Order205,9,FALSE)), "", vlookup(Concatenate("p4.",Z10),Order205,9,FALSE))</f>
        <v/>
      </c>
      <c r="AA2" s="806" t="str">
        <f> IF(ISERROR(vlookup(Concatenate("p4.",AA10),Order205,9,FALSE)), "", vlookup(Concatenate("p4.",AA10),Order205,9,FALSE))</f>
        <v/>
      </c>
      <c r="AB2" s="807"/>
      <c r="AC2" s="807"/>
      <c r="AD2" s="807"/>
      <c r="AE2" s="808"/>
    </row>
    <row r="3" ht="64.5" customHeight="1">
      <c r="A3" s="801"/>
      <c r="B3" s="809" t="s">
        <v>1137</v>
      </c>
      <c r="C3" s="166"/>
      <c r="D3" s="803" t="s">
        <v>130</v>
      </c>
      <c r="E3" s="804" t="s">
        <v>133</v>
      </c>
      <c r="F3" s="805"/>
      <c r="G3" s="795" t="s">
        <v>489</v>
      </c>
      <c r="H3" s="806" t="str">
        <f> IFERROR(vlookup(Concatenate("p4.",H$10),Order205,8,FALSE), "")</f>
        <v>OST</v>
      </c>
      <c r="I3" s="806" t="str">
        <f> IFERROR(vlookup(Concatenate("p4.",I10),Order205,8,FALSE), "")</f>
        <v/>
      </c>
      <c r="J3" s="806" t="str">
        <f> IFERROR(vlookup(Concatenate("p4.",J10),Order205,8,FALSE), "")</f>
        <v/>
      </c>
      <c r="K3" s="806" t="str">
        <f> IFERROR(vlookup(Concatenate("p4.",K10),Order205,8,FALSE), "")</f>
        <v/>
      </c>
      <c r="L3" s="806" t="str">
        <f> IFERROR(vlookup(Concatenate("p4.",L10),Order205,8,FALSE), "")</f>
        <v/>
      </c>
      <c r="M3" s="806" t="str">
        <f> IFERROR(vlookup(Concatenate("p4.",M10),Order205,8,FALSE), "")</f>
        <v/>
      </c>
      <c r="N3" s="806" t="str">
        <f> IFERROR(vlookup(Concatenate("p4.",N10),Order205,8,FALSE), "")</f>
        <v/>
      </c>
      <c r="O3" s="806" t="str">
        <f> IFERROR(vlookup(Concatenate("p4.",O10),Order205,8,FALSE), "")</f>
        <v/>
      </c>
      <c r="P3" s="806" t="str">
        <f> IFERROR(vlookup(Concatenate("p4.",P10),Order205,8,FALSE), "")</f>
        <v/>
      </c>
      <c r="Q3" s="806" t="str">
        <f> IFERROR(vlookup(Concatenate("p4.",Q10),Order205,8,FALSE), "")</f>
        <v/>
      </c>
      <c r="R3" s="806" t="str">
        <f> IFERROR(vlookup(Concatenate("p4.",R10),Order205,8,FALSE), "")</f>
        <v/>
      </c>
      <c r="S3" s="806" t="str">
        <f> IFERROR(vlookup(Concatenate("p4.",S10),Order205,8,FALSE), "")</f>
        <v/>
      </c>
      <c r="T3" s="806" t="str">
        <f> IFERROR(vlookup(Concatenate("p4.",T10),Order205,8,FALSE), "")</f>
        <v/>
      </c>
      <c r="U3" s="806" t="str">
        <f> IFERROR(vlookup(Concatenate("p4.",U10),Order205,8,FALSE), "")</f>
        <v>(T6)  156.7</v>
      </c>
      <c r="V3" s="806">
        <f> IFERROR(vlookup(Concatenate("p4.",V10),Order205,8,FALSE), "")</f>
        <v>0</v>
      </c>
      <c r="W3" s="806" t="str">
        <f> IFERROR(vlookup(Concatenate("p4.",W10),Order205,8,FALSE), "")</f>
        <v>(T1)  110.9</v>
      </c>
      <c r="X3" s="806" t="str">
        <f> IFERROR(vlookup(Concatenate("p4.",X10),Order205,8,FALSE), "")</f>
        <v/>
      </c>
      <c r="Y3" s="806" t="str">
        <f> IFERROR(vlookup(Concatenate("p4.",Y10),Order205,8,FALSE), "")</f>
        <v/>
      </c>
      <c r="Z3" s="806" t="str">
        <f> IFERROR(vlookup(Concatenate("p4.",Z10),Order205,8,FALSE), "")</f>
        <v/>
      </c>
      <c r="AA3" s="806" t="str">
        <f> IFERROR(vlookup(Concatenate("p4.",AA10),Order205,8,FALSE), "")</f>
        <v/>
      </c>
      <c r="AB3" s="807"/>
      <c r="AC3" s="807"/>
      <c r="AD3" s="807"/>
      <c r="AE3" s="810">
        <f>D6</f>
        <v>43892</v>
      </c>
    </row>
    <row r="4" ht="69.0" customHeight="1">
      <c r="A4" s="801"/>
      <c r="B4" s="807"/>
      <c r="C4" s="166"/>
      <c r="D4" s="811">
        <f>OpDate</f>
        <v>43893</v>
      </c>
      <c r="E4" s="812" t="str">
        <f>OpStart</f>
        <v>0700</v>
      </c>
      <c r="F4" s="805"/>
      <c r="G4" s="795" t="s">
        <v>488</v>
      </c>
      <c r="H4" s="806">
        <f> IFERROR(vlookup(Concatenate("p4.",H$10),Order205,7,FALSE), "")</f>
        <v>159.345</v>
      </c>
      <c r="I4" s="806" t="str">
        <f> IFERROR(vlookup(Concatenate("p4.",I$10),Order205,7,FALSE), "")</f>
        <v/>
      </c>
      <c r="J4" s="806" t="str">
        <f> IFERROR(vlookup(Concatenate("p4.",J$10),Order205,7,FALSE), "")</f>
        <v/>
      </c>
      <c r="K4" s="806" t="str">
        <f> IFERROR(vlookup(Concatenate("p4.",K$10),Order205,7,FALSE), "")</f>
        <v/>
      </c>
      <c r="L4" s="806" t="str">
        <f> IFERROR(vlookup(Concatenate("p4.",L$10),Order205,7,FALSE), "")</f>
        <v/>
      </c>
      <c r="M4" s="806" t="str">
        <f> IFERROR(vlookup(Concatenate("p4.",M$10),Order205,7,FALSE), "")</f>
        <v/>
      </c>
      <c r="N4" s="806" t="str">
        <f> IFERROR(vlookup(Concatenate("p4.",N$10),Order205,7,FALSE), "")</f>
        <v/>
      </c>
      <c r="O4" s="806" t="str">
        <f> IFERROR(vlookup(Concatenate("p4.",O$10),Order205,7,FALSE), "")</f>
        <v/>
      </c>
      <c r="P4" s="806" t="str">
        <f> IFERROR(vlookup(Concatenate("p4.",P$10),Order205,7,FALSE), "")</f>
        <v/>
      </c>
      <c r="Q4" s="806" t="str">
        <f> IFERROR(vlookup(Concatenate("p4.",Q$10),Order205,7,FALSE), "")</f>
        <v/>
      </c>
      <c r="R4" s="806" t="str">
        <f> IFERROR(vlookup(Concatenate("p4.",R$10),Order205,7,FALSE), "")</f>
        <v/>
      </c>
      <c r="S4" s="806" t="str">
        <f> IFERROR(vlookup(Concatenate("p4.",S$10),Order205,7,FALSE), "")</f>
        <v/>
      </c>
      <c r="T4" s="806" t="str">
        <f> IFERROR(vlookup(Concatenate("p4.",T$10),Order205,7,FALSE), "")</f>
        <v/>
      </c>
      <c r="U4" s="806">
        <f> IFERROR(vlookup(Concatenate("p4.",U$10),Order205,7,FALSE), "")</f>
        <v>156.075</v>
      </c>
      <c r="V4" s="806">
        <f> IFERROR(vlookup(Concatenate("p4.",V$10),Order205,7,FALSE), "")</f>
        <v>168.325</v>
      </c>
      <c r="W4" s="806">
        <f> IFERROR(vlookup(Concatenate("p4.",W$10),Order205,7,FALSE), "")</f>
        <v>168.625</v>
      </c>
      <c r="X4" s="806" t="str">
        <f> IFERROR(vlookup(Concatenate("p4.",X$10),Order205,7,FALSE), "")</f>
        <v/>
      </c>
      <c r="Y4" s="806" t="str">
        <f> IFERROR(vlookup(Concatenate("p4.",Y$10),Order205,7,FALSE), "")</f>
        <v/>
      </c>
      <c r="Z4" s="806" t="str">
        <f> IFERROR(vlookup(Concatenate("p4.",Z$10),Order205,7,FALSE), "")</f>
        <v/>
      </c>
      <c r="AA4" s="806" t="str">
        <f> IFERROR(vlookup(Concatenate("p4.",AA$10),Order205,7,FALSE), "")</f>
        <v/>
      </c>
      <c r="AB4" s="807"/>
      <c r="AC4" s="807"/>
      <c r="AD4" s="813"/>
      <c r="AE4" s="814" t="s">
        <v>389</v>
      </c>
    </row>
    <row r="5" ht="60.0" customHeight="1">
      <c r="A5" s="801"/>
      <c r="B5" s="807"/>
      <c r="C5" s="104"/>
      <c r="D5" s="815" t="s">
        <v>1138</v>
      </c>
      <c r="E5" s="816" t="s">
        <v>1139</v>
      </c>
      <c r="F5" s="805"/>
      <c r="G5" s="795" t="s">
        <v>487</v>
      </c>
      <c r="H5" s="806" t="str">
        <f> IFERROR(vlookup(Concatenate("p4.",H$10),Order205,6,FALSE), "")</f>
        <v>(T8)  103.5</v>
      </c>
      <c r="I5" s="806" t="str">
        <f> IFERROR(vlookup(Concatenate("p4.",I$10),Order205,6,FALSE), "")</f>
        <v/>
      </c>
      <c r="J5" s="806" t="str">
        <f> IFERROR(vlookup(Concatenate("p4.",J$10),Order205,6,FALSE), "")</f>
        <v/>
      </c>
      <c r="K5" s="806" t="str">
        <f> IFERROR(vlookup(Concatenate("p4.",K$10),Order205,6,FALSE), "")</f>
        <v/>
      </c>
      <c r="L5" s="806" t="str">
        <f> IFERROR(vlookup(Concatenate("p4.",L$10),Order205,6,FALSE), "")</f>
        <v/>
      </c>
      <c r="M5" s="806" t="str">
        <f> IFERROR(vlookup(Concatenate("p4.",M$10),Order205,6,FALSE), "")</f>
        <v/>
      </c>
      <c r="N5" s="806" t="str">
        <f> IFERROR(vlookup(Concatenate("p4.",N$10),Order205,6,FALSE), "")</f>
        <v/>
      </c>
      <c r="O5" s="806" t="str">
        <f> IFERROR(vlookup(Concatenate("p4.",O$10),Order205,6,FALSE), "")</f>
        <v/>
      </c>
      <c r="P5" s="806" t="str">
        <f> IFERROR(vlookup(Concatenate("p4.",P$10),Order205,6,FALSE), "")</f>
        <v/>
      </c>
      <c r="Q5" s="806" t="str">
        <f> IFERROR(vlookup(Concatenate("p4.",Q$10),Order205,6,FALSE), "")</f>
        <v/>
      </c>
      <c r="R5" s="806" t="str">
        <f> IFERROR(vlookup(Concatenate("p4.",R$10),Order205,6,FALSE), "")</f>
        <v/>
      </c>
      <c r="S5" s="806" t="str">
        <f> IFERROR(vlookup(Concatenate("p4.",S$10),Order205,6,FALSE), "")</f>
        <v/>
      </c>
      <c r="T5" s="806" t="str">
        <f> IFERROR(vlookup(Concatenate("p4.",T$10),Order205,6,FALSE), "")</f>
        <v/>
      </c>
      <c r="U5" s="806" t="str">
        <f> IFERROR(vlookup(Concatenate("p4.",U$10),Order205,6,FALSE), "")</f>
        <v>(T6)  156.7</v>
      </c>
      <c r="V5" s="806" t="str">
        <f> IFERROR(vlookup(Concatenate("p4.",V$10),Order205,6,FALSE), "")</f>
        <v/>
      </c>
      <c r="W5" s="806">
        <f> IFERROR(vlookup(Concatenate("p4.",W$10),Order205,6,FALSE), "")</f>
        <v>0</v>
      </c>
      <c r="X5" s="806" t="str">
        <f> IFERROR(vlookup(Concatenate("p4.",X$10),Order205,6,FALSE), "")</f>
        <v/>
      </c>
      <c r="Y5" s="806" t="str">
        <f> IFERROR(vlookup(Concatenate("p4.",Y$10),Order205,6,FALSE), "")</f>
        <v/>
      </c>
      <c r="Z5" s="806" t="str">
        <f> IFERROR(vlookup(Concatenate("p4.",Z$10),Order205,6,FALSE), "")</f>
        <v/>
      </c>
      <c r="AA5" s="806" t="str">
        <f> IFERROR(vlookup(Concatenate("p4.",AA$10),Order205,6,FALSE), "")</f>
        <v/>
      </c>
      <c r="AB5" s="807"/>
      <c r="AC5" s="807"/>
      <c r="AD5" s="798" t="str">
        <f>Concatenate("6. Prepared by (Communications Unit Leader): Name: ", '205 Worksheet'!E150) </f>
        <v>6. Prepared by (Communications Unit Leader): Name: </v>
      </c>
      <c r="AE5" s="817" t="s">
        <v>332</v>
      </c>
    </row>
    <row r="6" ht="70.5" customHeight="1">
      <c r="A6" s="801"/>
      <c r="B6" s="807"/>
      <c r="C6" s="818" t="s">
        <v>471</v>
      </c>
      <c r="D6" s="819">
        <f>D4-1</f>
        <v>43892</v>
      </c>
      <c r="E6" s="820">
        <f>'205 Worksheet'!E4</f>
        <v>1930</v>
      </c>
      <c r="F6" s="805"/>
      <c r="G6" s="795" t="s">
        <v>486</v>
      </c>
      <c r="H6" s="806">
        <f> IFERROR(vlookup(Concatenate("p4.",H$10),Order205,5,FALSE), "")</f>
        <v>151.34</v>
      </c>
      <c r="I6" s="806" t="str">
        <f> IFERROR(vlookup(Concatenate("p4.",I$10),Order205,5,FALSE), "")</f>
        <v/>
      </c>
      <c r="J6" s="806" t="str">
        <f> IFERROR(vlookup(Concatenate("p4.",J$10),Order205,5,FALSE), "")</f>
        <v/>
      </c>
      <c r="K6" s="806" t="str">
        <f> IFERROR(vlookup(Concatenate("p4.",K$10),Order205,5,FALSE), "")</f>
        <v/>
      </c>
      <c r="L6" s="806" t="str">
        <f> IFERROR(vlookup(Concatenate("p4.",L$10),Order205,5,FALSE), "")</f>
        <v/>
      </c>
      <c r="M6" s="806" t="str">
        <f> IFERROR(vlookup(Concatenate("p4.",M$10),Order205,5,FALSE), "")</f>
        <v/>
      </c>
      <c r="N6" s="806" t="str">
        <f> IFERROR(vlookup(Concatenate("p4.",N$10),Order205,5,FALSE), "")</f>
        <v/>
      </c>
      <c r="O6" s="806" t="str">
        <f> IFERROR(vlookup(Concatenate("p4.",O$10),Order205,5,FALSE), "")</f>
        <v/>
      </c>
      <c r="P6" s="806" t="str">
        <f> IFERROR(vlookup(Concatenate("p4.",P$10),Order205,5,FALSE), "")</f>
        <v/>
      </c>
      <c r="Q6" s="806" t="str">
        <f> IFERROR(vlookup(Concatenate("p4.",Q$10),Order205,5,FALSE), "")</f>
        <v/>
      </c>
      <c r="R6" s="806" t="str">
        <f> IFERROR(vlookup(Concatenate("p4.",R$10),Order205,5,FALSE), "")</f>
        <v/>
      </c>
      <c r="S6" s="806" t="str">
        <f> IFERROR(vlookup(Concatenate("p4.",S$10),Order205,5,FALSE), "")</f>
        <v/>
      </c>
      <c r="T6" s="806" t="str">
        <f> IFERROR(vlookup(Concatenate("p4.",T$10),Order205,5,FALSE), "")</f>
        <v/>
      </c>
      <c r="U6" s="806">
        <f> IFERROR(vlookup(Concatenate("p4.",U$10),Order205,5,FALSE), "")</f>
        <v>156.075</v>
      </c>
      <c r="V6" s="806">
        <f> IFERROR(vlookup(Concatenate("p4.",V$10),Order205,5,FALSE), "")</f>
        <v>168.325</v>
      </c>
      <c r="W6" s="806">
        <f> IFERROR(vlookup(Concatenate("p4.",W$10),Order205,5,FALSE), "")</f>
        <v>168.625</v>
      </c>
      <c r="X6" s="806" t="str">
        <f> IFERROR(vlookup(Concatenate("p4.",X$10),Order205,5,FALSE), "")</f>
        <v/>
      </c>
      <c r="Y6" s="806" t="str">
        <f> IFERROR(vlookup(Concatenate("p4.",Y$10),Order205,5,FALSE), "")</f>
        <v/>
      </c>
      <c r="Z6" s="806" t="str">
        <f> IFERROR(vlookup(Concatenate("p4.",Z$10),Order205,5,FALSE), "")</f>
        <v/>
      </c>
      <c r="AA6" s="806" t="str">
        <f> IFERROR(vlookup(Concatenate("p4.",AA$10),Order205,5,FALSE), "")</f>
        <v/>
      </c>
      <c r="AB6" s="807"/>
      <c r="AC6" s="807"/>
      <c r="AD6" s="807"/>
      <c r="AE6" s="821" t="s">
        <v>1135</v>
      </c>
    </row>
    <row r="7" ht="76.5" customHeight="1">
      <c r="A7" s="801"/>
      <c r="B7" s="807"/>
      <c r="D7" s="822" t="s">
        <v>1140</v>
      </c>
      <c r="E7" s="823" t="s">
        <v>1141</v>
      </c>
      <c r="F7" s="824"/>
      <c r="G7" s="795" t="s">
        <v>1133</v>
      </c>
      <c r="H7" s="806" t="str">
        <f> IFERROR(vlookup(Concatenate("p4.",H$10),Order205,3,FALSE), "")</f>
        <v>FIRE NET</v>
      </c>
      <c r="I7" s="806" t="str">
        <f> IFERROR(vlookup(Concatenate("p4.",I$10),Order205,3,FALSE), "")</f>
        <v/>
      </c>
      <c r="J7" s="806" t="str">
        <f> IFERROR(vlookup(Concatenate("p4.",J$10),Order205,3,FALSE), "")</f>
        <v/>
      </c>
      <c r="K7" s="806" t="str">
        <f> IFERROR(vlookup(Concatenate("p4.",K$10),Order205,3,FALSE), "")</f>
        <v/>
      </c>
      <c r="L7" s="806" t="str">
        <f> IFERROR(vlookup(Concatenate("p4.",L$10),Order205,3,FALSE), "")</f>
        <v/>
      </c>
      <c r="M7" s="806" t="str">
        <f> IFERROR(vlookup(Concatenate("p4.",M$10),Order205,3,FALSE), "")</f>
        <v/>
      </c>
      <c r="N7" s="806" t="str">
        <f> IFERROR(vlookup(Concatenate("p4.",N$10),Order205,3,FALSE), "")</f>
        <v/>
      </c>
      <c r="O7" s="806" t="str">
        <f> IFERROR(vlookup(Concatenate("p4.",O$10),Order205,3,FALSE), "")</f>
        <v/>
      </c>
      <c r="P7" s="806" t="str">
        <f> IFERROR(vlookup(Concatenate("p4.",P$10),Order205,3,FALSE), "")</f>
        <v/>
      </c>
      <c r="Q7" s="806" t="str">
        <f> IFERROR(vlookup(Concatenate("p4.",Q$10),Order205,3,FALSE), "")</f>
        <v/>
      </c>
      <c r="R7" s="806" t="str">
        <f> IFERROR(vlookup(Concatenate("p4.",R$10),Order205,3,FALSE), "")</f>
        <v/>
      </c>
      <c r="S7" s="806" t="str">
        <f> IFERROR(vlookup(Concatenate("p4.",S$10),Order205,3,FALSE), "")</f>
        <v/>
      </c>
      <c r="T7" s="806" t="str">
        <f> IFERROR(vlookup(Concatenate("p4.",T$10),Order205,3,FALSE), "")</f>
        <v/>
      </c>
      <c r="U7" s="806" t="str">
        <f> IFERROR(vlookup(Concatenate("p4.",U$10),Order205,3,FALSE), "")</f>
        <v>INCIDENT</v>
      </c>
      <c r="V7" s="806" t="str">
        <f> IFERROR(vlookup(Concatenate("p4.",V$10),Order205,3,FALSE), "")</f>
        <v>ALL DIVS</v>
      </c>
      <c r="W7" s="806" t="str">
        <f> IFERROR(vlookup(Concatenate("p4.",W$10),Order205,3,FALSE), "")</f>
        <v>EMERGENCY</v>
      </c>
      <c r="X7" s="806" t="str">
        <f> IFERROR(vlookup(Concatenate("p4.",X$10),Order205,3,FALSE), "")</f>
        <v/>
      </c>
      <c r="Y7" s="806" t="str">
        <f> IFERROR(vlookup(Concatenate("p4.",Y$10),Order205,3,FALSE), "")</f>
        <v/>
      </c>
      <c r="Z7" s="806" t="str">
        <f> IFERROR(vlookup(Concatenate("p4.",Z$10),Order205,3,FALSE), "")</f>
        <v/>
      </c>
      <c r="AA7" s="806" t="str">
        <f> IFERROR(vlookup(Concatenate("p4.",AA$10),Order205,3,FALSE), "")</f>
        <v/>
      </c>
      <c r="AB7" s="807"/>
      <c r="AC7" s="807"/>
      <c r="AD7" s="807"/>
      <c r="AE7" s="807"/>
    </row>
    <row r="8" ht="84.75" customHeight="1">
      <c r="A8" s="801"/>
      <c r="B8" s="807"/>
      <c r="C8" s="825" t="s">
        <v>282</v>
      </c>
      <c r="D8" s="826" t="str">
        <f>IncName</f>
        <v>NO NAME</v>
      </c>
      <c r="E8" s="827" t="str">
        <f>'205 Worksheet'!B94</f>
        <v>Page 4</v>
      </c>
      <c r="F8" s="828" t="s">
        <v>478</v>
      </c>
      <c r="G8" s="829" t="s">
        <v>352</v>
      </c>
      <c r="H8" s="836" t="str">
        <f> IF(ISERROR(vlookup(Concatenate("p4.",H10),Order205,2,FALSE)), "", vlookup(Concatenate("p4.",H10),Order205,2,FALSE))</f>
        <v>CDF C3</v>
      </c>
      <c r="I8" s="836" t="str">
        <f> IF(ISERROR(vlookup(Concatenate("p4.",I10),Order205,2,FALSE)), "", vlookup(Concatenate("p4.",I10),Order205,2,FALSE))</f>
        <v/>
      </c>
      <c r="J8" s="836" t="str">
        <f> IF(ISERROR(vlookup(Concatenate("p4.",J10),Order205,2,FALSE)), "", vlookup(Concatenate("p4.",J10),Order205,2,FALSE))</f>
        <v/>
      </c>
      <c r="K8" s="836" t="str">
        <f> IF(ISERROR(vlookup(Concatenate("p4.",K10),Order205,2,FALSE)), "", vlookup(Concatenate("p4.",K10),Order205,2,FALSE))</f>
        <v/>
      </c>
      <c r="L8" s="836" t="str">
        <f> IF(ISERROR(vlookup(Concatenate("p4.",L10),Order205,2,FALSE)), "", vlookup(Concatenate("p4.",L10),Order205,2,FALSE))</f>
        <v/>
      </c>
      <c r="M8" s="836" t="str">
        <f> IF(ISERROR(vlookup(Concatenate("p4.",M10),Order205,2,FALSE)), "", vlookup(Concatenate("p4.",M10),Order205,2,FALSE))</f>
        <v/>
      </c>
      <c r="N8" s="836" t="str">
        <f> IF(ISERROR(vlookup(Concatenate("p4.",N10),Order205,2,FALSE)), "", vlookup(Concatenate("p4.",N10),Order205,2,FALSE))</f>
        <v/>
      </c>
      <c r="O8" s="836" t="str">
        <f> IF(ISERROR(vlookup(Concatenate("p4.",O10),Order205,2,FALSE)), "", vlookup(Concatenate("p4.",O10),Order205,2,FALSE))</f>
        <v/>
      </c>
      <c r="P8" s="836" t="str">
        <f> IF(ISERROR(vlookup(Concatenate("p4.",P10),Order205,2,FALSE)), "", vlookup(Concatenate("p4.",P10),Order205,2,FALSE))</f>
        <v/>
      </c>
      <c r="Q8" s="836" t="str">
        <f> IF(ISERROR(vlookup(Concatenate("p4.",Q10),Order205,2,FALSE)), "", vlookup(Concatenate("p4.",Q10),Order205,2,FALSE))</f>
        <v/>
      </c>
      <c r="R8" s="836" t="str">
        <f> IF(ISERROR(vlookup(Concatenate("p4.",R10),Order205,2,FALSE)), "", vlookup(Concatenate("p4.",R10),Order205,2,FALSE))</f>
        <v/>
      </c>
      <c r="S8" s="836" t="str">
        <f> IF(ISERROR(vlookup(Concatenate("p4.",S10),Order205,2,FALSE)), "", vlookup(Concatenate("p4.",S10),Order205,2,FALSE))</f>
        <v/>
      </c>
      <c r="T8" s="836" t="str">
        <f> IF(ISERROR(vlookup(Concatenate("p4.",T10),Order205,2,FALSE)), "", vlookup(Concatenate("p4.",T10),Order205,2,FALSE))</f>
        <v/>
      </c>
      <c r="U8" s="836" t="str">
        <f> IF(ISERROR(vlookup(Concatenate("p4.",U10),Order205,2,FALSE)), "", vlookup(Concatenate("p4.",U10),Order205,2,FALSE))</f>
        <v>CALCORD</v>
      </c>
      <c r="V8" s="836" t="str">
        <f> IF(ISERROR(vlookup(Concatenate("p4.",V10),Order205,2,FALSE)), "", vlookup(Concatenate("p4.",V10),Order205,2,FALSE))</f>
        <v>A/G</v>
      </c>
      <c r="W8" s="836" t="str">
        <f> IF(ISERROR(vlookup(Concatenate("p4.",W10),Order205,2,FALSE)), "", vlookup(Concatenate("p4.",W10),Order205,2,FALSE))</f>
        <v>GUARD</v>
      </c>
      <c r="X8" s="836" t="str">
        <f> IF(ISERROR(vlookup(Concatenate("p4.",X10),Order205,2,FALSE)), "", vlookup(Concatenate("p4.",X10),Order205,2,FALSE))</f>
        <v/>
      </c>
      <c r="Y8" s="836" t="str">
        <f> IF(ISERROR(vlookup(Concatenate("p4.",Y10),Order205,2,FALSE)), "", vlookup(Concatenate("p4.",Y10),Order205,2,FALSE))</f>
        <v/>
      </c>
      <c r="Z8" s="836" t="str">
        <f> IF(ISERROR(vlookup(Concatenate("p4.",Z10),Order205,2,FALSE)), "", vlookup(Concatenate("p4.",Z10),Order205,2,FALSE))</f>
        <v/>
      </c>
      <c r="AA8" s="836" t="str">
        <f> IF(ISERROR(vlookup(Concatenate("p4.",AA10),Order205,2,FALSE)), "", vlookup(Concatenate("p4.",AA10),Order205,2,FALSE))</f>
        <v/>
      </c>
      <c r="AB8" s="807"/>
      <c r="AC8" s="807"/>
      <c r="AD8" s="807"/>
      <c r="AE8" s="807"/>
    </row>
    <row r="9" ht="101.25" customHeight="1">
      <c r="A9" s="801"/>
      <c r="B9" s="807"/>
      <c r="C9" s="166"/>
      <c r="E9" s="94"/>
      <c r="F9" s="807"/>
      <c r="G9" s="830" t="s">
        <v>485</v>
      </c>
      <c r="H9" s="837" t="str">
        <f> IF(ISERROR(vlookup(Concatenate("p4.",H10),Order205,4,FALSE)), "", vlookup(Concatenate("p4.",H10),Order205,4,FALSE))</f>
        <v>COMMAND</v>
      </c>
      <c r="I9" s="837" t="str">
        <f> IF(ISERROR(vlookup(Concatenate("p4.",I10),Order205,4,FALSE)), "", vlookup(Concatenate("p4.",I10),Order205,4,FALSE))</f>
        <v/>
      </c>
      <c r="J9" s="837" t="str">
        <f> IF(ISERROR(vlookup(Concatenate("p4.",J10),Order205,4,FALSE)), "", vlookup(Concatenate("p4.",J10),Order205,4,FALSE))</f>
        <v/>
      </c>
      <c r="K9" s="837" t="str">
        <f> IF(ISERROR(vlookup(Concatenate("p4.",K10),Order205,4,FALSE)), "", vlookup(Concatenate("p4.",K10),Order205,4,FALSE))</f>
        <v/>
      </c>
      <c r="L9" s="837" t="str">
        <f> IF(ISERROR(vlookup(Concatenate("p4.",L10),Order205,4,FALSE)), "", vlookup(Concatenate("p4.",L10),Order205,4,FALSE))</f>
        <v/>
      </c>
      <c r="M9" s="837" t="str">
        <f> IF(ISERROR(vlookup(Concatenate("p4.",M10),Order205,4,FALSE)), "", vlookup(Concatenate("p4.",M10),Order205,4,FALSE))</f>
        <v/>
      </c>
      <c r="N9" s="837" t="str">
        <f> IF(ISERROR(vlookup(Concatenate("p4.",N10),Order205,4,FALSE)), "", vlookup(Concatenate("p4.",N10),Order205,4,FALSE))</f>
        <v/>
      </c>
      <c r="O9" s="837" t="str">
        <f> IF(ISERROR(vlookup(Concatenate("p4.",O10),Order205,4,FALSE)), "", vlookup(Concatenate("p4.",O10),Order205,4,FALSE))</f>
        <v/>
      </c>
      <c r="P9" s="837" t="str">
        <f> IF(ISERROR(vlookup(Concatenate("p4.",P10),Order205,4,FALSE)), "", vlookup(Concatenate("p4.",P10),Order205,4,FALSE))</f>
        <v/>
      </c>
      <c r="Q9" s="837" t="str">
        <f> IF(ISERROR(vlookup(Concatenate("p4.",Q10),Order205,4,FALSE)), "", vlookup(Concatenate("p4.",Q10),Order205,4,FALSE))</f>
        <v/>
      </c>
      <c r="R9" s="837" t="str">
        <f> IF(ISERROR(vlookup(Concatenate("p4.",R10),Order205,4,FALSE)), "", vlookup(Concatenate("p4.",R10),Order205,4,FALSE))</f>
        <v/>
      </c>
      <c r="S9" s="837" t="str">
        <f> IF(ISERROR(vlookup(Concatenate("p4.",S10),Order205,4,FALSE)), "", vlookup(Concatenate("p4.",S10),Order205,4,FALSE))</f>
        <v/>
      </c>
      <c r="T9" s="837" t="str">
        <f> IF(ISERROR(vlookup(Concatenate("p4.",T10),Order205,4,FALSE)), "", vlookup(Concatenate("p4.",T10),Order205,4,FALSE))</f>
        <v/>
      </c>
      <c r="U9" s="837" t="str">
        <f> IF(ISERROR(vlookup(Concatenate("p4.",U10),Order205,4,FALSE)), "", vlookup(Concatenate("p4.",U10),Order205,4,FALSE))</f>
        <v>TACTICAL</v>
      </c>
      <c r="V9" s="837" t="str">
        <f> IF(ISERROR(vlookup(Concatenate("p4.",V10),Order205,4,FALSE)), "", vlookup(Concatenate("p4.",V10),Order205,4,FALSE))</f>
        <v>A/G</v>
      </c>
      <c r="W9" s="837" t="str">
        <f> IF(ISERROR(vlookup(Concatenate("p4.",W10),Order205,4,FALSE)), "", vlookup(Concatenate("p4.",W10),Order205,4,FALSE))</f>
        <v>AIRGUARD</v>
      </c>
      <c r="X9" s="837" t="str">
        <f> IF(ISERROR(vlookup(Concatenate("p4.",X10),Order205,4,FALSE)), "", vlookup(Concatenate("p4.",X10),Order205,4,FALSE))</f>
        <v/>
      </c>
      <c r="Y9" s="837" t="str">
        <f> IF(ISERROR(vlookup(Concatenate("p4.",Y10),Order205,4,FALSE)), "", vlookup(Concatenate("p4.",Y10),Order205,4,FALSE))</f>
        <v/>
      </c>
      <c r="Z9" s="837" t="str">
        <f> IF(ISERROR(vlookup(Concatenate("p4.",Z10),Order205,4,FALSE)), "", vlookup(Concatenate("p4.",Z10),Order205,4,FALSE))</f>
        <v/>
      </c>
      <c r="AA9" s="837" t="str">
        <f> IF(ISERROR(vlookup(Concatenate("p4.",AA10),Order205,4,FALSE)), "", vlookup(Concatenate("p4.",AA10),Order205,4,FALSE))</f>
        <v/>
      </c>
      <c r="AB9" s="807"/>
      <c r="AC9" s="807"/>
      <c r="AD9" s="807"/>
      <c r="AE9" s="807"/>
    </row>
    <row r="10" ht="30.0" customHeight="1">
      <c r="A10" s="801"/>
      <c r="B10" s="813"/>
      <c r="C10" s="104"/>
      <c r="D10" s="77"/>
      <c r="E10" s="55"/>
      <c r="F10" s="813"/>
      <c r="G10" s="838" t="s">
        <v>1132</v>
      </c>
      <c r="H10" s="831">
        <v>1.0</v>
      </c>
      <c r="I10" s="831">
        <v>2.0</v>
      </c>
      <c r="J10" s="831">
        <v>3.0</v>
      </c>
      <c r="K10" s="831">
        <v>4.0</v>
      </c>
      <c r="L10" s="831">
        <v>5.0</v>
      </c>
      <c r="M10" s="831">
        <v>6.0</v>
      </c>
      <c r="N10" s="831">
        <v>7.0</v>
      </c>
      <c r="O10" s="831">
        <v>8.0</v>
      </c>
      <c r="P10" s="831">
        <v>9.0</v>
      </c>
      <c r="Q10" s="831">
        <v>10.0</v>
      </c>
      <c r="R10" s="831">
        <v>11.0</v>
      </c>
      <c r="S10" s="831">
        <v>12.0</v>
      </c>
      <c r="T10" s="831">
        <v>13.0</v>
      </c>
      <c r="U10" s="831">
        <v>14.0</v>
      </c>
      <c r="V10" s="831">
        <v>15.0</v>
      </c>
      <c r="W10" s="831">
        <v>16.0</v>
      </c>
      <c r="X10" s="831">
        <v>17.0</v>
      </c>
      <c r="Y10" s="831">
        <v>18.0</v>
      </c>
      <c r="Z10" s="831">
        <v>19.0</v>
      </c>
      <c r="AA10" s="831">
        <v>20.0</v>
      </c>
      <c r="AB10" s="813"/>
      <c r="AC10" s="813"/>
      <c r="AD10" s="813"/>
      <c r="AE10" s="813"/>
    </row>
    <row r="11" ht="9.75" customHeight="1">
      <c r="A11" s="801"/>
      <c r="B11" s="801"/>
      <c r="C11" s="818"/>
      <c r="D11" s="826"/>
      <c r="E11" s="826"/>
      <c r="F11" s="832"/>
      <c r="G11" s="833"/>
      <c r="H11" s="833"/>
      <c r="I11" s="833"/>
      <c r="J11" s="833"/>
      <c r="K11" s="833"/>
      <c r="L11" s="833"/>
      <c r="M11" s="833"/>
      <c r="N11" s="833"/>
      <c r="O11" s="833"/>
      <c r="P11" s="833"/>
      <c r="Q11" s="833"/>
      <c r="R11" s="833"/>
      <c r="S11" s="833"/>
      <c r="T11" s="833"/>
      <c r="U11" s="833"/>
      <c r="V11" s="833"/>
      <c r="W11" s="833"/>
      <c r="X11" s="833"/>
      <c r="Y11" s="833"/>
      <c r="Z11" s="833"/>
      <c r="AA11" s="833"/>
    </row>
  </sheetData>
  <mergeCells count="12">
    <mergeCell ref="C6:C7"/>
    <mergeCell ref="C8:C10"/>
    <mergeCell ref="D8:D10"/>
    <mergeCell ref="E8:E10"/>
    <mergeCell ref="C1:C5"/>
    <mergeCell ref="AB1:AB10"/>
    <mergeCell ref="AC1:AC10"/>
    <mergeCell ref="AD1:AD4"/>
    <mergeCell ref="B3:B10"/>
    <mergeCell ref="AD5:AD10"/>
    <mergeCell ref="AE6:AE10"/>
    <mergeCell ref="F8:F10"/>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1" width="1.25"/>
    <col customWidth="1" min="2" max="2" width="5.75"/>
    <col customWidth="1" min="3" max="31" width="3.75"/>
  </cols>
  <sheetData>
    <row r="1" ht="247.5" customHeight="1">
      <c r="A1" s="789"/>
      <c r="B1" s="790" t="s">
        <v>414</v>
      </c>
      <c r="C1" s="791" t="s">
        <v>472</v>
      </c>
      <c r="D1" s="792">
        <f>OpDateTo</f>
        <v>43894</v>
      </c>
      <c r="E1" s="793" t="str">
        <f>OpEnd</f>
        <v>0700</v>
      </c>
      <c r="F1" s="794"/>
      <c r="G1" s="795" t="s">
        <v>434</v>
      </c>
      <c r="H1" s="796" t="str">
        <f> IF(ISERROR(vlookup(Concatenate("p5.",H10),Order205,10,FALSE)), "", vlookup(Concatenate("p5.",H10),Order205,10,FALSE))</f>
        <v/>
      </c>
      <c r="I1" s="796" t="str">
        <f> IF(ISERROR(vlookup(Concatenate("p5.",I10),Order205,10,FALSE)), "", vlookup(Concatenate("p5.",I10),Order205,10,FALSE))</f>
        <v/>
      </c>
      <c r="J1" s="796" t="str">
        <f> IF(ISERROR(vlookup(Concatenate("p5.",J10),Order205,10,FALSE)), "", vlookup(Concatenate("p5.",J10),Order205,10,FALSE))</f>
        <v/>
      </c>
      <c r="K1" s="796" t="str">
        <f> IF(ISERROR(vlookup(Concatenate("p5.",K10),Order205,10,FALSE)), "", vlookup(Concatenate("p5.",K10),Order205,10,FALSE))</f>
        <v/>
      </c>
      <c r="L1" s="796" t="str">
        <f> IF(ISERROR(vlookup(Concatenate("p5.",L10),Order205,10,FALSE)), "", vlookup(Concatenate("p5.",L10),Order205,10,FALSE))</f>
        <v/>
      </c>
      <c r="M1" s="796" t="str">
        <f> IF(ISERROR(vlookup(Concatenate("p5.",M10),Order205,10,FALSE)), "", vlookup(Concatenate("p5.",M10),Order205,10,FALSE))</f>
        <v/>
      </c>
      <c r="N1" s="796" t="str">
        <f> IF(ISERROR(vlookup(Concatenate("p5.",N10),Order205,10,FALSE)), "", vlookup(Concatenate("p5.",N10),Order205,10,FALSE))</f>
        <v/>
      </c>
      <c r="O1" s="796" t="str">
        <f> IF(ISERROR(vlookup(Concatenate("p5.",O10),Order205,10,FALSE)), "", vlookup(Concatenate("p5.",O10),Order205,10,FALSE))</f>
        <v/>
      </c>
      <c r="P1" s="796" t="str">
        <f> IF(ISERROR(vlookup(Concatenate("p5.",P10),Order205,10,FALSE)), "", vlookup(Concatenate("p5.",P10),Order205,10,FALSE))</f>
        <v/>
      </c>
      <c r="Q1" s="796" t="str">
        <f> IF(ISERROR(vlookup(Concatenate("p5.",Q10),Order205,10,FALSE)), "", vlookup(Concatenate("p5.",Q10),Order205,10,FALSE))</f>
        <v/>
      </c>
      <c r="R1" s="796" t="str">
        <f> IF(ISERROR(vlookup(Concatenate("p5.",R10),Order205,10,FALSE)), "", vlookup(Concatenate("p5.",R10),Order205,10,FALSE))</f>
        <v/>
      </c>
      <c r="S1" s="796" t="str">
        <f> IF(ISERROR(vlookup(Concatenate("p5.",S10),Order205,10,FALSE)), "", vlookup(Concatenate("p5.",S10),Order205,10,FALSE))</f>
        <v/>
      </c>
      <c r="T1" s="796" t="str">
        <f> IF(ISERROR(vlookup(Concatenate("p5.",T10),Order205,10,FALSE)), "", vlookup(Concatenate("p5.",T10),Order205,10,FALSE))</f>
        <v/>
      </c>
      <c r="U1" s="796" t="str">
        <f> IF(ISERROR(vlookup(Concatenate("p5.",U10),Order205,10,FALSE)), "", vlookup(Concatenate("p5.",U10),Order205,10,FALSE))</f>
        <v/>
      </c>
      <c r="V1" s="796" t="str">
        <f> IF(ISERROR(vlookup(Concatenate("p5.",V10),Order205,10,FALSE)), "", vlookup(Concatenate("p5.",V10),Order205,10,FALSE))</f>
        <v/>
      </c>
      <c r="W1" s="796" t="str">
        <f> IF(ISERROR(vlookup(Concatenate("p5.",W10),Order205,10,FALSE)), "", vlookup(Concatenate("p5.",W10),Order205,10,FALSE))</f>
        <v/>
      </c>
      <c r="X1" s="796" t="str">
        <f> IF(ISERROR(vlookup(Concatenate("p5.",X10),Order205,10,FALSE)), "", vlookup(Concatenate("p5.",X10),Order205,10,FALSE))</f>
        <v/>
      </c>
      <c r="Y1" s="796" t="str">
        <f> IF(ISERROR(vlookup(Concatenate("p5.",Y10),Order205,10,FALSE)), "", vlookup(Concatenate("p5.",Y10),Order205,10,FALSE))</f>
        <v/>
      </c>
      <c r="Z1" s="796" t="str">
        <f> IF(ISERROR(vlookup(Concatenate("p5.",Z10),Order205,10,FALSE)), "", vlookup(Concatenate("p5.",Z10),Order205,10,FALSE))</f>
        <v/>
      </c>
      <c r="AA1" s="796" t="str">
        <f> IF(ISERROR(vlookup(Concatenate("p5.",AA10),Order205,10,FALSE)), "", vlookup(Concatenate("p5.",AA10),Order205,10,FALSE))</f>
        <v/>
      </c>
      <c r="AB1" s="797" t="s">
        <v>558</v>
      </c>
      <c r="AC1" s="798" t="str">
        <f>'205 Worksheet'!A148</f>
        <v>This is a test</v>
      </c>
      <c r="AD1" s="799" t="s">
        <v>1136</v>
      </c>
      <c r="AE1" s="800">
        <f>E6</f>
        <v>1930</v>
      </c>
    </row>
    <row r="2" ht="64.5" customHeight="1">
      <c r="A2" s="801"/>
      <c r="B2" s="802"/>
      <c r="C2" s="166"/>
      <c r="D2" s="803"/>
      <c r="E2" s="804"/>
      <c r="F2" s="805"/>
      <c r="G2" s="795" t="s">
        <v>433</v>
      </c>
      <c r="H2" s="834" t="str">
        <f> IF(ISERROR(vlookup(Concatenate("p5.",H10),Order205,9,FALSE)), "", vlookup(Concatenate("p5.",H10),Order205,9,FALSE))</f>
        <v>A</v>
      </c>
      <c r="I2" s="806" t="str">
        <f> IF(ISERROR(vlookup(Concatenate("p5.",I10),Order205,9,FALSE)), "", vlookup(Concatenate("p5.",I10),Order205,9,FALSE))</f>
        <v/>
      </c>
      <c r="J2" s="806" t="str">
        <f> IF(ISERROR(vlookup(Concatenate("p5.",J10),Order205,9,FALSE)), "", vlookup(Concatenate("p5.",J10),Order205,9,FALSE))</f>
        <v/>
      </c>
      <c r="K2" s="806" t="str">
        <f> IF(ISERROR(vlookup(Concatenate("p5.",K10),Order205,9,FALSE)), "", vlookup(Concatenate("p5.",K10),Order205,9,FALSE))</f>
        <v/>
      </c>
      <c r="L2" s="806" t="str">
        <f> IF(ISERROR(vlookup(Concatenate("p5.",L10),Order205,9,FALSE)), "", vlookup(Concatenate("p5.",L10),Order205,9,FALSE))</f>
        <v/>
      </c>
      <c r="M2" s="806" t="str">
        <f> IF(ISERROR(vlookup(Concatenate("p5.",M10),Order205,9,FALSE)), "", vlookup(Concatenate("p5.",M10),Order205,9,FALSE))</f>
        <v/>
      </c>
      <c r="N2" s="806" t="str">
        <f> IF(ISERROR(vlookup(Concatenate("p5.",N10),Order205,9,FALSE)), "", vlookup(Concatenate("p5.",N10),Order205,9,FALSE))</f>
        <v/>
      </c>
      <c r="O2" s="806" t="str">
        <f> IF(ISERROR(vlookup(Concatenate("p5.",O10),Order205,9,FALSE)), "", vlookup(Concatenate("p5.",O10),Order205,9,FALSE))</f>
        <v/>
      </c>
      <c r="P2" s="806" t="str">
        <f> IF(ISERROR(vlookup(Concatenate("p5.",P10),Order205,9,FALSE)), "", vlookup(Concatenate("p5.",P10),Order205,9,FALSE))</f>
        <v/>
      </c>
      <c r="Q2" s="806" t="str">
        <f> IF(ISERROR(vlookup(Concatenate("p5.",Q10),Order205,9,FALSE)), "", vlookup(Concatenate("p5.",Q10),Order205,9,FALSE))</f>
        <v/>
      </c>
      <c r="R2" s="806" t="str">
        <f> IF(ISERROR(vlookup(Concatenate("p5.",R10),Order205,9,FALSE)), "", vlookup(Concatenate("p5.",R10),Order205,9,FALSE))</f>
        <v/>
      </c>
      <c r="S2" s="806" t="str">
        <f> IF(ISERROR(vlookup(Concatenate("p5.",S10),Order205,9,FALSE)), "", vlookup(Concatenate("p5.",S10),Order205,9,FALSE))</f>
        <v/>
      </c>
      <c r="T2" s="806" t="str">
        <f> IF(ISERROR(vlookup(Concatenate("p5.",T10),Order205,9,FALSE)), "", vlookup(Concatenate("p5.",T10),Order205,9,FALSE))</f>
        <v/>
      </c>
      <c r="U2" s="834" t="str">
        <f> IF(ISERROR(vlookup(Concatenate("p5.",U10),Order205,9,FALSE)), "", vlookup(Concatenate("p5.",U10),Order205,9,FALSE))</f>
        <v>A</v>
      </c>
      <c r="V2" s="834" t="str">
        <f> IF(ISERROR(vlookup(Concatenate("p5.",V10),Order205,9,FALSE)), "", vlookup(Concatenate("p5.",V10),Order205,9,FALSE))</f>
        <v>A</v>
      </c>
      <c r="W2" s="834" t="str">
        <f> IF(ISERROR(vlookup(Concatenate("p5.",W10),Order205,9,FALSE)), "", vlookup(Concatenate("p5.",W10),Order205,9,FALSE))</f>
        <v>A</v>
      </c>
      <c r="X2" s="806" t="str">
        <f> IF(ISERROR(vlookup(Concatenate("p5.",X10),Order205,9,FALSE)), "", vlookup(Concatenate("p5.",X10),Order205,9,FALSE))</f>
        <v/>
      </c>
      <c r="Y2" s="806" t="str">
        <f> IF(ISERROR(vlookup(Concatenate("p5.",Y10),Order205,9,FALSE)), "", vlookup(Concatenate("p5.",Y10),Order205,9,FALSE))</f>
        <v/>
      </c>
      <c r="Z2" s="806" t="str">
        <f> IF(ISERROR(vlookup(Concatenate("p5.",Z10),Order205,9,FALSE)), "", vlookup(Concatenate("p5.",Z10),Order205,9,FALSE))</f>
        <v/>
      </c>
      <c r="AA2" s="806" t="str">
        <f> IF(ISERROR(vlookup(Concatenate("p5.",AA10),Order205,9,FALSE)), "", vlookup(Concatenate("p5.",AA10),Order205,9,FALSE))</f>
        <v/>
      </c>
      <c r="AB2" s="807"/>
      <c r="AC2" s="807"/>
      <c r="AD2" s="807"/>
      <c r="AE2" s="808"/>
    </row>
    <row r="3" ht="64.5" customHeight="1">
      <c r="A3" s="801"/>
      <c r="B3" s="809" t="s">
        <v>1137</v>
      </c>
      <c r="C3" s="166"/>
      <c r="D3" s="803" t="s">
        <v>130</v>
      </c>
      <c r="E3" s="804" t="s">
        <v>133</v>
      </c>
      <c r="F3" s="805"/>
      <c r="G3" s="795" t="s">
        <v>489</v>
      </c>
      <c r="H3" s="806" t="str">
        <f> IFERROR(vlookup(Concatenate("p5.",H$10),Order205,8,FALSE), "")</f>
        <v>OST</v>
      </c>
      <c r="I3" s="806" t="str">
        <f> IFERROR(vlookup(Concatenate("p5.",I10),Order205,8,FALSE), "")</f>
        <v/>
      </c>
      <c r="J3" s="806" t="str">
        <f> IFERROR(vlookup(Concatenate("p5.",J10),Order205,8,FALSE), "")</f>
        <v/>
      </c>
      <c r="K3" s="806" t="str">
        <f> IFERROR(vlookup(Concatenate("p5.",K10),Order205,8,FALSE), "")</f>
        <v/>
      </c>
      <c r="L3" s="806" t="str">
        <f> IFERROR(vlookup(Concatenate("p5.",L10),Order205,8,FALSE), "")</f>
        <v/>
      </c>
      <c r="M3" s="806" t="str">
        <f> IFERROR(vlookup(Concatenate("p5.",M10),Order205,8,FALSE), "")</f>
        <v/>
      </c>
      <c r="N3" s="806" t="str">
        <f> IFERROR(vlookup(Concatenate("p5.",N10),Order205,8,FALSE), "")</f>
        <v/>
      </c>
      <c r="O3" s="806" t="str">
        <f> IFERROR(vlookup(Concatenate("p5.",O10),Order205,8,FALSE), "")</f>
        <v/>
      </c>
      <c r="P3" s="806" t="str">
        <f> IFERROR(vlookup(Concatenate("p5.",P10),Order205,8,FALSE), "")</f>
        <v/>
      </c>
      <c r="Q3" s="806" t="str">
        <f> IFERROR(vlookup(Concatenate("p5.",Q10),Order205,8,FALSE), "")</f>
        <v/>
      </c>
      <c r="R3" s="806" t="str">
        <f> IFERROR(vlookup(Concatenate("p5.",R10),Order205,8,FALSE), "")</f>
        <v/>
      </c>
      <c r="S3" s="806" t="str">
        <f> IFERROR(vlookup(Concatenate("p5.",S10),Order205,8,FALSE), "")</f>
        <v/>
      </c>
      <c r="T3" s="806" t="str">
        <f> IFERROR(vlookup(Concatenate("p5.",T10),Order205,8,FALSE), "")</f>
        <v/>
      </c>
      <c r="U3" s="806" t="str">
        <f> IFERROR(vlookup(Concatenate("p5.",U10),Order205,8,FALSE), "")</f>
        <v>(T6)  156.7</v>
      </c>
      <c r="V3" s="806">
        <f> IFERROR(vlookup(Concatenate("p5.",V10),Order205,8,FALSE), "")</f>
        <v>0</v>
      </c>
      <c r="W3" s="806" t="str">
        <f> IFERROR(vlookup(Concatenate("p5.",W10),Order205,8,FALSE), "")</f>
        <v>(T1)  110.9</v>
      </c>
      <c r="X3" s="806" t="str">
        <f> IFERROR(vlookup(Concatenate("p5.",X10),Order205,8,FALSE), "")</f>
        <v/>
      </c>
      <c r="Y3" s="806" t="str">
        <f> IFERROR(vlookup(Concatenate("p5.",Y10),Order205,8,FALSE), "")</f>
        <v/>
      </c>
      <c r="Z3" s="806" t="str">
        <f> IFERROR(vlookup(Concatenate("p5.",Z10),Order205,8,FALSE), "")</f>
        <v/>
      </c>
      <c r="AA3" s="806" t="str">
        <f> IFERROR(vlookup(Concatenate("p5.",AA10),Order205,8,FALSE), "")</f>
        <v/>
      </c>
      <c r="AB3" s="807"/>
      <c r="AC3" s="807"/>
      <c r="AD3" s="807"/>
      <c r="AE3" s="810">
        <f>D6</f>
        <v>43892</v>
      </c>
    </row>
    <row r="4" ht="69.0" customHeight="1">
      <c r="A4" s="801"/>
      <c r="B4" s="807"/>
      <c r="C4" s="166"/>
      <c r="D4" s="811">
        <f>OpDate</f>
        <v>43893</v>
      </c>
      <c r="E4" s="812" t="str">
        <f>OpStart</f>
        <v>0700</v>
      </c>
      <c r="F4" s="805"/>
      <c r="G4" s="795" t="s">
        <v>488</v>
      </c>
      <c r="H4" s="806">
        <f> IFERROR(vlookup(Concatenate("p5.",H$10),Order205,7,FALSE), "")</f>
        <v>159.375</v>
      </c>
      <c r="I4" s="806" t="str">
        <f> IFERROR(vlookup(Concatenate("p5.",I$10),Order205,7,FALSE), "")</f>
        <v/>
      </c>
      <c r="J4" s="806" t="str">
        <f> IFERROR(vlookup(Concatenate("p5.",J$10),Order205,7,FALSE), "")</f>
        <v/>
      </c>
      <c r="K4" s="806" t="str">
        <f> IFERROR(vlookup(Concatenate("p5.",K$10),Order205,7,FALSE), "")</f>
        <v/>
      </c>
      <c r="L4" s="806" t="str">
        <f> IFERROR(vlookup(Concatenate("p5.",L$10),Order205,7,FALSE), "")</f>
        <v/>
      </c>
      <c r="M4" s="806" t="str">
        <f> IFERROR(vlookup(Concatenate("p5.",M$10),Order205,7,FALSE), "")</f>
        <v/>
      </c>
      <c r="N4" s="806" t="str">
        <f> IFERROR(vlookup(Concatenate("p5.",N$10),Order205,7,FALSE), "")</f>
        <v/>
      </c>
      <c r="O4" s="806" t="str">
        <f> IFERROR(vlookup(Concatenate("p5.",O$10),Order205,7,FALSE), "")</f>
        <v/>
      </c>
      <c r="P4" s="806" t="str">
        <f> IFERROR(vlookup(Concatenate("p5.",P$10),Order205,7,FALSE), "")</f>
        <v/>
      </c>
      <c r="Q4" s="806" t="str">
        <f> IFERROR(vlookup(Concatenate("p5.",Q$10),Order205,7,FALSE), "")</f>
        <v/>
      </c>
      <c r="R4" s="806" t="str">
        <f> IFERROR(vlookup(Concatenate("p5.",R$10),Order205,7,FALSE), "")</f>
        <v/>
      </c>
      <c r="S4" s="806" t="str">
        <f> IFERROR(vlookup(Concatenate("p5.",S$10),Order205,7,FALSE), "")</f>
        <v/>
      </c>
      <c r="T4" s="806" t="str">
        <f> IFERROR(vlookup(Concatenate("p5.",T$10),Order205,7,FALSE), "")</f>
        <v/>
      </c>
      <c r="U4" s="806">
        <f> IFERROR(vlookup(Concatenate("p5.",U$10),Order205,7,FALSE), "")</f>
        <v>156.075</v>
      </c>
      <c r="V4" s="806">
        <f> IFERROR(vlookup(Concatenate("p5.",V$10),Order205,7,FALSE), "")</f>
        <v>168.325</v>
      </c>
      <c r="W4" s="806">
        <f> IFERROR(vlookup(Concatenate("p5.",W$10),Order205,7,FALSE), "")</f>
        <v>168.625</v>
      </c>
      <c r="X4" s="806" t="str">
        <f> IFERROR(vlookup(Concatenate("p5.",X$10),Order205,7,FALSE), "")</f>
        <v/>
      </c>
      <c r="Y4" s="806" t="str">
        <f> IFERROR(vlookup(Concatenate("p5.",Y$10),Order205,7,FALSE), "")</f>
        <v/>
      </c>
      <c r="Z4" s="806" t="str">
        <f> IFERROR(vlookup(Concatenate("p5.",Z$10),Order205,7,FALSE), "")</f>
        <v/>
      </c>
      <c r="AA4" s="806" t="str">
        <f> IFERROR(vlookup(Concatenate("p5.",AA$10),Order205,7,FALSE), "")</f>
        <v/>
      </c>
      <c r="AB4" s="807"/>
      <c r="AC4" s="807"/>
      <c r="AD4" s="813"/>
      <c r="AE4" s="814" t="s">
        <v>389</v>
      </c>
    </row>
    <row r="5" ht="60.0" customHeight="1">
      <c r="A5" s="801"/>
      <c r="B5" s="807"/>
      <c r="C5" s="104"/>
      <c r="D5" s="815" t="s">
        <v>1138</v>
      </c>
      <c r="E5" s="816" t="s">
        <v>1139</v>
      </c>
      <c r="F5" s="805"/>
      <c r="G5" s="795" t="s">
        <v>487</v>
      </c>
      <c r="H5" s="806" t="str">
        <f> IFERROR(vlookup(Concatenate("p5.",H$10),Order205,6,FALSE), "")</f>
        <v>(T8)  103.5</v>
      </c>
      <c r="I5" s="806" t="str">
        <f> IFERROR(vlookup(Concatenate("p5.",I$10),Order205,6,FALSE), "")</f>
        <v/>
      </c>
      <c r="J5" s="806" t="str">
        <f> IFERROR(vlookup(Concatenate("p5.",J$10),Order205,6,FALSE), "")</f>
        <v/>
      </c>
      <c r="K5" s="806" t="str">
        <f> IFERROR(vlookup(Concatenate("p5.",K$10),Order205,6,FALSE), "")</f>
        <v/>
      </c>
      <c r="L5" s="806" t="str">
        <f> IFERROR(vlookup(Concatenate("p5.",L$10),Order205,6,FALSE), "")</f>
        <v/>
      </c>
      <c r="M5" s="806" t="str">
        <f> IFERROR(vlookup(Concatenate("p5.",M$10),Order205,6,FALSE), "")</f>
        <v/>
      </c>
      <c r="N5" s="806" t="str">
        <f> IFERROR(vlookup(Concatenate("p5.",N$10),Order205,6,FALSE), "")</f>
        <v/>
      </c>
      <c r="O5" s="806" t="str">
        <f> IFERROR(vlookup(Concatenate("p5.",O$10),Order205,6,FALSE), "")</f>
        <v/>
      </c>
      <c r="P5" s="806" t="str">
        <f> IFERROR(vlookup(Concatenate("p5.",P$10),Order205,6,FALSE), "")</f>
        <v/>
      </c>
      <c r="Q5" s="806" t="str">
        <f> IFERROR(vlookup(Concatenate("p5.",Q$10),Order205,6,FALSE), "")</f>
        <v/>
      </c>
      <c r="R5" s="806" t="str">
        <f> IFERROR(vlookup(Concatenate("p5.",R$10),Order205,6,FALSE), "")</f>
        <v/>
      </c>
      <c r="S5" s="806" t="str">
        <f> IFERROR(vlookup(Concatenate("p5.",S$10),Order205,6,FALSE), "")</f>
        <v/>
      </c>
      <c r="T5" s="806" t="str">
        <f> IFERROR(vlookup(Concatenate("p5.",T$10),Order205,6,FALSE), "")</f>
        <v/>
      </c>
      <c r="U5" s="806" t="str">
        <f> IFERROR(vlookup(Concatenate("p5.",U$10),Order205,6,FALSE), "")</f>
        <v>(T6)  156.7</v>
      </c>
      <c r="V5" s="806" t="str">
        <f> IFERROR(vlookup(Concatenate("p5.",V$10),Order205,6,FALSE), "")</f>
        <v/>
      </c>
      <c r="W5" s="806">
        <f> IFERROR(vlookup(Concatenate("p5.",W$10),Order205,6,FALSE), "")</f>
        <v>0</v>
      </c>
      <c r="X5" s="806" t="str">
        <f> IFERROR(vlookup(Concatenate("p5.",X$10),Order205,6,FALSE), "")</f>
        <v/>
      </c>
      <c r="Y5" s="806" t="str">
        <f> IFERROR(vlookup(Concatenate("p5.",Y$10),Order205,6,FALSE), "")</f>
        <v/>
      </c>
      <c r="Z5" s="806" t="str">
        <f> IFERROR(vlookup(Concatenate("p5.",Z$10),Order205,6,FALSE), "")</f>
        <v/>
      </c>
      <c r="AA5" s="806" t="str">
        <f> IFERROR(vlookup(Concatenate("p5.",AA$10),Order205,6,FALSE), "")</f>
        <v/>
      </c>
      <c r="AB5" s="807"/>
      <c r="AC5" s="807"/>
      <c r="AD5" s="798" t="str">
        <f>Concatenate("6. Prepared by (Communications Unit Leader): Name: ", '205 Worksheet'!E150) </f>
        <v>6. Prepared by (Communications Unit Leader): Name: </v>
      </c>
      <c r="AE5" s="817" t="s">
        <v>332</v>
      </c>
    </row>
    <row r="6" ht="70.5" customHeight="1">
      <c r="A6" s="801"/>
      <c r="B6" s="807"/>
      <c r="C6" s="818" t="s">
        <v>471</v>
      </c>
      <c r="D6" s="819">
        <f>D4-1</f>
        <v>43892</v>
      </c>
      <c r="E6" s="820">
        <f>'205 Worksheet'!E4</f>
        <v>1930</v>
      </c>
      <c r="F6" s="805"/>
      <c r="G6" s="795" t="s">
        <v>486</v>
      </c>
      <c r="H6" s="806">
        <f> IFERROR(vlookup(Concatenate("p5.",H$10),Order205,5,FALSE), "")</f>
        <v>151.4</v>
      </c>
      <c r="I6" s="806" t="str">
        <f> IFERROR(vlookup(Concatenate("p5.",I$10),Order205,5,FALSE), "")</f>
        <v/>
      </c>
      <c r="J6" s="806" t="str">
        <f> IFERROR(vlookup(Concatenate("p5.",J$10),Order205,5,FALSE), "")</f>
        <v/>
      </c>
      <c r="K6" s="806" t="str">
        <f> IFERROR(vlookup(Concatenate("p5.",K$10),Order205,5,FALSE), "")</f>
        <v/>
      </c>
      <c r="L6" s="806" t="str">
        <f> IFERROR(vlookup(Concatenate("p5.",L$10),Order205,5,FALSE), "")</f>
        <v/>
      </c>
      <c r="M6" s="806" t="str">
        <f> IFERROR(vlookup(Concatenate("p5.",M$10),Order205,5,FALSE), "")</f>
        <v/>
      </c>
      <c r="N6" s="806" t="str">
        <f> IFERROR(vlookup(Concatenate("p5.",N$10),Order205,5,FALSE), "")</f>
        <v/>
      </c>
      <c r="O6" s="806" t="str">
        <f> IFERROR(vlookup(Concatenate("p5.",O$10),Order205,5,FALSE), "")</f>
        <v/>
      </c>
      <c r="P6" s="806" t="str">
        <f> IFERROR(vlookup(Concatenate("p5.",P$10),Order205,5,FALSE), "")</f>
        <v/>
      </c>
      <c r="Q6" s="806" t="str">
        <f> IFERROR(vlookup(Concatenate("p5.",Q$10),Order205,5,FALSE), "")</f>
        <v/>
      </c>
      <c r="R6" s="806" t="str">
        <f> IFERROR(vlookup(Concatenate("p5.",R$10),Order205,5,FALSE), "")</f>
        <v/>
      </c>
      <c r="S6" s="806" t="str">
        <f> IFERROR(vlookup(Concatenate("p5.",S$10),Order205,5,FALSE), "")</f>
        <v/>
      </c>
      <c r="T6" s="806" t="str">
        <f> IFERROR(vlookup(Concatenate("p5.",T$10),Order205,5,FALSE), "")</f>
        <v/>
      </c>
      <c r="U6" s="806">
        <f> IFERROR(vlookup(Concatenate("p5.",U$10),Order205,5,FALSE), "")</f>
        <v>156.075</v>
      </c>
      <c r="V6" s="806">
        <f> IFERROR(vlookup(Concatenate("p5.",V$10),Order205,5,FALSE), "")</f>
        <v>168.325</v>
      </c>
      <c r="W6" s="806">
        <f> IFERROR(vlookup(Concatenate("p5.",W$10),Order205,5,FALSE), "")</f>
        <v>168.625</v>
      </c>
      <c r="X6" s="806" t="str">
        <f> IFERROR(vlookup(Concatenate("p5.",X$10),Order205,5,FALSE), "")</f>
        <v/>
      </c>
      <c r="Y6" s="806" t="str">
        <f> IFERROR(vlookup(Concatenate("p5.",Y$10),Order205,5,FALSE), "")</f>
        <v/>
      </c>
      <c r="Z6" s="806" t="str">
        <f> IFERROR(vlookup(Concatenate("p5.",Z$10),Order205,5,FALSE), "")</f>
        <v/>
      </c>
      <c r="AA6" s="806" t="str">
        <f> IFERROR(vlookup(Concatenate("p5.",AA$10),Order205,5,FALSE), "")</f>
        <v/>
      </c>
      <c r="AB6" s="807"/>
      <c r="AC6" s="807"/>
      <c r="AD6" s="807"/>
      <c r="AE6" s="821" t="s">
        <v>1135</v>
      </c>
    </row>
    <row r="7" ht="76.5" customHeight="1">
      <c r="A7" s="801"/>
      <c r="B7" s="807"/>
      <c r="D7" s="822" t="s">
        <v>1140</v>
      </c>
      <c r="E7" s="823" t="s">
        <v>1141</v>
      </c>
      <c r="F7" s="824"/>
      <c r="G7" s="795" t="s">
        <v>1133</v>
      </c>
      <c r="H7" s="806" t="str">
        <f> IFERROR(vlookup(Concatenate("p5.",H$10),Order205,3,FALSE), "")</f>
        <v>FIRE NET</v>
      </c>
      <c r="I7" s="806" t="str">
        <f> IFERROR(vlookup(Concatenate("p5.",I$10),Order205,3,FALSE), "")</f>
        <v/>
      </c>
      <c r="J7" s="806" t="str">
        <f> IFERROR(vlookup(Concatenate("p5.",J$10),Order205,3,FALSE), "")</f>
        <v/>
      </c>
      <c r="K7" s="806" t="str">
        <f> IFERROR(vlookup(Concatenate("p5.",K$10),Order205,3,FALSE), "")</f>
        <v/>
      </c>
      <c r="L7" s="806" t="str">
        <f> IFERROR(vlookup(Concatenate("p5.",L$10),Order205,3,FALSE), "")</f>
        <v/>
      </c>
      <c r="M7" s="806" t="str">
        <f> IFERROR(vlookup(Concatenate("p5.",M$10),Order205,3,FALSE), "")</f>
        <v/>
      </c>
      <c r="N7" s="806" t="str">
        <f> IFERROR(vlookup(Concatenate("p5.",N$10),Order205,3,FALSE), "")</f>
        <v/>
      </c>
      <c r="O7" s="806" t="str">
        <f> IFERROR(vlookup(Concatenate("p5.",O$10),Order205,3,FALSE), "")</f>
        <v/>
      </c>
      <c r="P7" s="806" t="str">
        <f> IFERROR(vlookup(Concatenate("p5.",P$10),Order205,3,FALSE), "")</f>
        <v/>
      </c>
      <c r="Q7" s="806" t="str">
        <f> IFERROR(vlookup(Concatenate("p5.",Q$10),Order205,3,FALSE), "")</f>
        <v/>
      </c>
      <c r="R7" s="806" t="str">
        <f> IFERROR(vlookup(Concatenate("p5.",R$10),Order205,3,FALSE), "")</f>
        <v/>
      </c>
      <c r="S7" s="806" t="str">
        <f> IFERROR(vlookup(Concatenate("p5.",S$10),Order205,3,FALSE), "")</f>
        <v/>
      </c>
      <c r="T7" s="806" t="str">
        <f> IFERROR(vlookup(Concatenate("p5.",T$10),Order205,3,FALSE), "")</f>
        <v/>
      </c>
      <c r="U7" s="806" t="str">
        <f> IFERROR(vlookup(Concatenate("p5.",U$10),Order205,3,FALSE), "")</f>
        <v>INCIDENT</v>
      </c>
      <c r="V7" s="806" t="str">
        <f> IFERROR(vlookup(Concatenate("p5.",V$10),Order205,3,FALSE), "")</f>
        <v>ALL DIVS</v>
      </c>
      <c r="W7" s="806" t="str">
        <f> IFERROR(vlookup(Concatenate("p5.",W$10),Order205,3,FALSE), "")</f>
        <v>EMERGENCY</v>
      </c>
      <c r="X7" s="806" t="str">
        <f> IFERROR(vlookup(Concatenate("p5.",X$10),Order205,3,FALSE), "")</f>
        <v/>
      </c>
      <c r="Y7" s="806" t="str">
        <f> IFERROR(vlookup(Concatenate("p5.",Y$10),Order205,3,FALSE), "")</f>
        <v/>
      </c>
      <c r="Z7" s="806" t="str">
        <f> IFERROR(vlookup(Concatenate("p5.",Z$10),Order205,3,FALSE), "")</f>
        <v/>
      </c>
      <c r="AA7" s="806" t="str">
        <f> IFERROR(vlookup(Concatenate("p5.",AA$10),Order205,3,FALSE), "")</f>
        <v/>
      </c>
      <c r="AB7" s="807"/>
      <c r="AC7" s="807"/>
      <c r="AD7" s="807"/>
      <c r="AE7" s="807"/>
    </row>
    <row r="8" ht="84.75" customHeight="1">
      <c r="A8" s="801"/>
      <c r="B8" s="807"/>
      <c r="C8" s="825" t="s">
        <v>282</v>
      </c>
      <c r="D8" s="826" t="str">
        <f>IncName</f>
        <v>NO NAME</v>
      </c>
      <c r="E8" s="827" t="str">
        <f>'205 Worksheet'!B120</f>
        <v>Page 5</v>
      </c>
      <c r="F8" s="835" t="s">
        <v>478</v>
      </c>
      <c r="G8" s="829" t="s">
        <v>352</v>
      </c>
      <c r="H8" s="836" t="str">
        <f> IF(ISERROR(vlookup(Concatenate("p5.",H10),Order205,2,FALSE)), "", vlookup(Concatenate("p5.",H10),Order205,2,FALSE))</f>
        <v>CDF C4</v>
      </c>
      <c r="I8" s="836" t="str">
        <f> IF(ISERROR(vlookup(Concatenate("p5.",I10),Order205,2,FALSE)), "", vlookup(Concatenate("p5.",I10),Order205,2,FALSE))</f>
        <v/>
      </c>
      <c r="J8" s="836" t="str">
        <f> IF(ISERROR(vlookup(Concatenate("p5.",J10),Order205,2,FALSE)), "", vlookup(Concatenate("p5.",J10),Order205,2,FALSE))</f>
        <v/>
      </c>
      <c r="K8" s="836" t="str">
        <f> IF(ISERROR(vlookup(Concatenate("p5.",K10),Order205,2,FALSE)), "", vlookup(Concatenate("p5.",K10),Order205,2,FALSE))</f>
        <v/>
      </c>
      <c r="L8" s="836" t="str">
        <f> IF(ISERROR(vlookup(Concatenate("p5.",L10),Order205,2,FALSE)), "", vlookup(Concatenate("p5.",L10),Order205,2,FALSE))</f>
        <v/>
      </c>
      <c r="M8" s="836" t="str">
        <f> IF(ISERROR(vlookup(Concatenate("p5.",M10),Order205,2,FALSE)), "", vlookup(Concatenate("p5.",M10),Order205,2,FALSE))</f>
        <v/>
      </c>
      <c r="N8" s="836" t="str">
        <f> IF(ISERROR(vlookup(Concatenate("p5.",N10),Order205,2,FALSE)), "", vlookup(Concatenate("p5.",N10),Order205,2,FALSE))</f>
        <v/>
      </c>
      <c r="O8" s="836" t="str">
        <f> IF(ISERROR(vlookup(Concatenate("p5.",O10),Order205,2,FALSE)), "", vlookup(Concatenate("p5.",O10),Order205,2,FALSE))</f>
        <v/>
      </c>
      <c r="P8" s="836" t="str">
        <f> IF(ISERROR(vlookup(Concatenate("p5.",P10),Order205,2,FALSE)), "", vlookup(Concatenate("p5.",P10),Order205,2,FALSE))</f>
        <v/>
      </c>
      <c r="Q8" s="836" t="str">
        <f> IF(ISERROR(vlookup(Concatenate("p5.",Q10),Order205,2,FALSE)), "", vlookup(Concatenate("p5.",Q10),Order205,2,FALSE))</f>
        <v/>
      </c>
      <c r="R8" s="836" t="str">
        <f> IF(ISERROR(vlookup(Concatenate("p5.",R10),Order205,2,FALSE)), "", vlookup(Concatenate("p5.",R10),Order205,2,FALSE))</f>
        <v/>
      </c>
      <c r="S8" s="836" t="str">
        <f> IF(ISERROR(vlookup(Concatenate("p5.",S10),Order205,2,FALSE)), "", vlookup(Concatenate("p5.",S10),Order205,2,FALSE))</f>
        <v/>
      </c>
      <c r="T8" s="836" t="str">
        <f> IF(ISERROR(vlookup(Concatenate("p5.",T10),Order205,2,FALSE)), "", vlookup(Concatenate("p5.",T10),Order205,2,FALSE))</f>
        <v/>
      </c>
      <c r="U8" s="836" t="str">
        <f> IF(ISERROR(vlookup(Concatenate("p5.",U10),Order205,2,FALSE)), "", vlookup(Concatenate("p5.",U10),Order205,2,FALSE))</f>
        <v>CALCORD</v>
      </c>
      <c r="V8" s="836" t="str">
        <f> IF(ISERROR(vlookup(Concatenate("p5.",V10),Order205,2,FALSE)), "", vlookup(Concatenate("p5.",V10),Order205,2,FALSE))</f>
        <v>A/G</v>
      </c>
      <c r="W8" s="836" t="str">
        <f> IF(ISERROR(vlookup(Concatenate("p5.",W10),Order205,2,FALSE)), "", vlookup(Concatenate("p5.",W10),Order205,2,FALSE))</f>
        <v>GUARD</v>
      </c>
      <c r="X8" s="836" t="str">
        <f> IF(ISERROR(vlookup(Concatenate("p5.",X10),Order205,2,FALSE)), "", vlookup(Concatenate("p5.",X10),Order205,2,FALSE))</f>
        <v/>
      </c>
      <c r="Y8" s="836" t="str">
        <f> IF(ISERROR(vlookup(Concatenate("p5.",Y10),Order205,2,FALSE)), "", vlookup(Concatenate("p5.",Y10),Order205,2,FALSE))</f>
        <v/>
      </c>
      <c r="Z8" s="836" t="str">
        <f> IF(ISERROR(vlookup(Concatenate("p5.",Z10),Order205,2,FALSE)), "", vlookup(Concatenate("p5.",Z10),Order205,2,FALSE))</f>
        <v/>
      </c>
      <c r="AA8" s="836" t="str">
        <f> IF(ISERROR(vlookup(Concatenate("p5.",AA10),Order205,2,FALSE)), "", vlookup(Concatenate("p5.",AA10),Order205,2,FALSE))</f>
        <v/>
      </c>
      <c r="AB8" s="807"/>
      <c r="AC8" s="807"/>
      <c r="AD8" s="807"/>
      <c r="AE8" s="807"/>
    </row>
    <row r="9" ht="101.25" customHeight="1">
      <c r="A9" s="801"/>
      <c r="B9" s="807"/>
      <c r="C9" s="166"/>
      <c r="E9" s="94"/>
      <c r="F9" s="807"/>
      <c r="G9" s="830" t="s">
        <v>485</v>
      </c>
      <c r="H9" s="837" t="str">
        <f> IF(ISERROR(vlookup(Concatenate("p5.",H10),Order205,4,FALSE)), "", vlookup(Concatenate("p5.",H10),Order205,4,FALSE))</f>
        <v>COMMAND</v>
      </c>
      <c r="I9" s="837" t="str">
        <f> IF(ISERROR(vlookup(Concatenate("p5.",I10),Order205,4,FALSE)), "", vlookup(Concatenate("p5.",I10),Order205,4,FALSE))</f>
        <v/>
      </c>
      <c r="J9" s="837" t="str">
        <f> IF(ISERROR(vlookup(Concatenate("p5.",J10),Order205,4,FALSE)), "", vlookup(Concatenate("p5.",J10),Order205,4,FALSE))</f>
        <v/>
      </c>
      <c r="K9" s="837" t="str">
        <f> IF(ISERROR(vlookup(Concatenate("p5.",K10),Order205,4,FALSE)), "", vlookup(Concatenate("p5.",K10),Order205,4,FALSE))</f>
        <v/>
      </c>
      <c r="L9" s="837" t="str">
        <f> IF(ISERROR(vlookup(Concatenate("p5.",L10),Order205,4,FALSE)), "", vlookup(Concatenate("p5.",L10),Order205,4,FALSE))</f>
        <v/>
      </c>
      <c r="M9" s="837" t="str">
        <f> IF(ISERROR(vlookup(Concatenate("p5.",M10),Order205,4,FALSE)), "", vlookup(Concatenate("p5.",M10),Order205,4,FALSE))</f>
        <v/>
      </c>
      <c r="N9" s="837" t="str">
        <f> IF(ISERROR(vlookup(Concatenate("p5.",N10),Order205,4,FALSE)), "", vlookup(Concatenate("p5.",N10),Order205,4,FALSE))</f>
        <v/>
      </c>
      <c r="O9" s="837" t="str">
        <f> IF(ISERROR(vlookup(Concatenate("p5.",O10),Order205,4,FALSE)), "", vlookup(Concatenate("p5.",O10),Order205,4,FALSE))</f>
        <v/>
      </c>
      <c r="P9" s="837" t="str">
        <f> IF(ISERROR(vlookup(Concatenate("p5.",P10),Order205,4,FALSE)), "", vlookup(Concatenate("p5.",P10),Order205,4,FALSE))</f>
        <v/>
      </c>
      <c r="Q9" s="837" t="str">
        <f> IF(ISERROR(vlookup(Concatenate("p5.",Q10),Order205,4,FALSE)), "", vlookup(Concatenate("p5.",Q10),Order205,4,FALSE))</f>
        <v/>
      </c>
      <c r="R9" s="837" t="str">
        <f> IF(ISERROR(vlookup(Concatenate("p5.",R10),Order205,4,FALSE)), "", vlookup(Concatenate("p5.",R10),Order205,4,FALSE))</f>
        <v/>
      </c>
      <c r="S9" s="837" t="str">
        <f> IF(ISERROR(vlookup(Concatenate("p5.",S10),Order205,4,FALSE)), "", vlookup(Concatenate("p5.",S10),Order205,4,FALSE))</f>
        <v/>
      </c>
      <c r="T9" s="837" t="str">
        <f> IF(ISERROR(vlookup(Concatenate("p5.",T10),Order205,4,FALSE)), "", vlookup(Concatenate("p5.",T10),Order205,4,FALSE))</f>
        <v/>
      </c>
      <c r="U9" s="837" t="str">
        <f> IF(ISERROR(vlookup(Concatenate("p5.",U10),Order205,4,FALSE)), "", vlookup(Concatenate("p5.",U10),Order205,4,FALSE))</f>
        <v>TACTICAL</v>
      </c>
      <c r="V9" s="837" t="str">
        <f> IF(ISERROR(vlookup(Concatenate("p5.",V10),Order205,4,FALSE)), "", vlookup(Concatenate("p5.",V10),Order205,4,FALSE))</f>
        <v>A/G</v>
      </c>
      <c r="W9" s="837" t="str">
        <f> IF(ISERROR(vlookup(Concatenate("p5.",W10),Order205,4,FALSE)), "", vlookup(Concatenate("p5.",W10),Order205,4,FALSE))</f>
        <v>AIRGUARD</v>
      </c>
      <c r="X9" s="837" t="str">
        <f> IF(ISERROR(vlookup(Concatenate("p5.",X10),Order205,4,FALSE)), "", vlookup(Concatenate("p5.",X10),Order205,4,FALSE))</f>
        <v/>
      </c>
      <c r="Y9" s="837" t="str">
        <f> IF(ISERROR(vlookup(Concatenate("p5.",Y10),Order205,4,FALSE)), "", vlookup(Concatenate("p5.",Y10),Order205,4,FALSE))</f>
        <v/>
      </c>
      <c r="Z9" s="837" t="str">
        <f> IF(ISERROR(vlookup(Concatenate("p5.",Z10),Order205,4,FALSE)), "", vlookup(Concatenate("p5.",Z10),Order205,4,FALSE))</f>
        <v/>
      </c>
      <c r="AA9" s="837" t="str">
        <f> IF(ISERROR(vlookup(Concatenate("p5.",AA10),Order205,4,FALSE)), "", vlookup(Concatenate("p5.",AA10),Order205,4,FALSE))</f>
        <v/>
      </c>
      <c r="AB9" s="807"/>
      <c r="AC9" s="807"/>
      <c r="AD9" s="807"/>
      <c r="AE9" s="807"/>
    </row>
    <row r="10" ht="30.0" customHeight="1">
      <c r="A10" s="801"/>
      <c r="B10" s="813"/>
      <c r="C10" s="104"/>
      <c r="D10" s="77"/>
      <c r="E10" s="55"/>
      <c r="F10" s="813"/>
      <c r="G10" s="838" t="s">
        <v>1132</v>
      </c>
      <c r="H10" s="831">
        <v>1.0</v>
      </c>
      <c r="I10" s="831">
        <v>2.0</v>
      </c>
      <c r="J10" s="831">
        <v>3.0</v>
      </c>
      <c r="K10" s="831">
        <v>4.0</v>
      </c>
      <c r="L10" s="831">
        <v>5.0</v>
      </c>
      <c r="M10" s="831">
        <v>6.0</v>
      </c>
      <c r="N10" s="831">
        <v>7.0</v>
      </c>
      <c r="O10" s="831">
        <v>8.0</v>
      </c>
      <c r="P10" s="831">
        <v>9.0</v>
      </c>
      <c r="Q10" s="831">
        <v>10.0</v>
      </c>
      <c r="R10" s="831">
        <v>11.0</v>
      </c>
      <c r="S10" s="831">
        <v>12.0</v>
      </c>
      <c r="T10" s="831">
        <v>13.0</v>
      </c>
      <c r="U10" s="831">
        <v>14.0</v>
      </c>
      <c r="V10" s="831">
        <v>15.0</v>
      </c>
      <c r="W10" s="831">
        <v>16.0</v>
      </c>
      <c r="X10" s="831">
        <v>17.0</v>
      </c>
      <c r="Y10" s="831">
        <v>18.0</v>
      </c>
      <c r="Z10" s="831">
        <v>19.0</v>
      </c>
      <c r="AA10" s="831">
        <v>20.0</v>
      </c>
      <c r="AB10" s="813"/>
      <c r="AC10" s="813"/>
      <c r="AD10" s="813"/>
      <c r="AE10" s="813"/>
    </row>
    <row r="11" ht="9.75" customHeight="1">
      <c r="A11" s="801"/>
      <c r="B11" s="801"/>
      <c r="C11" s="818"/>
      <c r="D11" s="826"/>
      <c r="E11" s="826"/>
      <c r="F11" s="832"/>
      <c r="G11" s="833"/>
      <c r="H11" s="833"/>
      <c r="I11" s="833"/>
      <c r="J11" s="833"/>
      <c r="K11" s="833"/>
      <c r="L11" s="833"/>
      <c r="M11" s="833"/>
      <c r="N11" s="833"/>
      <c r="O11" s="833"/>
      <c r="P11" s="833"/>
      <c r="Q11" s="833"/>
      <c r="R11" s="833"/>
      <c r="S11" s="833"/>
      <c r="T11" s="833"/>
      <c r="U11" s="833"/>
      <c r="V11" s="833"/>
      <c r="W11" s="833"/>
      <c r="X11" s="833"/>
      <c r="Y11" s="833"/>
      <c r="Z11" s="833"/>
      <c r="AA11" s="833"/>
    </row>
  </sheetData>
  <mergeCells count="12">
    <mergeCell ref="C6:C7"/>
    <mergeCell ref="C8:C10"/>
    <mergeCell ref="D8:D10"/>
    <mergeCell ref="E8:E10"/>
    <mergeCell ref="C1:C5"/>
    <mergeCell ref="AB1:AB10"/>
    <mergeCell ref="AC1:AC10"/>
    <mergeCell ref="AD1:AD4"/>
    <mergeCell ref="B3:B10"/>
    <mergeCell ref="AD5:AD10"/>
    <mergeCell ref="AE6:AE10"/>
    <mergeCell ref="F8:F10"/>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75"/>
  <cols>
    <col customWidth="1" min="1" max="1" width="11.63"/>
    <col customWidth="1" min="2" max="2" width="6.0"/>
    <col customWidth="1" min="3" max="3" width="4.25"/>
    <col customWidth="1" min="4" max="4" width="7.63"/>
    <col customWidth="1" min="5" max="5" width="3.25"/>
    <col customWidth="1" min="6" max="6" width="7.25"/>
    <col customWidth="1" min="7" max="7" width="2.25"/>
    <col customWidth="1" min="8" max="9" width="5.63"/>
    <col customWidth="1" min="10" max="10" width="7.25"/>
    <col customWidth="1" min="11" max="11" width="4.25"/>
    <col customWidth="1" min="12" max="12" width="8.63"/>
    <col customWidth="1" min="13" max="13" width="7.38"/>
    <col customWidth="1" min="14" max="14" width="10.13"/>
    <col customWidth="1" min="15" max="15" width="3.63"/>
  </cols>
  <sheetData>
    <row r="1" ht="24.0" customHeight="1">
      <c r="A1" s="419" t="s">
        <v>1142</v>
      </c>
      <c r="B1" s="77"/>
      <c r="C1" s="77"/>
      <c r="D1" s="77"/>
      <c r="E1" s="77"/>
      <c r="F1" s="77"/>
      <c r="G1" s="77"/>
      <c r="H1" s="77"/>
      <c r="I1" s="77"/>
      <c r="J1" s="77"/>
      <c r="K1" s="77"/>
      <c r="L1" s="77"/>
      <c r="M1" s="77"/>
      <c r="N1" s="77"/>
      <c r="O1" s="77"/>
    </row>
    <row r="2">
      <c r="A2" s="839" t="s">
        <v>1143</v>
      </c>
      <c r="B2" s="84"/>
      <c r="C2" s="84"/>
      <c r="D2" s="84"/>
      <c r="E2" s="86"/>
      <c r="F2" s="839" t="s">
        <v>283</v>
      </c>
      <c r="G2" s="84"/>
      <c r="H2" s="84"/>
      <c r="I2" s="84"/>
      <c r="J2" s="840" t="s">
        <v>1144</v>
      </c>
      <c r="K2" s="84"/>
      <c r="L2" s="841">
        <f>OpDate</f>
        <v>43893</v>
      </c>
      <c r="M2" s="842" t="s">
        <v>1145</v>
      </c>
      <c r="N2" s="841">
        <f>OpDateTo</f>
        <v>43894</v>
      </c>
      <c r="O2" s="843"/>
    </row>
    <row r="3">
      <c r="A3" s="844" t="str">
        <f>IncName</f>
        <v>NO NAME</v>
      </c>
      <c r="B3" s="113"/>
      <c r="C3" s="113"/>
      <c r="D3" s="113"/>
      <c r="E3" s="115"/>
      <c r="F3" s="845"/>
      <c r="G3" s="113"/>
      <c r="H3" s="113"/>
      <c r="I3" s="113"/>
      <c r="J3" s="846" t="s">
        <v>131</v>
      </c>
      <c r="K3" s="113"/>
      <c r="L3" s="847" t="str">
        <f>OpStart</f>
        <v>0700</v>
      </c>
      <c r="M3" s="848" t="s">
        <v>133</v>
      </c>
      <c r="N3" s="847" t="str">
        <f>OpEnd</f>
        <v>0700</v>
      </c>
      <c r="O3" s="849"/>
    </row>
    <row r="4">
      <c r="A4" s="850" t="s">
        <v>1146</v>
      </c>
      <c r="B4" s="84"/>
      <c r="C4" s="84"/>
      <c r="D4" s="84"/>
      <c r="E4" s="84"/>
      <c r="F4" s="84"/>
      <c r="G4" s="84"/>
      <c r="H4" s="84"/>
      <c r="I4" s="84"/>
      <c r="J4" s="84"/>
      <c r="K4" s="84"/>
      <c r="L4" s="84"/>
      <c r="M4" s="84"/>
      <c r="N4" s="84"/>
      <c r="O4" s="86"/>
    </row>
    <row r="5" ht="12.0" customHeight="1">
      <c r="A5" s="851"/>
      <c r="B5" s="165"/>
      <c r="C5" s="165"/>
      <c r="D5" s="210"/>
      <c r="E5" s="852"/>
      <c r="F5" s="165"/>
      <c r="G5" s="165"/>
      <c r="H5" s="165"/>
      <c r="I5" s="165"/>
      <c r="J5" s="210"/>
      <c r="K5" s="852" t="s">
        <v>1147</v>
      </c>
      <c r="L5" s="165"/>
      <c r="M5" s="165"/>
      <c r="N5" s="165"/>
      <c r="O5" s="517"/>
    </row>
    <row r="6" ht="12.0" customHeight="1">
      <c r="A6" s="853" t="s">
        <v>1148</v>
      </c>
      <c r="B6" s="77"/>
      <c r="C6" s="77"/>
      <c r="D6" s="55"/>
      <c r="E6" s="854" t="s">
        <v>352</v>
      </c>
      <c r="F6" s="77"/>
      <c r="G6" s="77"/>
      <c r="H6" s="77"/>
      <c r="I6" s="77"/>
      <c r="J6" s="55"/>
      <c r="K6" s="854" t="s">
        <v>1149</v>
      </c>
      <c r="L6" s="77"/>
      <c r="M6" s="77"/>
      <c r="N6" s="77"/>
      <c r="O6" s="78"/>
    </row>
    <row r="7" ht="16.5" customHeight="1">
      <c r="A7" s="855"/>
      <c r="B7" s="77"/>
      <c r="C7" s="77"/>
      <c r="D7" s="55"/>
      <c r="E7" s="856"/>
      <c r="F7" s="77"/>
      <c r="G7" s="77"/>
      <c r="H7" s="77"/>
      <c r="I7" s="77"/>
      <c r="J7" s="55"/>
      <c r="K7" s="856" t="s">
        <v>1150</v>
      </c>
      <c r="L7" s="77"/>
      <c r="M7" s="77"/>
      <c r="N7" s="77"/>
      <c r="O7" s="78"/>
    </row>
    <row r="8" ht="16.5" customHeight="1">
      <c r="A8" s="857"/>
      <c r="B8" s="74"/>
      <c r="C8" s="74"/>
      <c r="D8" s="45"/>
      <c r="E8" s="858"/>
      <c r="F8" s="74"/>
      <c r="G8" s="74"/>
      <c r="H8" s="74"/>
      <c r="I8" s="74"/>
      <c r="J8" s="45"/>
      <c r="K8" s="858"/>
      <c r="L8" s="74"/>
      <c r="M8" s="74"/>
      <c r="N8" s="74"/>
      <c r="O8" s="149"/>
    </row>
    <row r="9" ht="16.5" customHeight="1">
      <c r="A9" s="857"/>
      <c r="B9" s="74"/>
      <c r="C9" s="74"/>
      <c r="D9" s="45"/>
      <c r="E9" s="858"/>
      <c r="F9" s="74"/>
      <c r="G9" s="74"/>
      <c r="H9" s="74"/>
      <c r="I9" s="74"/>
      <c r="J9" s="45"/>
      <c r="K9" s="858"/>
      <c r="L9" s="74"/>
      <c r="M9" s="74"/>
      <c r="N9" s="74"/>
      <c r="O9" s="149"/>
    </row>
    <row r="10" ht="16.5" customHeight="1">
      <c r="A10" s="857"/>
      <c r="B10" s="74"/>
      <c r="C10" s="74"/>
      <c r="D10" s="45"/>
      <c r="E10" s="858"/>
      <c r="F10" s="74"/>
      <c r="G10" s="74"/>
      <c r="H10" s="74"/>
      <c r="I10" s="74"/>
      <c r="J10" s="45"/>
      <c r="K10" s="858"/>
      <c r="L10" s="74"/>
      <c r="M10" s="74"/>
      <c r="N10" s="74"/>
      <c r="O10" s="149"/>
    </row>
    <row r="11" ht="16.5" customHeight="1">
      <c r="A11" s="857"/>
      <c r="B11" s="74"/>
      <c r="C11" s="74"/>
      <c r="D11" s="45"/>
      <c r="E11" s="858"/>
      <c r="F11" s="74"/>
      <c r="G11" s="74"/>
      <c r="H11" s="74"/>
      <c r="I11" s="74"/>
      <c r="J11" s="45"/>
      <c r="K11" s="858"/>
      <c r="L11" s="74"/>
      <c r="M11" s="74"/>
      <c r="N11" s="74"/>
      <c r="O11" s="149"/>
    </row>
    <row r="12" ht="16.5" customHeight="1">
      <c r="A12" s="857"/>
      <c r="B12" s="74"/>
      <c r="C12" s="74"/>
      <c r="D12" s="45"/>
      <c r="E12" s="858"/>
      <c r="F12" s="74"/>
      <c r="G12" s="74"/>
      <c r="H12" s="74"/>
      <c r="I12" s="74"/>
      <c r="J12" s="45"/>
      <c r="K12" s="858"/>
      <c r="L12" s="74"/>
      <c r="M12" s="74"/>
      <c r="N12" s="74"/>
      <c r="O12" s="149"/>
    </row>
    <row r="13" ht="16.5" customHeight="1">
      <c r="A13" s="857"/>
      <c r="B13" s="74"/>
      <c r="C13" s="74"/>
      <c r="D13" s="45"/>
      <c r="E13" s="858"/>
      <c r="F13" s="74"/>
      <c r="G13" s="74"/>
      <c r="H13" s="74"/>
      <c r="I13" s="74"/>
      <c r="J13" s="45"/>
      <c r="K13" s="858"/>
      <c r="L13" s="74"/>
      <c r="M13" s="74"/>
      <c r="N13" s="74"/>
      <c r="O13" s="149"/>
    </row>
    <row r="14" ht="16.5" customHeight="1">
      <c r="A14" s="857"/>
      <c r="B14" s="74"/>
      <c r="C14" s="74"/>
      <c r="D14" s="45"/>
      <c r="E14" s="858"/>
      <c r="F14" s="74"/>
      <c r="G14" s="74"/>
      <c r="H14" s="74"/>
      <c r="I14" s="74"/>
      <c r="J14" s="45"/>
      <c r="K14" s="858"/>
      <c r="L14" s="74"/>
      <c r="M14" s="74"/>
      <c r="N14" s="74"/>
      <c r="O14" s="149"/>
    </row>
    <row r="15" ht="16.5" customHeight="1">
      <c r="A15" s="857"/>
      <c r="B15" s="74"/>
      <c r="C15" s="74"/>
      <c r="D15" s="45"/>
      <c r="E15" s="858"/>
      <c r="F15" s="74"/>
      <c r="G15" s="74"/>
      <c r="H15" s="74"/>
      <c r="I15" s="74"/>
      <c r="J15" s="45"/>
      <c r="K15" s="858"/>
      <c r="L15" s="74"/>
      <c r="M15" s="74"/>
      <c r="N15" s="74"/>
      <c r="O15" s="149"/>
    </row>
    <row r="16" ht="16.5" customHeight="1">
      <c r="A16" s="857"/>
      <c r="B16" s="74"/>
      <c r="C16" s="74"/>
      <c r="D16" s="45"/>
      <c r="E16" s="858"/>
      <c r="F16" s="74"/>
      <c r="G16" s="74"/>
      <c r="H16" s="74"/>
      <c r="I16" s="74"/>
      <c r="J16" s="45"/>
      <c r="K16" s="858"/>
      <c r="L16" s="74"/>
      <c r="M16" s="74"/>
      <c r="N16" s="74"/>
      <c r="O16" s="149"/>
    </row>
    <row r="17" ht="16.5" customHeight="1">
      <c r="A17" s="857"/>
      <c r="B17" s="74"/>
      <c r="C17" s="74"/>
      <c r="D17" s="45"/>
      <c r="E17" s="858"/>
      <c r="F17" s="74"/>
      <c r="G17" s="74"/>
      <c r="H17" s="74"/>
      <c r="I17" s="74"/>
      <c r="J17" s="45"/>
      <c r="K17" s="858"/>
      <c r="L17" s="74"/>
      <c r="M17" s="74"/>
      <c r="N17" s="74"/>
      <c r="O17" s="149"/>
    </row>
    <row r="18" ht="16.5" customHeight="1">
      <c r="A18" s="857"/>
      <c r="B18" s="74"/>
      <c r="C18" s="74"/>
      <c r="D18" s="45"/>
      <c r="E18" s="858"/>
      <c r="F18" s="74"/>
      <c r="G18" s="74"/>
      <c r="H18" s="74"/>
      <c r="I18" s="74"/>
      <c r="J18" s="45"/>
      <c r="K18" s="858"/>
      <c r="L18" s="74"/>
      <c r="M18" s="74"/>
      <c r="N18" s="74"/>
      <c r="O18" s="149"/>
    </row>
    <row r="19" ht="16.5" customHeight="1">
      <c r="A19" s="857"/>
      <c r="B19" s="74"/>
      <c r="C19" s="74"/>
      <c r="D19" s="45"/>
      <c r="E19" s="858"/>
      <c r="F19" s="74"/>
      <c r="G19" s="74"/>
      <c r="H19" s="74"/>
      <c r="I19" s="74"/>
      <c r="J19" s="45"/>
      <c r="K19" s="858"/>
      <c r="L19" s="74"/>
      <c r="M19" s="74"/>
      <c r="N19" s="74"/>
      <c r="O19" s="149"/>
    </row>
    <row r="20" ht="16.5" customHeight="1">
      <c r="A20" s="857"/>
      <c r="B20" s="74"/>
      <c r="C20" s="74"/>
      <c r="D20" s="45"/>
      <c r="E20" s="858"/>
      <c r="F20" s="74"/>
      <c r="G20" s="74"/>
      <c r="H20" s="74"/>
      <c r="I20" s="74"/>
      <c r="J20" s="45"/>
      <c r="K20" s="858"/>
      <c r="L20" s="74"/>
      <c r="M20" s="74"/>
      <c r="N20" s="74"/>
      <c r="O20" s="149"/>
    </row>
    <row r="21" ht="16.5" customHeight="1">
      <c r="A21" s="857"/>
      <c r="B21" s="74"/>
      <c r="C21" s="74"/>
      <c r="D21" s="45"/>
      <c r="E21" s="858"/>
      <c r="F21" s="74"/>
      <c r="G21" s="74"/>
      <c r="H21" s="74"/>
      <c r="I21" s="74"/>
      <c r="J21" s="45"/>
      <c r="K21" s="858"/>
      <c r="L21" s="74"/>
      <c r="M21" s="74"/>
      <c r="N21" s="74"/>
      <c r="O21" s="149"/>
    </row>
    <row r="22" ht="16.5" customHeight="1">
      <c r="A22" s="857"/>
      <c r="B22" s="74"/>
      <c r="C22" s="74"/>
      <c r="D22" s="45"/>
      <c r="E22" s="858"/>
      <c r="F22" s="74"/>
      <c r="G22" s="74"/>
      <c r="H22" s="74"/>
      <c r="I22" s="74"/>
      <c r="J22" s="45"/>
      <c r="K22" s="858"/>
      <c r="L22" s="74"/>
      <c r="M22" s="74"/>
      <c r="N22" s="74"/>
      <c r="O22" s="149"/>
    </row>
    <row r="23" ht="16.5" customHeight="1">
      <c r="A23" s="857"/>
      <c r="B23" s="74"/>
      <c r="C23" s="74"/>
      <c r="D23" s="45"/>
      <c r="E23" s="858"/>
      <c r="F23" s="74"/>
      <c r="G23" s="74"/>
      <c r="H23" s="74"/>
      <c r="I23" s="74"/>
      <c r="J23" s="45"/>
      <c r="K23" s="858"/>
      <c r="L23" s="74"/>
      <c r="M23" s="74"/>
      <c r="N23" s="74"/>
      <c r="O23" s="149"/>
    </row>
    <row r="24" ht="16.5" customHeight="1">
      <c r="A24" s="857"/>
      <c r="B24" s="74"/>
      <c r="C24" s="74"/>
      <c r="D24" s="45"/>
      <c r="E24" s="858"/>
      <c r="F24" s="74"/>
      <c r="G24" s="74"/>
      <c r="H24" s="74"/>
      <c r="I24" s="74"/>
      <c r="J24" s="45"/>
      <c r="K24" s="858"/>
      <c r="L24" s="74"/>
      <c r="M24" s="74"/>
      <c r="N24" s="74"/>
      <c r="O24" s="149"/>
    </row>
    <row r="25" ht="16.5" customHeight="1">
      <c r="A25" s="859"/>
      <c r="B25" s="74"/>
      <c r="C25" s="74"/>
      <c r="D25" s="45"/>
      <c r="E25" s="860"/>
      <c r="F25" s="74"/>
      <c r="G25" s="74"/>
      <c r="H25" s="74"/>
      <c r="I25" s="74"/>
      <c r="J25" s="45"/>
      <c r="K25" s="860"/>
      <c r="L25" s="74"/>
      <c r="M25" s="74"/>
      <c r="N25" s="74"/>
      <c r="O25" s="149"/>
    </row>
    <row r="26" ht="16.5" customHeight="1">
      <c r="A26" s="859"/>
      <c r="B26" s="74"/>
      <c r="C26" s="74"/>
      <c r="D26" s="45"/>
      <c r="E26" s="860"/>
      <c r="F26" s="74"/>
      <c r="G26" s="74"/>
      <c r="H26" s="74"/>
      <c r="I26" s="74"/>
      <c r="J26" s="45"/>
      <c r="K26" s="860"/>
      <c r="L26" s="74"/>
      <c r="M26" s="74"/>
      <c r="N26" s="74"/>
      <c r="O26" s="149"/>
    </row>
    <row r="27" ht="16.5" customHeight="1">
      <c r="A27" s="859"/>
      <c r="B27" s="74"/>
      <c r="C27" s="74"/>
      <c r="D27" s="45"/>
      <c r="E27" s="860"/>
      <c r="F27" s="74"/>
      <c r="G27" s="74"/>
      <c r="H27" s="74"/>
      <c r="I27" s="74"/>
      <c r="J27" s="45"/>
      <c r="K27" s="860"/>
      <c r="L27" s="74"/>
      <c r="M27" s="74"/>
      <c r="N27" s="74"/>
      <c r="O27" s="149"/>
    </row>
    <row r="28" ht="16.5" customHeight="1">
      <c r="A28" s="859"/>
      <c r="B28" s="74"/>
      <c r="C28" s="74"/>
      <c r="D28" s="45"/>
      <c r="E28" s="860"/>
      <c r="F28" s="74"/>
      <c r="G28" s="74"/>
      <c r="H28" s="74"/>
      <c r="I28" s="74"/>
      <c r="J28" s="45"/>
      <c r="K28" s="860"/>
      <c r="L28" s="74"/>
      <c r="M28" s="74"/>
      <c r="N28" s="74"/>
      <c r="O28" s="149"/>
    </row>
    <row r="29" ht="16.5" customHeight="1">
      <c r="A29" s="859"/>
      <c r="B29" s="74"/>
      <c r="C29" s="74"/>
      <c r="D29" s="45"/>
      <c r="E29" s="860"/>
      <c r="F29" s="74"/>
      <c r="G29" s="74"/>
      <c r="H29" s="74"/>
      <c r="I29" s="74"/>
      <c r="J29" s="45"/>
      <c r="K29" s="860"/>
      <c r="L29" s="74"/>
      <c r="M29" s="74"/>
      <c r="N29" s="74"/>
      <c r="O29" s="149"/>
    </row>
    <row r="30" ht="16.5" customHeight="1">
      <c r="A30" s="859"/>
      <c r="B30" s="74"/>
      <c r="C30" s="74"/>
      <c r="D30" s="45"/>
      <c r="E30" s="860"/>
      <c r="F30" s="74"/>
      <c r="G30" s="74"/>
      <c r="H30" s="74"/>
      <c r="I30" s="74"/>
      <c r="J30" s="45"/>
      <c r="K30" s="860"/>
      <c r="L30" s="74"/>
      <c r="M30" s="74"/>
      <c r="N30" s="74"/>
      <c r="O30" s="149"/>
    </row>
    <row r="31" ht="18.0" customHeight="1">
      <c r="A31" s="859"/>
      <c r="B31" s="74"/>
      <c r="C31" s="74"/>
      <c r="D31" s="45"/>
      <c r="E31" s="860"/>
      <c r="F31" s="74"/>
      <c r="G31" s="74"/>
      <c r="H31" s="74"/>
      <c r="I31" s="74"/>
      <c r="J31" s="45"/>
      <c r="K31" s="860"/>
      <c r="L31" s="74"/>
      <c r="M31" s="74"/>
      <c r="N31" s="74"/>
      <c r="O31" s="149"/>
    </row>
    <row r="32">
      <c r="A32" s="859"/>
      <c r="B32" s="74"/>
      <c r="C32" s="74"/>
      <c r="D32" s="45"/>
      <c r="E32" s="860"/>
      <c r="F32" s="74"/>
      <c r="G32" s="74"/>
      <c r="H32" s="74"/>
      <c r="I32" s="74"/>
      <c r="J32" s="45"/>
      <c r="K32" s="860"/>
      <c r="L32" s="74"/>
      <c r="M32" s="74"/>
      <c r="N32" s="74"/>
      <c r="O32" s="149"/>
    </row>
    <row r="33">
      <c r="A33" s="859"/>
      <c r="B33" s="74"/>
      <c r="C33" s="74"/>
      <c r="D33" s="45"/>
      <c r="E33" s="860"/>
      <c r="F33" s="74"/>
      <c r="G33" s="74"/>
      <c r="H33" s="74"/>
      <c r="I33" s="74"/>
      <c r="J33" s="45"/>
      <c r="K33" s="860"/>
      <c r="L33" s="74"/>
      <c r="M33" s="74"/>
      <c r="N33" s="74"/>
      <c r="O33" s="149"/>
    </row>
    <row r="34">
      <c r="A34" s="859"/>
      <c r="B34" s="74"/>
      <c r="C34" s="74"/>
      <c r="D34" s="45"/>
      <c r="E34" s="860"/>
      <c r="F34" s="74"/>
      <c r="G34" s="74"/>
      <c r="H34" s="74"/>
      <c r="I34" s="74"/>
      <c r="J34" s="45"/>
      <c r="K34" s="860"/>
      <c r="L34" s="74"/>
      <c r="M34" s="74"/>
      <c r="N34" s="74"/>
      <c r="O34" s="149"/>
    </row>
    <row r="35">
      <c r="A35" s="861"/>
      <c r="B35" s="165"/>
      <c r="C35" s="165"/>
      <c r="D35" s="210"/>
      <c r="E35" s="862"/>
      <c r="F35" s="165"/>
      <c r="G35" s="165"/>
      <c r="H35" s="165"/>
      <c r="I35" s="165"/>
      <c r="J35" s="210"/>
      <c r="K35" s="862"/>
      <c r="L35" s="165"/>
      <c r="M35" s="165"/>
      <c r="N35" s="165"/>
      <c r="O35" s="517"/>
    </row>
    <row r="36">
      <c r="A36" s="863" t="s">
        <v>1151</v>
      </c>
      <c r="B36" s="864"/>
      <c r="C36" s="865" t="str">
        <f>'205WS1'!E37</f>
        <v>#REF!</v>
      </c>
      <c r="D36" s="864"/>
      <c r="E36" s="866" t="s">
        <v>1152</v>
      </c>
      <c r="F36" s="84"/>
      <c r="G36" s="84"/>
      <c r="H36" s="867" t="s">
        <v>1153</v>
      </c>
      <c r="I36" s="135"/>
      <c r="J36" s="868" t="s">
        <v>327</v>
      </c>
      <c r="K36" s="84"/>
      <c r="L36" s="869"/>
      <c r="M36" s="869"/>
      <c r="N36" s="869"/>
      <c r="O36" s="870"/>
    </row>
    <row r="37">
      <c r="A37" s="871" t="s">
        <v>1154</v>
      </c>
      <c r="B37" s="872" t="s">
        <v>332</v>
      </c>
      <c r="C37" s="873" t="s">
        <v>1155</v>
      </c>
      <c r="D37" s="864"/>
      <c r="E37" s="864"/>
      <c r="F37" s="874"/>
      <c r="G37" s="875"/>
      <c r="H37" s="876" t="s">
        <v>1156</v>
      </c>
      <c r="I37" s="113"/>
      <c r="J37" s="877">
        <f>'203'!D52</f>
        <v>43892</v>
      </c>
      <c r="K37" s="113"/>
      <c r="L37" s="848"/>
      <c r="M37" s="848"/>
      <c r="N37" s="848"/>
      <c r="O37" s="849"/>
    </row>
    <row r="38"/>
    <row r="39"/>
    <row r="40"/>
    <row r="41"/>
    <row r="42"/>
    <row r="43"/>
    <row r="44"/>
    <row r="45"/>
    <row r="46"/>
    <row r="47"/>
    <row r="48"/>
    <row r="49"/>
    <row r="50"/>
  </sheetData>
  <mergeCells count="109">
    <mergeCell ref="E12:J12"/>
    <mergeCell ref="K12:O12"/>
    <mergeCell ref="E13:J13"/>
    <mergeCell ref="K13:O13"/>
    <mergeCell ref="E14:J14"/>
    <mergeCell ref="K14:O14"/>
    <mergeCell ref="K15:O15"/>
    <mergeCell ref="E15:J15"/>
    <mergeCell ref="E16:J16"/>
    <mergeCell ref="K16:O16"/>
    <mergeCell ref="E17:J17"/>
    <mergeCell ref="K17:O17"/>
    <mergeCell ref="E18:J18"/>
    <mergeCell ref="K18:O18"/>
    <mergeCell ref="A18:D18"/>
    <mergeCell ref="A19:D19"/>
    <mergeCell ref="A20:D20"/>
    <mergeCell ref="A21:D21"/>
    <mergeCell ref="A22:D22"/>
    <mergeCell ref="A23:D23"/>
    <mergeCell ref="A24:D24"/>
    <mergeCell ref="A32:D32"/>
    <mergeCell ref="A33:D33"/>
    <mergeCell ref="A34:D34"/>
    <mergeCell ref="A35:D35"/>
    <mergeCell ref="A36:B36"/>
    <mergeCell ref="C36:D36"/>
    <mergeCell ref="A25:D25"/>
    <mergeCell ref="A26:D26"/>
    <mergeCell ref="A27:D27"/>
    <mergeCell ref="A28:D28"/>
    <mergeCell ref="A29:D29"/>
    <mergeCell ref="A30:D30"/>
    <mergeCell ref="A31:D31"/>
    <mergeCell ref="E26:J26"/>
    <mergeCell ref="K26:O26"/>
    <mergeCell ref="E27:J27"/>
    <mergeCell ref="K27:O27"/>
    <mergeCell ref="E28:J28"/>
    <mergeCell ref="K28:O28"/>
    <mergeCell ref="K29:O29"/>
    <mergeCell ref="E29:J29"/>
    <mergeCell ref="E30:J30"/>
    <mergeCell ref="K30:O30"/>
    <mergeCell ref="E31:J31"/>
    <mergeCell ref="K31:O31"/>
    <mergeCell ref="E32:J32"/>
    <mergeCell ref="K32:O32"/>
    <mergeCell ref="H36:I36"/>
    <mergeCell ref="J36:K36"/>
    <mergeCell ref="C37:F37"/>
    <mergeCell ref="H37:I37"/>
    <mergeCell ref="J37:K37"/>
    <mergeCell ref="E33:J33"/>
    <mergeCell ref="K33:O33"/>
    <mergeCell ref="E34:J34"/>
    <mergeCell ref="K34:O34"/>
    <mergeCell ref="E35:J35"/>
    <mergeCell ref="K35:O35"/>
    <mergeCell ref="E36:G36"/>
    <mergeCell ref="A1:O1"/>
    <mergeCell ref="A2:E2"/>
    <mergeCell ref="F2:I2"/>
    <mergeCell ref="J2:K2"/>
    <mergeCell ref="F3:I3"/>
    <mergeCell ref="J3:K3"/>
    <mergeCell ref="A4:O4"/>
    <mergeCell ref="E5:J5"/>
    <mergeCell ref="K5:O5"/>
    <mergeCell ref="E6:J6"/>
    <mergeCell ref="K6:O6"/>
    <mergeCell ref="E7:J7"/>
    <mergeCell ref="K7:O7"/>
    <mergeCell ref="K8:O8"/>
    <mergeCell ref="A3:E3"/>
    <mergeCell ref="A5:D5"/>
    <mergeCell ref="A6:D6"/>
    <mergeCell ref="A7:D7"/>
    <mergeCell ref="A8:D8"/>
    <mergeCell ref="A9:D9"/>
    <mergeCell ref="A10:D10"/>
    <mergeCell ref="E8:J8"/>
    <mergeCell ref="E9:J9"/>
    <mergeCell ref="K9:O9"/>
    <mergeCell ref="E10:J10"/>
    <mergeCell ref="K10:O10"/>
    <mergeCell ref="E11:J11"/>
    <mergeCell ref="K11:O11"/>
    <mergeCell ref="A11:D11"/>
    <mergeCell ref="A12:D12"/>
    <mergeCell ref="A13:D13"/>
    <mergeCell ref="A14:D14"/>
    <mergeCell ref="A15:D15"/>
    <mergeCell ref="A16:D16"/>
    <mergeCell ref="A17:D17"/>
    <mergeCell ref="E19:J19"/>
    <mergeCell ref="K19:O19"/>
    <mergeCell ref="E20:J20"/>
    <mergeCell ref="K20:O20"/>
    <mergeCell ref="E21:J21"/>
    <mergeCell ref="K21:O21"/>
    <mergeCell ref="K22:O22"/>
    <mergeCell ref="E22:J22"/>
    <mergeCell ref="E23:J23"/>
    <mergeCell ref="K23:O23"/>
    <mergeCell ref="E24:J24"/>
    <mergeCell ref="K24:O24"/>
    <mergeCell ref="E25:J25"/>
    <mergeCell ref="K25:O25"/>
  </mergeCells>
  <printOptions/>
  <pageMargins bottom="0.75" footer="0.0" header="0.0" left="0.25" right="0.25" top="0.75"/>
  <pageSetup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 customWidth="1" min="2" max="2" width="7.63"/>
    <col customWidth="1" min="3" max="3" width="4.25"/>
    <col customWidth="1" min="4" max="4" width="10.25"/>
    <col customWidth="1" min="5" max="5" width="3.25"/>
    <col customWidth="1" min="6" max="6" width="6.25"/>
    <col customWidth="1" min="7" max="7" width="9.25"/>
    <col customWidth="1" min="8" max="8" width="4.0"/>
    <col customWidth="1" min="9" max="9" width="3.38"/>
    <col customWidth="1" min="10" max="10" width="7.0"/>
    <col customWidth="1" min="11" max="12" width="7.38"/>
    <col customWidth="1" min="13" max="13" width="7.88"/>
  </cols>
  <sheetData>
    <row r="1" ht="25.5" customHeight="1">
      <c r="A1" s="878" t="s">
        <v>1157</v>
      </c>
      <c r="B1" s="77"/>
      <c r="C1" s="77"/>
      <c r="D1" s="77"/>
      <c r="E1" s="77"/>
      <c r="F1" s="77"/>
      <c r="G1" s="77"/>
      <c r="H1" s="77"/>
      <c r="I1" s="77"/>
      <c r="J1" s="77"/>
      <c r="K1" s="77"/>
      <c r="L1" s="77"/>
      <c r="M1" s="77"/>
    </row>
    <row r="2">
      <c r="A2" s="879" t="s">
        <v>1143</v>
      </c>
      <c r="B2" s="165"/>
      <c r="C2" s="165"/>
      <c r="D2" s="165"/>
      <c r="E2" s="210"/>
      <c r="F2" s="879" t="s">
        <v>283</v>
      </c>
      <c r="G2" s="165"/>
      <c r="H2" s="165"/>
      <c r="I2" s="880" t="s">
        <v>1144</v>
      </c>
      <c r="J2" s="165"/>
      <c r="K2" s="881">
        <f>OpDate</f>
        <v>43893</v>
      </c>
      <c r="L2" s="882" t="s">
        <v>1145</v>
      </c>
      <c r="M2" s="883">
        <f>OpDateTo</f>
        <v>43894</v>
      </c>
    </row>
    <row r="3">
      <c r="A3" s="884" t="str">
        <f>IncName</f>
        <v>NO NAME</v>
      </c>
      <c r="B3" s="77"/>
      <c r="C3" s="77"/>
      <c r="D3" s="77"/>
      <c r="E3" s="55"/>
      <c r="F3" s="885"/>
      <c r="G3" s="77"/>
      <c r="H3" s="77"/>
      <c r="I3" s="886" t="s">
        <v>131</v>
      </c>
      <c r="J3" s="77"/>
      <c r="K3" s="887" t="str">
        <f>OpStart</f>
        <v>0700</v>
      </c>
      <c r="L3" s="888" t="s">
        <v>133</v>
      </c>
      <c r="M3" s="889" t="str">
        <f>OpEnd</f>
        <v>0700</v>
      </c>
    </row>
    <row r="4">
      <c r="A4" s="890" t="s">
        <v>1158</v>
      </c>
      <c r="B4" s="74"/>
      <c r="C4" s="74"/>
      <c r="D4" s="74"/>
      <c r="E4" s="74"/>
      <c r="F4" s="74"/>
      <c r="G4" s="74"/>
      <c r="H4" s="74"/>
      <c r="I4" s="74"/>
      <c r="J4" s="74"/>
      <c r="K4" s="74"/>
      <c r="L4" s="74"/>
      <c r="M4" s="45"/>
    </row>
    <row r="5">
      <c r="A5" s="891" t="s">
        <v>352</v>
      </c>
      <c r="B5" s="74"/>
      <c r="C5" s="45"/>
      <c r="D5" s="891" t="s">
        <v>1159</v>
      </c>
      <c r="E5" s="74"/>
      <c r="F5" s="74"/>
      <c r="G5" s="74"/>
      <c r="H5" s="45"/>
      <c r="I5" s="892" t="s">
        <v>1160</v>
      </c>
      <c r="J5" s="74"/>
      <c r="K5" s="45"/>
      <c r="L5" s="893" t="s">
        <v>1161</v>
      </c>
      <c r="M5" s="45"/>
    </row>
    <row r="6" ht="16.5" customHeight="1">
      <c r="A6" s="894"/>
      <c r="B6" s="74"/>
      <c r="C6" s="45"/>
      <c r="D6" s="895"/>
      <c r="E6" s="74"/>
      <c r="F6" s="74"/>
      <c r="G6" s="74"/>
      <c r="H6" s="45"/>
      <c r="I6" s="895"/>
      <c r="J6" s="74"/>
      <c r="K6" s="45"/>
      <c r="L6" s="896"/>
      <c r="M6" s="210"/>
    </row>
    <row r="7" ht="16.5" customHeight="1">
      <c r="A7" s="895"/>
      <c r="B7" s="74"/>
      <c r="C7" s="45"/>
      <c r="D7" s="895"/>
      <c r="E7" s="74"/>
      <c r="F7" s="74"/>
      <c r="G7" s="74"/>
      <c r="H7" s="45"/>
      <c r="I7" s="895"/>
      <c r="J7" s="74"/>
      <c r="K7" s="45"/>
      <c r="L7" s="896"/>
      <c r="M7" s="210"/>
    </row>
    <row r="8">
      <c r="A8" s="890" t="s">
        <v>1162</v>
      </c>
      <c r="B8" s="74"/>
      <c r="C8" s="74"/>
      <c r="D8" s="74"/>
      <c r="E8" s="74"/>
      <c r="F8" s="74"/>
      <c r="G8" s="74"/>
      <c r="H8" s="74"/>
      <c r="I8" s="74"/>
      <c r="J8" s="74"/>
      <c r="K8" s="74"/>
      <c r="L8" s="74"/>
      <c r="M8" s="45"/>
    </row>
    <row r="9" ht="17.25" customHeight="1">
      <c r="A9" s="893" t="s">
        <v>1163</v>
      </c>
      <c r="B9" s="74"/>
      <c r="C9" s="45"/>
      <c r="D9" s="893" t="s">
        <v>1159</v>
      </c>
      <c r="E9" s="74"/>
      <c r="F9" s="74"/>
      <c r="G9" s="74"/>
      <c r="H9" s="45"/>
      <c r="I9" s="897" t="s">
        <v>1164</v>
      </c>
      <c r="J9" s="74"/>
      <c r="K9" s="45"/>
      <c r="L9" s="893" t="s">
        <v>1165</v>
      </c>
      <c r="M9" s="45"/>
    </row>
    <row r="10" ht="16.5" customHeight="1">
      <c r="A10" s="895"/>
      <c r="B10" s="74"/>
      <c r="C10" s="45"/>
      <c r="D10" s="895"/>
      <c r="E10" s="74"/>
      <c r="F10" s="74"/>
      <c r="G10" s="74"/>
      <c r="H10" s="45"/>
      <c r="I10" s="895"/>
      <c r="J10" s="74"/>
      <c r="K10" s="45"/>
      <c r="L10" s="898"/>
      <c r="M10" s="45"/>
    </row>
    <row r="11" ht="16.5" customHeight="1">
      <c r="A11" s="895"/>
      <c r="B11" s="74"/>
      <c r="C11" s="45"/>
      <c r="D11" s="895"/>
      <c r="E11" s="74"/>
      <c r="F11" s="74"/>
      <c r="G11" s="74"/>
      <c r="H11" s="45"/>
      <c r="I11" s="895"/>
      <c r="J11" s="74"/>
      <c r="K11" s="45"/>
      <c r="L11" s="898"/>
      <c r="M11" s="45"/>
    </row>
    <row r="12" ht="16.5" customHeight="1">
      <c r="A12" s="895"/>
      <c r="B12" s="74"/>
      <c r="C12" s="45"/>
      <c r="D12" s="895"/>
      <c r="E12" s="74"/>
      <c r="F12" s="74"/>
      <c r="G12" s="74"/>
      <c r="H12" s="45"/>
      <c r="I12" s="895"/>
      <c r="J12" s="74"/>
      <c r="K12" s="45"/>
      <c r="L12" s="898"/>
      <c r="M12" s="45"/>
    </row>
    <row r="13" ht="16.5" customHeight="1">
      <c r="A13" s="890" t="s">
        <v>1166</v>
      </c>
      <c r="B13" s="74"/>
      <c r="C13" s="74"/>
      <c r="D13" s="74"/>
      <c r="E13" s="74"/>
      <c r="F13" s="74"/>
      <c r="G13" s="74"/>
      <c r="H13" s="74"/>
      <c r="I13" s="74"/>
      <c r="J13" s="74"/>
      <c r="K13" s="74"/>
      <c r="L13" s="74"/>
      <c r="M13" s="45"/>
    </row>
    <row r="14">
      <c r="A14" s="899" t="s">
        <v>1167</v>
      </c>
      <c r="B14" s="893" t="s">
        <v>1168</v>
      </c>
      <c r="C14" s="74"/>
      <c r="D14" s="74"/>
      <c r="E14" s="852" t="s">
        <v>1169</v>
      </c>
      <c r="F14" s="165"/>
      <c r="G14" s="165"/>
      <c r="H14" s="893" t="s">
        <v>1170</v>
      </c>
      <c r="I14" s="74"/>
      <c r="J14" s="74"/>
      <c r="K14" s="899" t="s">
        <v>1171</v>
      </c>
      <c r="L14" s="899" t="s">
        <v>1172</v>
      </c>
      <c r="M14" s="899" t="s">
        <v>1173</v>
      </c>
    </row>
    <row r="15" ht="18.75" customHeight="1">
      <c r="A15" s="807"/>
      <c r="B15" s="897" t="s">
        <v>1174</v>
      </c>
      <c r="C15" s="74"/>
      <c r="D15" s="45"/>
      <c r="E15" s="166"/>
      <c r="H15" s="891" t="s">
        <v>1175</v>
      </c>
      <c r="I15" s="45"/>
      <c r="J15" s="900" t="s">
        <v>1176</v>
      </c>
      <c r="K15" s="807"/>
      <c r="L15" s="807"/>
      <c r="M15" s="807"/>
    </row>
    <row r="16" ht="18.0" customHeight="1">
      <c r="A16" s="901"/>
      <c r="B16" s="902"/>
      <c r="C16" s="74"/>
      <c r="D16" s="45"/>
      <c r="E16" s="902"/>
      <c r="F16" s="74"/>
      <c r="G16" s="45"/>
      <c r="H16" s="903"/>
      <c r="I16" s="45"/>
      <c r="J16" s="904"/>
      <c r="K16" s="905"/>
      <c r="L16" s="185" t="b">
        <v>0</v>
      </c>
      <c r="M16" s="185" t="b">
        <v>0</v>
      </c>
    </row>
    <row r="17" ht="16.5" customHeight="1">
      <c r="A17" s="901"/>
      <c r="B17" s="902"/>
      <c r="C17" s="74"/>
      <c r="D17" s="45"/>
      <c r="E17" s="902"/>
      <c r="F17" s="74"/>
      <c r="G17" s="45"/>
      <c r="H17" s="903"/>
      <c r="I17" s="45"/>
      <c r="J17" s="903"/>
      <c r="K17" s="905"/>
      <c r="L17" s="185" t="b">
        <v>0</v>
      </c>
      <c r="M17" s="185" t="b">
        <v>0</v>
      </c>
    </row>
    <row r="18" ht="16.5" customHeight="1">
      <c r="A18" s="901"/>
      <c r="B18" s="902"/>
      <c r="C18" s="74"/>
      <c r="D18" s="45"/>
      <c r="E18" s="902"/>
      <c r="F18" s="74"/>
      <c r="G18" s="45"/>
      <c r="H18" s="902"/>
      <c r="I18" s="45"/>
      <c r="J18" s="906"/>
      <c r="K18" s="905"/>
      <c r="L18" s="185" t="b">
        <v>0</v>
      </c>
      <c r="M18" s="185" t="b">
        <v>0</v>
      </c>
    </row>
    <row r="19" ht="16.5" customHeight="1">
      <c r="A19" s="907"/>
      <c r="B19" s="908"/>
      <c r="C19" s="74"/>
      <c r="D19" s="45"/>
      <c r="E19" s="902"/>
      <c r="F19" s="74"/>
      <c r="G19" s="45"/>
      <c r="H19" s="908"/>
      <c r="I19" s="45"/>
      <c r="J19" s="908"/>
      <c r="K19" s="905"/>
      <c r="L19" s="185" t="b">
        <v>0</v>
      </c>
      <c r="M19" s="185" t="b">
        <v>0</v>
      </c>
    </row>
    <row r="20" ht="16.5" customHeight="1">
      <c r="A20" s="907"/>
      <c r="B20" s="908"/>
      <c r="C20" s="74"/>
      <c r="D20" s="45"/>
      <c r="E20" s="902"/>
      <c r="F20" s="74"/>
      <c r="G20" s="45"/>
      <c r="H20" s="908"/>
      <c r="I20" s="45"/>
      <c r="J20" s="909"/>
      <c r="K20" s="905"/>
      <c r="L20" s="185" t="b">
        <v>0</v>
      </c>
      <c r="M20" s="185" t="b">
        <v>0</v>
      </c>
    </row>
    <row r="21">
      <c r="A21" s="910" t="s">
        <v>1177</v>
      </c>
      <c r="B21" s="74"/>
      <c r="C21" s="74"/>
      <c r="D21" s="74"/>
      <c r="E21" s="74"/>
      <c r="F21" s="74"/>
      <c r="G21" s="74"/>
      <c r="H21" s="74"/>
      <c r="I21" s="74"/>
      <c r="J21" s="74"/>
      <c r="K21" s="74"/>
      <c r="L21" s="74"/>
      <c r="M21" s="45"/>
    </row>
    <row r="22" ht="81.75" customHeight="1">
      <c r="A22" s="911" t="s">
        <v>1178</v>
      </c>
      <c r="B22" s="74"/>
      <c r="C22" s="74"/>
      <c r="D22" s="74"/>
      <c r="E22" s="912" t="s">
        <v>1179</v>
      </c>
      <c r="F22" s="74"/>
      <c r="G22" s="74"/>
      <c r="H22" s="74"/>
      <c r="I22" s="74"/>
      <c r="J22" s="74"/>
      <c r="K22" s="74"/>
      <c r="L22" s="74"/>
      <c r="M22" s="45"/>
    </row>
    <row r="23" ht="19.5" customHeight="1">
      <c r="A23" s="913" t="s">
        <v>1180</v>
      </c>
      <c r="B23" s="74"/>
      <c r="C23" s="74"/>
      <c r="D23" s="74"/>
      <c r="E23" s="74"/>
      <c r="F23" s="74"/>
      <c r="G23" s="74"/>
      <c r="H23" s="74"/>
      <c r="I23" s="74"/>
      <c r="J23" s="74"/>
      <c r="K23" s="74"/>
      <c r="L23" s="74"/>
      <c r="M23" s="45"/>
    </row>
    <row r="24" ht="27.75" customHeight="1">
      <c r="A24" s="910" t="s">
        <v>1181</v>
      </c>
      <c r="B24" s="74"/>
      <c r="C24" s="914" t="str">
        <f>'203'!B48</f>
        <v/>
      </c>
      <c r="D24" s="74"/>
      <c r="E24" s="74"/>
      <c r="F24" s="74"/>
      <c r="G24" s="74"/>
      <c r="H24" s="915" t="s">
        <v>1182</v>
      </c>
      <c r="I24" s="74"/>
      <c r="J24" s="74"/>
      <c r="K24" s="74"/>
      <c r="L24" s="74"/>
      <c r="M24" s="45"/>
    </row>
    <row r="25" ht="26.25" customHeight="1">
      <c r="A25" s="916" t="s">
        <v>1183</v>
      </c>
      <c r="B25" s="165"/>
      <c r="C25" s="917" t="str">
        <f>'203'!B7</f>
        <v/>
      </c>
      <c r="D25" s="165"/>
      <c r="E25" s="165"/>
      <c r="F25" s="165"/>
      <c r="G25" s="165"/>
      <c r="H25" s="915" t="s">
        <v>1182</v>
      </c>
      <c r="I25" s="74"/>
      <c r="J25" s="74"/>
      <c r="K25" s="74"/>
      <c r="L25" s="74"/>
      <c r="M25" s="45"/>
    </row>
    <row r="26" ht="21.75" customHeight="1">
      <c r="A26" s="890" t="s">
        <v>318</v>
      </c>
      <c r="B26" s="918" t="s">
        <v>332</v>
      </c>
      <c r="C26" s="919"/>
      <c r="D26" s="74"/>
      <c r="E26" s="74"/>
      <c r="F26" s="74"/>
      <c r="G26" s="920" t="s">
        <v>1156</v>
      </c>
      <c r="H26" s="74"/>
      <c r="I26" s="887"/>
      <c r="J26" s="77"/>
      <c r="K26" s="77"/>
      <c r="L26" s="77"/>
      <c r="M26" s="55"/>
    </row>
    <row r="27">
      <c r="A27" s="921"/>
      <c r="C27" s="921"/>
      <c r="E27" s="921"/>
      <c r="F27" s="921"/>
      <c r="G27" s="921"/>
      <c r="H27" s="921"/>
      <c r="I27" s="921"/>
      <c r="J27" s="921"/>
      <c r="K27" s="921"/>
      <c r="L27" s="921"/>
      <c r="M27" s="921"/>
    </row>
    <row r="28">
      <c r="A28" s="921"/>
      <c r="C28" s="921"/>
      <c r="E28" s="921"/>
      <c r="F28" s="921"/>
      <c r="G28" s="921"/>
      <c r="H28" s="921"/>
      <c r="I28" s="921"/>
      <c r="J28" s="921"/>
      <c r="K28" s="921"/>
      <c r="L28" s="921"/>
      <c r="M28" s="921"/>
    </row>
  </sheetData>
  <mergeCells count="75">
    <mergeCell ref="A10:C10"/>
    <mergeCell ref="D10:H10"/>
    <mergeCell ref="I10:K10"/>
    <mergeCell ref="L10:M10"/>
    <mergeCell ref="D11:H11"/>
    <mergeCell ref="I11:K11"/>
    <mergeCell ref="L11:M11"/>
    <mergeCell ref="L14:L15"/>
    <mergeCell ref="M14:M15"/>
    <mergeCell ref="B15:D15"/>
    <mergeCell ref="H15:I15"/>
    <mergeCell ref="A11:C11"/>
    <mergeCell ref="A12:C12"/>
    <mergeCell ref="D12:H12"/>
    <mergeCell ref="I12:K12"/>
    <mergeCell ref="L12:M12"/>
    <mergeCell ref="A13:M13"/>
    <mergeCell ref="A14:A15"/>
    <mergeCell ref="B18:D18"/>
    <mergeCell ref="B19:D19"/>
    <mergeCell ref="B20:D20"/>
    <mergeCell ref="B14:D14"/>
    <mergeCell ref="E14:G15"/>
    <mergeCell ref="B16:D16"/>
    <mergeCell ref="E16:G16"/>
    <mergeCell ref="B17:D17"/>
    <mergeCell ref="E17:G17"/>
    <mergeCell ref="E18:G18"/>
    <mergeCell ref="G26:H26"/>
    <mergeCell ref="I26:M26"/>
    <mergeCell ref="A24:B24"/>
    <mergeCell ref="C24:G24"/>
    <mergeCell ref="H24:M24"/>
    <mergeCell ref="A25:B25"/>
    <mergeCell ref="C25:G25"/>
    <mergeCell ref="H25:M25"/>
    <mergeCell ref="C26:F26"/>
    <mergeCell ref="A1:M1"/>
    <mergeCell ref="A2:E2"/>
    <mergeCell ref="F2:H2"/>
    <mergeCell ref="I2:J2"/>
    <mergeCell ref="F3:H3"/>
    <mergeCell ref="I3:J3"/>
    <mergeCell ref="A4:M4"/>
    <mergeCell ref="I6:K6"/>
    <mergeCell ref="L6:M6"/>
    <mergeCell ref="A3:E3"/>
    <mergeCell ref="A5:C5"/>
    <mergeCell ref="D5:H5"/>
    <mergeCell ref="I5:K5"/>
    <mergeCell ref="L5:M5"/>
    <mergeCell ref="A6:C6"/>
    <mergeCell ref="D6:H6"/>
    <mergeCell ref="I9:K9"/>
    <mergeCell ref="L9:M9"/>
    <mergeCell ref="A7:C7"/>
    <mergeCell ref="D7:H7"/>
    <mergeCell ref="I7:K7"/>
    <mergeCell ref="L7:M7"/>
    <mergeCell ref="A8:M8"/>
    <mergeCell ref="A9:C9"/>
    <mergeCell ref="D9:H9"/>
    <mergeCell ref="H14:J14"/>
    <mergeCell ref="K14:K15"/>
    <mergeCell ref="H16:I16"/>
    <mergeCell ref="H17:I17"/>
    <mergeCell ref="H18:I18"/>
    <mergeCell ref="H19:I19"/>
    <mergeCell ref="E19:G19"/>
    <mergeCell ref="E20:G20"/>
    <mergeCell ref="H20:I20"/>
    <mergeCell ref="A21:M21"/>
    <mergeCell ref="A22:D22"/>
    <mergeCell ref="E22:M22"/>
    <mergeCell ref="A23:M23"/>
  </mergeCells>
  <dataValidations>
    <dataValidation type="list" allowBlank="1" sqref="L10:L12">
      <formula1>"ALS,BLS"</formula1>
    </dataValidation>
    <dataValidation type="list" allowBlank="1" sqref="L6:L7">
      <formula1>"☑ Yes,☐ No"</formula1>
    </dataValidation>
    <dataValidation type="list" allowBlank="1" sqref="K16:K20">
      <formula1>"Level 1,Level 2,Level 3,Level 4,EDAT"</formula1>
    </dataValidation>
  </dataValidation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5"/>
    <col customWidth="1" min="2" max="2" width="28.25"/>
    <col customWidth="1" min="3" max="3" width="33.63"/>
    <col customWidth="1" min="4" max="4" width="12.0"/>
    <col customWidth="1" min="5" max="5" width="8.38"/>
    <col customWidth="1" min="6" max="6" width="9.25"/>
    <col customWidth="1" min="7" max="7" width="7.88"/>
    <col customWidth="1" min="8" max="8" width="7.25"/>
    <col customWidth="1" min="9" max="9" width="8.25"/>
    <col customWidth="1" min="10" max="10" width="5.75"/>
    <col customWidth="1" min="11" max="12" width="7.88"/>
    <col customWidth="1" min="13" max="13" width="8.75"/>
    <col customWidth="1" min="14" max="14" width="48.13"/>
  </cols>
  <sheetData>
    <row r="1" ht="17.25" customHeight="1">
      <c r="B1" s="922" t="s">
        <v>1184</v>
      </c>
      <c r="C1" s="923"/>
      <c r="E1" s="118" t="s">
        <v>1185</v>
      </c>
      <c r="F1" s="118" t="s">
        <v>1186</v>
      </c>
      <c r="G1" s="924" t="s">
        <v>1187</v>
      </c>
      <c r="J1" s="925" t="s">
        <v>1188</v>
      </c>
      <c r="N1" s="24"/>
      <c r="O1" s="926"/>
      <c r="P1" s="24"/>
      <c r="Q1" s="927"/>
      <c r="R1" s="43" t="s">
        <v>1185</v>
      </c>
      <c r="S1" s="43" t="s">
        <v>1186</v>
      </c>
      <c r="T1" s="43" t="s">
        <v>1189</v>
      </c>
      <c r="U1" s="43" t="s">
        <v>1190</v>
      </c>
      <c r="V1" s="43" t="s">
        <v>1191</v>
      </c>
      <c r="W1" s="118" t="s">
        <v>1192</v>
      </c>
    </row>
    <row r="2" ht="23.25" customHeight="1">
      <c r="B2" s="928" t="s">
        <v>1193</v>
      </c>
      <c r="D2" s="118" t="s">
        <v>1194</v>
      </c>
      <c r="E2" s="929">
        <f>'101 General Info'!G21</f>
        <v>38.0127006</v>
      </c>
      <c r="F2" s="930">
        <f>'101 General Info'!H21</f>
        <v>-122.645261</v>
      </c>
      <c r="G2" s="924" t="s">
        <v>1195</v>
      </c>
      <c r="J2" s="925" t="s">
        <v>1196</v>
      </c>
      <c r="N2" s="24"/>
      <c r="O2" s="926"/>
      <c r="P2" s="24"/>
      <c r="Q2" s="43" t="s">
        <v>1197</v>
      </c>
      <c r="R2" s="931">
        <v>38.0127006</v>
      </c>
      <c r="S2" s="932">
        <v>-122.645261</v>
      </c>
      <c r="T2" s="132" t="s">
        <v>1198</v>
      </c>
      <c r="U2" s="207" t="str">
        <f>if(or(E2 &lt;&gt; R2,F2 &lt;&gt; S2,T2 &lt;&gt;C6),"No","Yes")</f>
        <v>Yes</v>
      </c>
      <c r="V2" s="933">
        <f>IFERROR(__xludf.DUMMYFUNCTION("importrange(""https://docs.google.com/spreadsheets/d/1bzVdreChDEsLsDbXA8Qtz24RI8vvBGFTVLiiYOKazm8"",C6 &amp; ""!B19"")"),343.0)</f>
        <v>343</v>
      </c>
      <c r="W2" s="934"/>
    </row>
    <row r="3" ht="64.5" customHeight="1">
      <c r="D3" s="935" t="s">
        <v>1199</v>
      </c>
      <c r="J3" s="935"/>
      <c r="K3" s="229"/>
      <c r="L3" s="936"/>
      <c r="M3" s="936"/>
      <c r="N3" s="24"/>
      <c r="O3" s="926"/>
      <c r="P3" s="24"/>
      <c r="Q3" s="24"/>
      <c r="U3" s="937"/>
      <c r="V3" s="938"/>
      <c r="X3" s="939"/>
      <c r="Y3" s="45"/>
    </row>
    <row r="4" ht="17.25" customHeight="1">
      <c r="B4" s="940" t="s">
        <v>1200</v>
      </c>
      <c r="C4" s="941" t="s">
        <v>1201</v>
      </c>
      <c r="D4" s="942" t="s">
        <v>1202</v>
      </c>
      <c r="E4" s="943"/>
      <c r="H4" s="944" t="s">
        <v>1203</v>
      </c>
      <c r="I4" s="945">
        <v>50.0</v>
      </c>
      <c r="J4" s="118" t="s">
        <v>1204</v>
      </c>
      <c r="N4" s="24"/>
      <c r="O4" s="946" t="s">
        <v>1205</v>
      </c>
      <c r="P4" s="947">
        <f>vlookup(C4,O5:P11,2,False)</f>
        <v>9</v>
      </c>
      <c r="Q4" s="948" t="str">
        <f>vlookup(C4,O5:Q11,3,False)</f>
        <v/>
      </c>
      <c r="R4" s="948" t="str">
        <f>vlookup(C4,O5:R11,4,False)</f>
        <v/>
      </c>
      <c r="S4" s="949" t="s">
        <v>1206</v>
      </c>
      <c r="T4" s="949" t="s">
        <v>1207</v>
      </c>
      <c r="U4" s="949" t="s">
        <v>1208</v>
      </c>
      <c r="V4" s="950"/>
    </row>
    <row r="5" ht="17.25" customHeight="1">
      <c r="A5" s="687"/>
      <c r="B5" s="951" t="s">
        <v>1209</v>
      </c>
      <c r="C5" s="952" t="s">
        <v>1210</v>
      </c>
      <c r="D5" s="953">
        <f>vlookup(C5,S5:T12,2,False)</f>
        <v>140</v>
      </c>
      <c r="H5" s="954">
        <f>count(F30:F530)</f>
        <v>343</v>
      </c>
      <c r="I5" s="954">
        <f>count(L30:L530)</f>
        <v>0</v>
      </c>
      <c r="J5" s="955" t="str">
        <f>Iferror(Round(I5/I4*100,0)) &amp; "% " &amp; Rept("|",Iferror(Round(I5/I4*100,0)/2))</f>
        <v>0% </v>
      </c>
      <c r="N5" s="24"/>
      <c r="O5" s="170" t="s">
        <v>1201</v>
      </c>
      <c r="P5" s="344">
        <v>9.0</v>
      </c>
      <c r="Q5" s="67"/>
      <c r="R5" s="67"/>
      <c r="S5" s="170" t="s">
        <v>1210</v>
      </c>
      <c r="T5" s="170">
        <v>140.0</v>
      </c>
      <c r="U5" s="170" t="str">
        <f>IFERROR(__xludf.DUMMYFUNCTION("importrange(""https://docs.google.com/spreadsheets/d/1bzVdreChDEsLsDbXA8Qtz24RI8vvBGFTVLiiYOKazm8"",""List!A2:A55"")"),"Arizona")</f>
        <v>Arizona</v>
      </c>
      <c r="V5" s="225"/>
    </row>
    <row r="6" ht="23.25" customHeight="1">
      <c r="A6" s="687"/>
      <c r="B6" s="951" t="s">
        <v>1211</v>
      </c>
      <c r="C6" s="956" t="s">
        <v>1198</v>
      </c>
      <c r="F6" s="957" t="str">
        <f>if(U2 &lt;&gt; "Yes","Lat/Long has changed. Ground Miles and Transport Times must be updated.","")</f>
        <v/>
      </c>
      <c r="N6" s="24"/>
      <c r="O6" s="170" t="s">
        <v>1212</v>
      </c>
      <c r="P6" s="344">
        <v>10.0</v>
      </c>
      <c r="Q6" s="67"/>
      <c r="R6" s="67"/>
      <c r="S6" s="170" t="s">
        <v>1213</v>
      </c>
      <c r="T6" s="170">
        <v>170.0</v>
      </c>
      <c r="U6" s="170" t="str">
        <f>IFERROR(__xludf.DUMMYFUNCTION("""COMPUTED_VALUE"""),"California")</f>
        <v>California</v>
      </c>
      <c r="V6" s="225"/>
    </row>
    <row r="7" ht="30.75" customHeight="1">
      <c r="A7" s="958"/>
      <c r="B7" s="959" t="s">
        <v>1214</v>
      </c>
      <c r="C7" s="960" t="s">
        <v>1215</v>
      </c>
      <c r="D7" s="961" t="s">
        <v>1216</v>
      </c>
      <c r="E7" s="962" t="s">
        <v>1185</v>
      </c>
      <c r="F7" s="962" t="s">
        <v>1186</v>
      </c>
      <c r="G7" s="961" t="s">
        <v>1217</v>
      </c>
      <c r="H7" s="961" t="s">
        <v>1218</v>
      </c>
      <c r="I7" s="963" t="s">
        <v>1173</v>
      </c>
      <c r="J7" s="961" t="s">
        <v>1201</v>
      </c>
      <c r="K7" s="961" t="s">
        <v>1219</v>
      </c>
      <c r="L7" s="961" t="s">
        <v>1220</v>
      </c>
      <c r="M7" s="961" t="s">
        <v>1221</v>
      </c>
      <c r="N7" s="964"/>
      <c r="O7" s="170" t="s">
        <v>1220</v>
      </c>
      <c r="P7" s="344">
        <v>11.0</v>
      </c>
      <c r="Q7" s="67"/>
      <c r="R7" s="67"/>
      <c r="S7" s="170" t="s">
        <v>1222</v>
      </c>
      <c r="T7" s="170">
        <v>130.0</v>
      </c>
      <c r="U7" s="170" t="str">
        <f>IFERROR(__xludf.DUMMYFUNCTION("""COMPUTED_VALUE"""),"Colorado")</f>
        <v>Colorado</v>
      </c>
      <c r="V7" s="225"/>
    </row>
    <row r="8" ht="17.25" customHeight="1">
      <c r="A8" s="965"/>
      <c r="B8" s="966" t="s">
        <v>1223</v>
      </c>
      <c r="C8" s="165"/>
      <c r="D8" s="165"/>
      <c r="E8" s="165"/>
      <c r="F8" s="967"/>
      <c r="G8" s="968"/>
      <c r="H8" s="969"/>
      <c r="I8" s="968"/>
      <c r="J8" s="970"/>
      <c r="K8" s="970"/>
      <c r="L8" s="970"/>
      <c r="M8" s="971"/>
      <c r="N8" s="24"/>
      <c r="O8" s="170" t="s">
        <v>1173</v>
      </c>
      <c r="P8" s="344">
        <v>8.0</v>
      </c>
      <c r="Q8" s="185" t="s">
        <v>1224</v>
      </c>
      <c r="R8" s="185" t="s">
        <v>1225</v>
      </c>
      <c r="S8" s="170" t="s">
        <v>1226</v>
      </c>
      <c r="T8" s="170">
        <v>135.0</v>
      </c>
      <c r="U8" s="170" t="str">
        <f>IFERROR(__xludf.DUMMYFUNCTION("""COMPUTED_VALUE"""),"Connecticut")</f>
        <v>Connecticut</v>
      </c>
      <c r="V8" s="225"/>
    </row>
    <row r="9" ht="17.25" customHeight="1">
      <c r="A9" s="972" t="b">
        <v>0</v>
      </c>
      <c r="B9" s="973" t="str">
        <f>IFERROR(__xludf.DUMMYFUNCTION("if(OR(P4 = 6,P4 = 7,P4 = 8),array_constrain(sort(filter(B30:M530,Indirect(Q4) = R4),9,True),15,12),array_constrain(sort(B30:M530,P4,True,9,True),15,12))"),"Kaiser Foundation Hospital - San Rafael")</f>
        <v>Kaiser Foundation Hospital - San Rafael</v>
      </c>
      <c r="C9" s="974" t="str">
        <f>IFERROR(__xludf.DUMMYFUNCTION("""COMPUTED_VALUE"""),"99 Monticello Rd, San Rafael, CA 94903")</f>
        <v>99 Monticello Rd, San Rafael, CA 94903</v>
      </c>
      <c r="D9" s="975" t="str">
        <f>IFERROR(__xludf.DUMMYFUNCTION("""COMPUTED_VALUE"""),"(415) 444-2000")</f>
        <v>(415) 444-2000</v>
      </c>
      <c r="E9" s="976">
        <f>IFERROR(__xludf.DUMMYFUNCTION("""COMPUTED_VALUE"""),38.0043292999999)</f>
        <v>38.0043293</v>
      </c>
      <c r="F9" s="976">
        <f>IFERROR(__xludf.DUMMYFUNCTION("""COMPUTED_VALUE"""),-122.5546467)</f>
        <v>-122.5546467</v>
      </c>
      <c r="G9" s="977" t="str">
        <f>IFERROR(__xludf.DUMMYFUNCTION("""COMPUTED_VALUE"""),"EDAT")</f>
        <v>EDAT</v>
      </c>
      <c r="H9" s="978"/>
      <c r="I9" s="977" t="str">
        <f>IFERROR(__xludf.DUMMYFUNCTION("""COMPUTED_VALUE"""),"No")</f>
        <v>No</v>
      </c>
      <c r="J9" s="979">
        <f>IFERROR(__xludf.DUMMYFUNCTION("""COMPUTED_VALUE"""),4.9724876874088455)</f>
        <v>4.972487687</v>
      </c>
      <c r="K9" s="978" t="str">
        <f>IFERROR(__xludf.DUMMYFUNCTION("""COMPUTED_VALUE"""),"")</f>
        <v/>
      </c>
      <c r="L9" s="979"/>
      <c r="M9" s="980"/>
      <c r="N9" s="24"/>
      <c r="O9" s="170" t="s">
        <v>1221</v>
      </c>
      <c r="P9" s="344">
        <v>12.0</v>
      </c>
      <c r="Q9" s="67"/>
      <c r="R9" s="67"/>
      <c r="S9" s="170" t="s">
        <v>1227</v>
      </c>
      <c r="T9" s="170">
        <v>150.0</v>
      </c>
      <c r="U9" s="170" t="str">
        <f>IFERROR(__xludf.DUMMYFUNCTION("""COMPUTED_VALUE"""),"Florida")</f>
        <v>Florida</v>
      </c>
      <c r="V9" s="225"/>
    </row>
    <row r="10" ht="17.25" customHeight="1">
      <c r="A10" s="981" t="b">
        <v>0</v>
      </c>
      <c r="B10" s="982" t="str">
        <f>IFERROR(__xludf.DUMMYFUNCTION("""COMPUTED_VALUE"""),"MarinHealth Medical Center")</f>
        <v>MarinHealth Medical Center</v>
      </c>
      <c r="C10" s="983" t="str">
        <f>IFERROR(__xludf.DUMMYFUNCTION("""COMPUTED_VALUE"""),"250 Bon Air Rd., L103, Greenbrae, CA 94904")</f>
        <v>250 Bon Air Rd., L103, Greenbrae, CA 94904</v>
      </c>
      <c r="D10" s="984" t="str">
        <f>IFERROR(__xludf.DUMMYFUNCTION("""COMPUTED_VALUE"""),"(415) 925-7000")</f>
        <v>(415) 925-7000</v>
      </c>
      <c r="E10" s="985">
        <f>IFERROR(__xludf.DUMMYFUNCTION("""COMPUTED_VALUE"""),37.9473748)</f>
        <v>37.9473748</v>
      </c>
      <c r="F10" s="985">
        <f>IFERROR(__xludf.DUMMYFUNCTION("""COMPUTED_VALUE"""),-122.5360106)</f>
        <v>-122.5360106</v>
      </c>
      <c r="G10" s="986" t="str">
        <f>IFERROR(__xludf.DUMMYFUNCTION("""COMPUTED_VALUE"""),"Level 3")</f>
        <v>Level 3</v>
      </c>
      <c r="H10" s="987"/>
      <c r="I10" s="986" t="str">
        <f>IFERROR(__xludf.DUMMYFUNCTION("""COMPUTED_VALUE"""),"No")</f>
        <v>No</v>
      </c>
      <c r="J10" s="988">
        <f>IFERROR(__xludf.DUMMYFUNCTION("""COMPUTED_VALUE"""),7.476679607022005)</f>
        <v>7.476679607</v>
      </c>
      <c r="K10" s="987" t="str">
        <f>IFERROR(__xludf.DUMMYFUNCTION("""COMPUTED_VALUE"""),"")</f>
        <v/>
      </c>
      <c r="L10" s="988"/>
      <c r="M10" s="989"/>
      <c r="N10" s="24"/>
      <c r="O10" s="170" t="s">
        <v>1172</v>
      </c>
      <c r="P10" s="344">
        <v>7.0</v>
      </c>
      <c r="Q10" s="185" t="s">
        <v>1228</v>
      </c>
      <c r="R10" s="185" t="s">
        <v>1225</v>
      </c>
      <c r="S10" s="185" t="s">
        <v>1229</v>
      </c>
      <c r="T10" s="185">
        <v>190.0</v>
      </c>
      <c r="U10" s="170" t="str">
        <f>IFERROR(__xludf.DUMMYFUNCTION("""COMPUTED_VALUE"""),"Idaho")</f>
        <v>Idaho</v>
      </c>
      <c r="V10" s="225"/>
    </row>
    <row r="11" ht="17.25" customHeight="1">
      <c r="A11" s="981" t="b">
        <v>0</v>
      </c>
      <c r="B11" s="982" t="str">
        <f>IFERROR(__xludf.DUMMYFUNCTION("""COMPUTED_VALUE"""),"Novato Community Hospital")</f>
        <v>Novato Community Hospital</v>
      </c>
      <c r="C11" s="983" t="str">
        <f>IFERROR(__xludf.DUMMYFUNCTION("""COMPUTED_VALUE"""),"180 Rowland Way, Novato, CA 94945")</f>
        <v>180 Rowland Way, Novato, CA 94945</v>
      </c>
      <c r="D11" s="984" t="str">
        <f>IFERROR(__xludf.DUMMYFUNCTION("""COMPUTED_VALUE"""),"(415) 209-1300")</f>
        <v>(415) 209-1300</v>
      </c>
      <c r="E11" s="985">
        <f>IFERROR(__xludf.DUMMYFUNCTION("""COMPUTED_VALUE"""),38.099153)</f>
        <v>38.099153</v>
      </c>
      <c r="F11" s="985">
        <f>IFERROR(__xludf.DUMMYFUNCTION("""COMPUTED_VALUE"""),-122.560229)</f>
        <v>-122.560229</v>
      </c>
      <c r="G11" s="986" t="str">
        <f>IFERROR(__xludf.DUMMYFUNCTION("""COMPUTED_VALUE"""),"EDAT")</f>
        <v>EDAT</v>
      </c>
      <c r="H11" s="987"/>
      <c r="I11" s="986" t="str">
        <f>IFERROR(__xludf.DUMMYFUNCTION("""COMPUTED_VALUE"""),"No")</f>
        <v>No</v>
      </c>
      <c r="J11" s="988">
        <f>IFERROR(__xludf.DUMMYFUNCTION("""COMPUTED_VALUE"""),7.563821175402368)</f>
        <v>7.563821175</v>
      </c>
      <c r="K11" s="987" t="str">
        <f>IFERROR(__xludf.DUMMYFUNCTION("""COMPUTED_VALUE"""),"")</f>
        <v/>
      </c>
      <c r="L11" s="988"/>
      <c r="M11" s="989"/>
      <c r="N11" s="24"/>
      <c r="O11" s="170" t="s">
        <v>1230</v>
      </c>
      <c r="P11" s="344">
        <v>6.0</v>
      </c>
      <c r="Q11" s="185" t="s">
        <v>1231</v>
      </c>
      <c r="R11" s="185" t="s">
        <v>1230</v>
      </c>
      <c r="S11" s="185" t="s">
        <v>1232</v>
      </c>
      <c r="T11" s="185">
        <v>160.0</v>
      </c>
      <c r="U11" s="185" t="str">
        <f>IFERROR(__xludf.DUMMYFUNCTION("""COMPUTED_VALUE"""),"Illinois")</f>
        <v>Illinois</v>
      </c>
      <c r="V11" s="41"/>
    </row>
    <row r="12" ht="17.25" customHeight="1">
      <c r="A12" s="981" t="b">
        <v>0</v>
      </c>
      <c r="B12" s="982" t="str">
        <f>IFERROR(__xludf.DUMMYFUNCTION("""COMPUTED_VALUE"""),"Petaluma Valley Hospital")</f>
        <v>Petaluma Valley Hospital</v>
      </c>
      <c r="C12" s="983" t="str">
        <f>IFERROR(__xludf.DUMMYFUNCTION("""COMPUTED_VALUE"""),"400 N Mcdowell Blvd, Petaluma, CA 94954")</f>
        <v>400 N Mcdowell Blvd, Petaluma, CA 94954</v>
      </c>
      <c r="D12" s="984">
        <f>IFERROR(__xludf.DUMMYFUNCTION("""COMPUTED_VALUE"""),7.077781111E9)</f>
        <v>7077781111</v>
      </c>
      <c r="E12" s="985">
        <f>IFERROR(__xludf.DUMMYFUNCTION("""COMPUTED_VALUE"""),38.25459)</f>
        <v>38.25459</v>
      </c>
      <c r="F12" s="985">
        <f>IFERROR(__xludf.DUMMYFUNCTION("""COMPUTED_VALUE"""),-122.6316537)</f>
        <v>-122.6316537</v>
      </c>
      <c r="G12" s="986"/>
      <c r="H12" s="987"/>
      <c r="I12" s="986"/>
      <c r="J12" s="988">
        <f>IFERROR(__xludf.DUMMYFUNCTION("""COMPUTED_VALUE"""),16.748345231359547)</f>
        <v>16.74834523</v>
      </c>
      <c r="K12" s="987">
        <f>IFERROR(__xludf.DUMMYFUNCTION("""COMPUTED_VALUE"""),0.004984626556952246)</f>
        <v>0.004984626557</v>
      </c>
      <c r="L12" s="988"/>
      <c r="M12" s="989"/>
      <c r="N12" s="24"/>
      <c r="O12" s="170" t="s">
        <v>1233</v>
      </c>
      <c r="P12" s="344">
        <v>6.0</v>
      </c>
      <c r="Q12" s="24"/>
      <c r="S12" s="185"/>
      <c r="T12" s="185"/>
      <c r="U12" s="185" t="str">
        <f>IFERROR(__xludf.DUMMYFUNCTION("""COMPUTED_VALUE"""),"Louisiana")</f>
        <v>Louisiana</v>
      </c>
      <c r="V12" s="41"/>
    </row>
    <row r="13" ht="17.25" customHeight="1">
      <c r="A13" s="981" t="b">
        <v>0</v>
      </c>
      <c r="B13" s="982" t="str">
        <f>IFERROR(__xludf.DUMMYFUNCTION("""COMPUTED_VALUE"""),"California Pacific Medical Ctr-Pacific Campus Hosp")</f>
        <v>California Pacific Medical Ctr-Pacific Campus Hosp</v>
      </c>
      <c r="C13" s="983" t="str">
        <f>IFERROR(__xludf.DUMMYFUNCTION("""COMPUTED_VALUE"""),"2333 Buchanan Street, San Francisco, CA 94115")</f>
        <v>2333 Buchanan Street, San Francisco, CA 94115</v>
      </c>
      <c r="D13" s="984">
        <f>IFERROR(__xludf.DUMMYFUNCTION("""COMPUTED_VALUE"""),4.156006E9)</f>
        <v>4156006000</v>
      </c>
      <c r="E13" s="985">
        <f>IFERROR(__xludf.DUMMYFUNCTION("""COMPUTED_VALUE"""),37.7908536)</f>
        <v>37.7908536</v>
      </c>
      <c r="F13" s="985">
        <f>IFERROR(__xludf.DUMMYFUNCTION("""COMPUTED_VALUE"""),-122.4313063)</f>
        <v>-122.4313063</v>
      </c>
      <c r="G13" s="986"/>
      <c r="H13" s="987"/>
      <c r="I13" s="986"/>
      <c r="J13" s="988">
        <f>IFERROR(__xludf.DUMMYFUNCTION("""COMPUTED_VALUE"""),19.28369623160495)</f>
        <v>19.28369623</v>
      </c>
      <c r="K13" s="987">
        <f>IFERROR(__xludf.DUMMYFUNCTION("""COMPUTED_VALUE"""),0.005739195307025283)</f>
        <v>0.005739195307</v>
      </c>
      <c r="L13" s="988"/>
      <c r="M13" s="989"/>
      <c r="N13" s="24"/>
      <c r="O13" s="926"/>
      <c r="P13" s="24"/>
      <c r="Q13" s="24"/>
      <c r="S13" s="67"/>
      <c r="T13" s="67"/>
      <c r="U13" s="67" t="str">
        <f>IFERROR(__xludf.DUMMYFUNCTION("""COMPUTED_VALUE"""),"Massachusetts")</f>
        <v>Massachusetts</v>
      </c>
    </row>
    <row r="14" ht="17.25" customHeight="1">
      <c r="A14" s="981" t="b">
        <v>0</v>
      </c>
      <c r="B14" s="982" t="str">
        <f>IFERROR(__xludf.DUMMYFUNCTION("""COMPUTED_VALUE"""),"Kaiser Foundation Hospital - San Francisco")</f>
        <v>Kaiser Foundation Hospital - San Francisco</v>
      </c>
      <c r="C14" s="983" t="str">
        <f>IFERROR(__xludf.DUMMYFUNCTION("""COMPUTED_VALUE"""),"2425 Geary Blvd, San Francisco, CA 94115")</f>
        <v>2425 Geary Blvd, San Francisco, CA 94115</v>
      </c>
      <c r="D14" s="984">
        <f>IFERROR(__xludf.DUMMYFUNCTION("""COMPUTED_VALUE"""),4.158332646E9)</f>
        <v>4158332646</v>
      </c>
      <c r="E14" s="985">
        <f>IFERROR(__xludf.DUMMYFUNCTION("""COMPUTED_VALUE"""),37.7824588)</f>
        <v>37.7824588</v>
      </c>
      <c r="F14" s="985">
        <f>IFERROR(__xludf.DUMMYFUNCTION("""COMPUTED_VALUE"""),-122.4430966)</f>
        <v>-122.4430966</v>
      </c>
      <c r="G14" s="986"/>
      <c r="H14" s="987"/>
      <c r="I14" s="986"/>
      <c r="J14" s="988">
        <f>IFERROR(__xludf.DUMMYFUNCTION("""COMPUTED_VALUE"""),19.375704878810822)</f>
        <v>19.37570488</v>
      </c>
      <c r="K14" s="987">
        <f>IFERROR(__xludf.DUMMYFUNCTION("""COMPUTED_VALUE"""),0.005766578832979412)</f>
        <v>0.005766578833</v>
      </c>
      <c r="L14" s="988"/>
      <c r="M14" s="989"/>
      <c r="N14" s="24"/>
      <c r="O14" s="926"/>
      <c r="P14" s="24"/>
      <c r="Q14" s="24"/>
      <c r="S14" s="67"/>
      <c r="T14" s="67"/>
      <c r="U14" s="67" t="str">
        <f>IFERROR(__xludf.DUMMYFUNCTION("""COMPUTED_VALUE"""),"Montana")</f>
        <v>Montana</v>
      </c>
    </row>
    <row r="15" ht="17.25" customHeight="1">
      <c r="A15" s="981" t="b">
        <v>0</v>
      </c>
      <c r="B15" s="982" t="str">
        <f>IFERROR(__xludf.DUMMYFUNCTION("""COMPUTED_VALUE"""),"St Mary'S Medical Center")</f>
        <v>St Mary'S Medical Center</v>
      </c>
      <c r="C15" s="983" t="str">
        <f>IFERROR(__xludf.DUMMYFUNCTION("""COMPUTED_VALUE"""),"450 Stanyan St, San Francisco, CA 94117")</f>
        <v>450 Stanyan St, San Francisco, CA 94117</v>
      </c>
      <c r="D15" s="984">
        <f>IFERROR(__xludf.DUMMYFUNCTION("""COMPUTED_VALUE"""),4.156681E9)</f>
        <v>4156681000</v>
      </c>
      <c r="E15" s="985">
        <f>IFERROR(__xludf.DUMMYFUNCTION("""COMPUTED_VALUE"""),37.7740749)</f>
        <v>37.7740749</v>
      </c>
      <c r="F15" s="985">
        <f>IFERROR(__xludf.DUMMYFUNCTION("""COMPUTED_VALUE"""),-122.4538893)</f>
        <v>-122.4538893</v>
      </c>
      <c r="G15" s="986"/>
      <c r="H15" s="987"/>
      <c r="I15" s="986"/>
      <c r="J15" s="988">
        <f>IFERROR(__xludf.DUMMYFUNCTION("""COMPUTED_VALUE"""),19.534183525523844)</f>
        <v>19.53418353</v>
      </c>
      <c r="K15" s="987">
        <f>IFERROR(__xludf.DUMMYFUNCTION("""COMPUTED_VALUE"""),0.005813745096882096)</f>
        <v>0.005813745097</v>
      </c>
      <c r="L15" s="988"/>
      <c r="M15" s="989"/>
      <c r="N15" s="24"/>
      <c r="O15" s="926"/>
      <c r="P15" s="24"/>
      <c r="Q15" s="24"/>
      <c r="S15" s="67"/>
      <c r="T15" s="67"/>
      <c r="U15" s="67" t="str">
        <f>IFERROR(__xludf.DUMMYFUNCTION("""COMPUTED_VALUE"""),"New Jersey")</f>
        <v>New Jersey</v>
      </c>
    </row>
    <row r="16" ht="17.25" customHeight="1">
      <c r="A16" s="990" t="b">
        <v>0</v>
      </c>
      <c r="B16" s="982" t="str">
        <f>IFERROR(__xludf.DUMMYFUNCTION("""COMPUTED_VALUE"""),"Chinese Hospital")</f>
        <v>Chinese Hospital</v>
      </c>
      <c r="C16" s="983" t="str">
        <f>IFERROR(__xludf.DUMMYFUNCTION("""COMPUTED_VALUE"""),"845 Jackson St, San Francisco, CA 94133")</f>
        <v>845 Jackson St, San Francisco, CA 94133</v>
      </c>
      <c r="D16" s="984">
        <f>IFERROR(__xludf.DUMMYFUNCTION("""COMPUTED_VALUE"""),4.1598224E9)</f>
        <v>4159822400</v>
      </c>
      <c r="E16" s="985">
        <f>IFERROR(__xludf.DUMMYFUNCTION("""COMPUTED_VALUE"""),37.7955406)</f>
        <v>37.7955406</v>
      </c>
      <c r="F16" s="985">
        <f>IFERROR(__xludf.DUMMYFUNCTION("""COMPUTED_VALUE"""),-122.4091299)</f>
        <v>-122.4091299</v>
      </c>
      <c r="G16" s="986"/>
      <c r="H16" s="987"/>
      <c r="I16" s="986"/>
      <c r="J16" s="988">
        <f>IFERROR(__xludf.DUMMYFUNCTION("""COMPUTED_VALUE"""),19.792433512399803)</f>
        <v>19.79243351</v>
      </c>
      <c r="K16" s="987">
        <f>IFERROR(__xludf.DUMMYFUNCTION("""COMPUTED_VALUE"""),0.00589060521202375)</f>
        <v>0.005890605212</v>
      </c>
      <c r="L16" s="988"/>
      <c r="M16" s="989"/>
      <c r="N16" s="24"/>
      <c r="O16" s="926"/>
      <c r="P16" s="24"/>
      <c r="Q16" s="24"/>
      <c r="U16" s="67" t="str">
        <f>IFERROR(__xludf.DUMMYFUNCTION("""COMPUTED_VALUE"""),"Nevada")</f>
        <v>Nevada</v>
      </c>
    </row>
    <row r="17" ht="17.25" customHeight="1">
      <c r="A17" s="981" t="b">
        <v>0</v>
      </c>
      <c r="B17" s="982" t="str">
        <f>IFERROR(__xludf.DUMMYFUNCTION("""COMPUTED_VALUE"""),"Bothin Burn Center at Saint Francis Memorial Hospital (verified)")</f>
        <v>Bothin Burn Center at Saint Francis Memorial Hospital (verified)</v>
      </c>
      <c r="C17" s="983" t="str">
        <f>IFERROR(__xludf.DUMMYFUNCTION("""COMPUTED_VALUE"""),"900 Hyde St, San Francisco, CA")</f>
        <v>900 Hyde St, San Francisco, CA</v>
      </c>
      <c r="D17" s="984" t="str">
        <f>IFERROR(__xludf.DUMMYFUNCTION("""COMPUTED_VALUE"""),"(415) 353-6255")</f>
        <v>(415) 353-6255</v>
      </c>
      <c r="E17" s="985">
        <f>IFERROR(__xludf.DUMMYFUNCTION("""COMPUTED_VALUE"""),37.7893799)</f>
        <v>37.7893799</v>
      </c>
      <c r="F17" s="985">
        <f>IFERROR(__xludf.DUMMYFUNCTION("""COMPUTED_VALUE"""),-122.4167294)</f>
        <v>-122.4167294</v>
      </c>
      <c r="G17" s="986" t="str">
        <f>IFERROR(__xludf.DUMMYFUNCTION("""COMPUTED_VALUE"""),"None")</f>
        <v>None</v>
      </c>
      <c r="H17" s="987" t="str">
        <f>IFERROR(__xludf.DUMMYFUNCTION("""COMPUTED_VALUE"""),"Yes")</f>
        <v>Yes</v>
      </c>
      <c r="I17" s="986" t="str">
        <f>IFERROR(__xludf.DUMMYFUNCTION("""COMPUTED_VALUE"""),"No")</f>
        <v>No</v>
      </c>
      <c r="J17" s="988">
        <f>IFERROR(__xludf.DUMMYFUNCTION("""COMPUTED_VALUE"""),19.854937726590695)</f>
        <v>19.85493773</v>
      </c>
      <c r="K17" s="987" t="str">
        <f>IFERROR(__xludf.DUMMYFUNCTION("""COMPUTED_VALUE"""),"")</f>
        <v/>
      </c>
      <c r="L17" s="988"/>
      <c r="M17" s="989"/>
      <c r="N17" s="24"/>
      <c r="O17" s="926"/>
      <c r="P17" s="24"/>
      <c r="Q17" s="24"/>
      <c r="U17" s="67" t="str">
        <f>IFERROR(__xludf.DUMMYFUNCTION("""COMPUTED_VALUE"""),"North Carolina")</f>
        <v>North Carolina</v>
      </c>
    </row>
    <row r="18" ht="17.25" customHeight="1">
      <c r="A18" s="981" t="b">
        <v>0</v>
      </c>
      <c r="B18" s="982" t="str">
        <f>IFERROR(__xludf.DUMMYFUNCTION("""COMPUTED_VALUE"""),"Saint Francis Memorial Hospital")</f>
        <v>Saint Francis Memorial Hospital</v>
      </c>
      <c r="C18" s="983" t="str">
        <f>IFERROR(__xludf.DUMMYFUNCTION("""COMPUTED_VALUE"""),"900 Hyde St, San Francisco, CA 94109")</f>
        <v>900 Hyde St, San Francisco, CA 94109</v>
      </c>
      <c r="D18" s="984">
        <f>IFERROR(__xludf.DUMMYFUNCTION("""COMPUTED_VALUE"""),4.153536E9)</f>
        <v>4153536000</v>
      </c>
      <c r="E18" s="985">
        <f>IFERROR(__xludf.DUMMYFUNCTION("""COMPUTED_VALUE"""),37.7893799)</f>
        <v>37.7893799</v>
      </c>
      <c r="F18" s="985">
        <f>IFERROR(__xludf.DUMMYFUNCTION("""COMPUTED_VALUE"""),-122.4167294)</f>
        <v>-122.4167294</v>
      </c>
      <c r="G18" s="986"/>
      <c r="H18" s="987"/>
      <c r="I18" s="986"/>
      <c r="J18" s="988">
        <f>IFERROR(__xludf.DUMMYFUNCTION("""COMPUTED_VALUE"""),19.854937726590695)</f>
        <v>19.85493773</v>
      </c>
      <c r="K18" s="987">
        <f>IFERROR(__xludf.DUMMYFUNCTION("""COMPUTED_VALUE"""),0.005909207656723421)</f>
        <v>0.005909207657</v>
      </c>
      <c r="L18" s="988"/>
      <c r="M18" s="989"/>
      <c r="N18" s="24"/>
      <c r="O18" s="926"/>
      <c r="P18" s="24"/>
      <c r="Q18" s="24"/>
      <c r="U18" s="67" t="str">
        <f>IFERROR(__xludf.DUMMYFUNCTION("""COMPUTED_VALUE"""),"Ohio")</f>
        <v>Ohio</v>
      </c>
    </row>
    <row r="19" ht="17.25" customHeight="1">
      <c r="A19" s="981" t="b">
        <v>0</v>
      </c>
      <c r="B19" s="982" t="str">
        <f>IFERROR(__xludf.DUMMYFUNCTION("""COMPUTED_VALUE"""),"Ucsf Medical Center")</f>
        <v>Ucsf Medical Center</v>
      </c>
      <c r="C19" s="983" t="str">
        <f>IFERROR(__xludf.DUMMYFUNCTION("""COMPUTED_VALUE"""),"505 Parnassus Ave, Box 0296, San Francisco, CA 94143")</f>
        <v>505 Parnassus Ave, Box 0296, San Francisco, CA 94143</v>
      </c>
      <c r="D19" s="984">
        <f>IFERROR(__xludf.DUMMYFUNCTION("""COMPUTED_VALUE"""),4.153532733E9)</f>
        <v>4153532733</v>
      </c>
      <c r="E19" s="985">
        <f>IFERROR(__xludf.DUMMYFUNCTION("""COMPUTED_VALUE"""),37.7627248)</f>
        <v>37.7627248</v>
      </c>
      <c r="F19" s="985">
        <f>IFERROR(__xludf.DUMMYFUNCTION("""COMPUTED_VALUE"""),-122.4578922)</f>
        <v>-122.4578922</v>
      </c>
      <c r="G19" s="986"/>
      <c r="H19" s="987"/>
      <c r="I19" s="991"/>
      <c r="J19" s="988">
        <f>IFERROR(__xludf.DUMMYFUNCTION("""COMPUTED_VALUE"""),20.0902383296084)</f>
        <v>20.09023833</v>
      </c>
      <c r="K19" s="987">
        <f>IFERROR(__xludf.DUMMYFUNCTION("""COMPUTED_VALUE"""),0.005979237598097739)</f>
        <v>0.005979237598</v>
      </c>
      <c r="L19" s="988"/>
      <c r="M19" s="989"/>
      <c r="N19" s="24"/>
      <c r="O19" s="926"/>
      <c r="P19" s="24"/>
      <c r="Q19" s="24"/>
      <c r="U19" s="67" t="str">
        <f>IFERROR(__xludf.DUMMYFUNCTION("""COMPUTED_VALUE"""),"Oregon")</f>
        <v>Oregon</v>
      </c>
    </row>
    <row r="20" ht="17.25" customHeight="1">
      <c r="A20" s="981" t="b">
        <v>0</v>
      </c>
      <c r="B20" s="982" t="str">
        <f>IFERROR(__xludf.DUMMYFUNCTION("""COMPUTED_VALUE"""),"California Pacific Medical Ctr-Davies Campus Hosp")</f>
        <v>California Pacific Medical Ctr-Davies Campus Hosp</v>
      </c>
      <c r="C20" s="983" t="str">
        <f>IFERROR(__xludf.DUMMYFUNCTION("""COMPUTED_VALUE"""),"601 Duboce Ave, San Francisco, CA 94117")</f>
        <v>601 Duboce Ave, San Francisco, CA 94117</v>
      </c>
      <c r="D20" s="984">
        <f>IFERROR(__xludf.DUMMYFUNCTION("""COMPUTED_VALUE"""),4.156006E9)</f>
        <v>4156006000</v>
      </c>
      <c r="E20" s="985">
        <f>IFERROR(__xludf.DUMMYFUNCTION("""COMPUTED_VALUE"""),37.7685917)</f>
        <v>37.7685917</v>
      </c>
      <c r="F20" s="985">
        <f>IFERROR(__xludf.DUMMYFUNCTION("""COMPUTED_VALUE"""),-122.4347308)</f>
        <v>-122.4347308</v>
      </c>
      <c r="G20" s="954"/>
      <c r="H20" s="954"/>
      <c r="I20" s="954"/>
      <c r="J20" s="988">
        <f>IFERROR(__xludf.DUMMYFUNCTION("""COMPUTED_VALUE"""),20.425547291694578)</f>
        <v>20.42554729</v>
      </c>
      <c r="K20" s="987">
        <f>IFERROR(__xludf.DUMMYFUNCTION("""COMPUTED_VALUE"""),0.006079031932051958)</f>
        <v>0.006079031932</v>
      </c>
      <c r="L20" s="988"/>
      <c r="M20" s="989"/>
      <c r="N20" s="24"/>
      <c r="O20" s="926"/>
      <c r="P20" s="24"/>
      <c r="Q20" s="24"/>
      <c r="U20" s="67" t="str">
        <f>IFERROR(__xludf.DUMMYFUNCTION("""COMPUTED_VALUE"""),"Pennsylvania")</f>
        <v>Pennsylvania</v>
      </c>
    </row>
    <row r="21" ht="17.25" customHeight="1">
      <c r="A21" s="981" t="b">
        <v>0</v>
      </c>
      <c r="B21" s="17" t="str">
        <f>IFERROR(__xludf.DUMMYFUNCTION("""COMPUTED_VALUE"""),"Laguna Honda Hospital &amp; Rehabilitation Center")</f>
        <v>Laguna Honda Hospital &amp; Rehabilitation Center</v>
      </c>
      <c r="C21" s="17" t="str">
        <f>IFERROR(__xludf.DUMMYFUNCTION("""COMPUTED_VALUE"""),"375 Laguna Honda Blvd, San Francisco, CA 94116")</f>
        <v>375 Laguna Honda Blvd, San Francisco, CA 94116</v>
      </c>
      <c r="D21" s="992">
        <f>IFERROR(__xludf.DUMMYFUNCTION("""COMPUTED_VALUE"""),4.1575923E9)</f>
        <v>4157592300</v>
      </c>
      <c r="E21" s="993">
        <f>IFERROR(__xludf.DUMMYFUNCTION("""COMPUTED_VALUE"""),37.7488896)</f>
        <v>37.7488896</v>
      </c>
      <c r="F21" s="993">
        <f>IFERROR(__xludf.DUMMYFUNCTION("""COMPUTED_VALUE"""),-122.457074)</f>
        <v>-122.457074</v>
      </c>
      <c r="G21" s="992"/>
      <c r="H21" s="992"/>
      <c r="I21" s="992"/>
      <c r="J21" s="994">
        <f>IFERROR(__xludf.DUMMYFUNCTION("""COMPUTED_VALUE"""),20.941944317278622)</f>
        <v>20.94194432</v>
      </c>
      <c r="K21" s="995">
        <f>IFERROR(__xludf.DUMMYFUNCTION("""COMPUTED_VALUE"""),0.006232721522999591)</f>
        <v>0.006232721523</v>
      </c>
      <c r="L21" s="988"/>
      <c r="M21" s="989"/>
      <c r="N21" s="24"/>
      <c r="O21" s="996"/>
      <c r="P21" s="694"/>
      <c r="Q21" s="24"/>
      <c r="U21" s="67" t="str">
        <f>IFERROR(__xludf.DUMMYFUNCTION("""COMPUTED_VALUE"""),"South Carolina")</f>
        <v>South Carolina</v>
      </c>
    </row>
    <row r="22" ht="17.25" customHeight="1">
      <c r="A22" s="981" t="b">
        <v>0</v>
      </c>
      <c r="B22" s="17" t="str">
        <f>IFERROR(__xludf.DUMMYFUNCTION("""COMPUTED_VALUE"""),"Sonoma Valley Hospital")</f>
        <v>Sonoma Valley Hospital</v>
      </c>
      <c r="C22" s="17" t="str">
        <f>IFERROR(__xludf.DUMMYFUNCTION("""COMPUTED_VALUE"""),"347 Andrieux St, Sonoma, CA 95476")</f>
        <v>347 Andrieux St, Sonoma, CA 95476</v>
      </c>
      <c r="D22" s="992">
        <f>IFERROR(__xludf.DUMMYFUNCTION("""COMPUTED_VALUE"""),7.079355E9)</f>
        <v>7079355000</v>
      </c>
      <c r="E22" s="993">
        <f>IFERROR(__xludf.DUMMYFUNCTION("""COMPUTED_VALUE"""),38.2881503)</f>
        <v>38.2881503</v>
      </c>
      <c r="F22" s="993">
        <f>IFERROR(__xludf.DUMMYFUNCTION("""COMPUTED_VALUE"""),-122.4656876)</f>
        <v>-122.4656876</v>
      </c>
      <c r="G22" s="994"/>
      <c r="H22" s="995"/>
      <c r="I22" s="997"/>
      <c r="J22" s="994">
        <f>IFERROR(__xludf.DUMMYFUNCTION("""COMPUTED_VALUE"""),21.4114125184935)</f>
        <v>21.41141252</v>
      </c>
      <c r="K22" s="995">
        <f>IFERROR(__xludf.DUMMYFUNCTION("""COMPUTED_VALUE"""),0.006372444201932589)</f>
        <v>0.006372444202</v>
      </c>
      <c r="L22" s="988"/>
      <c r="M22" s="989"/>
      <c r="N22" s="24"/>
      <c r="O22" s="996"/>
      <c r="P22" s="694"/>
      <c r="Q22" s="24"/>
      <c r="U22" s="67" t="str">
        <f>IFERROR(__xludf.DUMMYFUNCTION("""COMPUTED_VALUE"""),"Texas")</f>
        <v>Texas</v>
      </c>
    </row>
    <row r="23" ht="17.25" customHeight="1">
      <c r="A23" s="998" t="b">
        <v>0</v>
      </c>
      <c r="B23" s="999" t="str">
        <f>IFERROR(__xludf.DUMMYFUNCTION("""COMPUTED_VALUE"""),"California Pacific Medical Center - Mission Bernal")</f>
        <v>California Pacific Medical Center - Mission Bernal</v>
      </c>
      <c r="C23" s="999" t="str">
        <f>IFERROR(__xludf.DUMMYFUNCTION("""COMPUTED_VALUE"""),"3555 Cesar Chavez Street, San Francisco, CA 94110")</f>
        <v>3555 Cesar Chavez Street, San Francisco, CA 94110</v>
      </c>
      <c r="D23" s="1000">
        <f>IFERROR(__xludf.DUMMYFUNCTION("""COMPUTED_VALUE"""),4.156416562E9)</f>
        <v>4156416562</v>
      </c>
      <c r="E23" s="1001">
        <f>IFERROR(__xludf.DUMMYFUNCTION("""COMPUTED_VALUE"""),37.7476239)</f>
        <v>37.7476239</v>
      </c>
      <c r="F23" s="1001">
        <f>IFERROR(__xludf.DUMMYFUNCTION("""COMPUTED_VALUE"""),-122.421527)</f>
        <v>-122.421527</v>
      </c>
      <c r="G23" s="1002"/>
      <c r="H23" s="1003"/>
      <c r="I23" s="1004"/>
      <c r="J23" s="1002">
        <f>IFERROR(__xludf.DUMMYFUNCTION("""COMPUTED_VALUE"""),22.032185736667486)</f>
        <v>22.03218574</v>
      </c>
      <c r="K23" s="1003">
        <f>IFERROR(__xludf.DUMMYFUNCTION("""COMPUTED_VALUE"""),0.006557198135912942)</f>
        <v>0.006557198136</v>
      </c>
      <c r="L23" s="1005"/>
      <c r="M23" s="1006"/>
      <c r="N23" s="24"/>
      <c r="O23" s="996"/>
      <c r="P23" s="694"/>
      <c r="Q23" s="24"/>
      <c r="U23" s="67" t="str">
        <f>IFERROR(__xludf.DUMMYFUNCTION("""COMPUTED_VALUE"""),"Washington")</f>
        <v>Washington</v>
      </c>
    </row>
    <row r="24" ht="21.75" customHeight="1">
      <c r="A24" s="687"/>
      <c r="D24" s="212"/>
      <c r="E24" s="1007"/>
      <c r="F24" s="1007"/>
      <c r="G24" s="212"/>
      <c r="H24" s="212"/>
      <c r="I24" s="212"/>
      <c r="J24" s="212"/>
      <c r="K24" s="212"/>
      <c r="L24" s="229"/>
      <c r="M24" s="229"/>
      <c r="N24" s="24"/>
      <c r="O24" s="996"/>
      <c r="P24" s="694"/>
      <c r="Q24" s="24"/>
      <c r="U24" s="67" t="str">
        <f>IFERROR(__xludf.DUMMYFUNCTION("""COMPUTED_VALUE"""),"West Virginia")</f>
        <v>West Virginia</v>
      </c>
    </row>
    <row r="25" ht="21.0" customHeight="1">
      <c r="A25" s="1008"/>
      <c r="B25" s="1008"/>
      <c r="C25" s="1008"/>
      <c r="D25" s="1009"/>
      <c r="E25" s="1009"/>
      <c r="F25" s="1009"/>
      <c r="G25" s="1009"/>
      <c r="H25" s="1009"/>
      <c r="I25" s="1009"/>
      <c r="J25" s="1009"/>
      <c r="K25" s="1009"/>
      <c r="L25" s="1009"/>
      <c r="M25" s="1009"/>
      <c r="N25" s="24"/>
      <c r="O25" s="996"/>
      <c r="P25" s="694"/>
      <c r="Q25" s="24"/>
      <c r="U25" s="67" t="str">
        <f>IFERROR(__xludf.DUMMYFUNCTION("""COMPUTED_VALUE"""),"Wyoming")</f>
        <v>Wyoming</v>
      </c>
    </row>
    <row r="26" ht="23.25" customHeight="1">
      <c r="A26" s="687"/>
      <c r="B26" s="687"/>
      <c r="C26" s="1009"/>
      <c r="D26" s="1009"/>
      <c r="E26" s="1009"/>
      <c r="F26" s="1009"/>
      <c r="G26" s="1009"/>
      <c r="H26" s="1009"/>
      <c r="I26" s="1009"/>
      <c r="J26" s="1009"/>
      <c r="K26" s="1009"/>
      <c r="L26" s="1009"/>
      <c r="M26" s="1009"/>
      <c r="N26" s="24"/>
      <c r="O26" s="996"/>
      <c r="P26" s="694"/>
      <c r="Q26" s="24"/>
      <c r="U26" s="67"/>
    </row>
    <row r="27" ht="21.75" customHeight="1">
      <c r="A27" s="687"/>
      <c r="B27" s="687"/>
      <c r="C27" s="1010"/>
      <c r="D27" s="1010"/>
      <c r="E27" s="1010"/>
      <c r="F27" s="1010"/>
      <c r="G27" s="1010"/>
      <c r="H27" s="1010"/>
      <c r="I27" s="1010"/>
      <c r="J27" s="1010"/>
      <c r="K27" s="1010"/>
      <c r="L27" s="1010"/>
      <c r="M27" s="1010"/>
      <c r="N27" s="24"/>
      <c r="O27" s="996"/>
      <c r="P27" s="694"/>
      <c r="Q27" s="24"/>
      <c r="U27" s="67"/>
    </row>
    <row r="28" ht="17.25" customHeight="1">
      <c r="A28" s="687"/>
      <c r="D28" s="212"/>
      <c r="E28" s="1007"/>
      <c r="F28" s="1007"/>
      <c r="G28" s="212"/>
      <c r="H28" s="212"/>
      <c r="I28" s="212"/>
      <c r="J28" s="212"/>
      <c r="K28" s="212"/>
      <c r="L28" s="229"/>
      <c r="M28" s="229"/>
      <c r="N28" s="24"/>
      <c r="O28" s="996"/>
      <c r="P28" s="694"/>
      <c r="Q28" s="24"/>
      <c r="U28" s="67"/>
    </row>
    <row r="29" ht="30.0" customHeight="1">
      <c r="A29" s="687"/>
      <c r="B29" s="1011" t="s">
        <v>1234</v>
      </c>
      <c r="C29" s="1012" t="s">
        <v>1215</v>
      </c>
      <c r="D29" s="1013" t="s">
        <v>1216</v>
      </c>
      <c r="E29" s="1014" t="s">
        <v>1185</v>
      </c>
      <c r="F29" s="1014" t="s">
        <v>1186</v>
      </c>
      <c r="G29" s="1013" t="s">
        <v>1217</v>
      </c>
      <c r="H29" s="1013" t="s">
        <v>1218</v>
      </c>
      <c r="I29" s="1015" t="s">
        <v>1173</v>
      </c>
      <c r="J29" s="1013" t="s">
        <v>1201</v>
      </c>
      <c r="K29" s="1013" t="s">
        <v>1219</v>
      </c>
      <c r="L29" s="1013" t="s">
        <v>1220</v>
      </c>
      <c r="M29" s="1013" t="s">
        <v>1221</v>
      </c>
      <c r="N29" s="24"/>
      <c r="O29" s="996"/>
      <c r="P29" s="694"/>
      <c r="Q29" s="24"/>
      <c r="U29" s="67"/>
    </row>
    <row r="30" ht="17.25" customHeight="1">
      <c r="A30" s="1016">
        <v>1.0</v>
      </c>
      <c r="B30" s="1017" t="s">
        <v>1235</v>
      </c>
      <c r="C30" s="1018" t="s">
        <v>1236</v>
      </c>
      <c r="D30" s="1019" t="s">
        <v>1237</v>
      </c>
      <c r="E30" s="1020">
        <v>39.138174</v>
      </c>
      <c r="F30" s="1020">
        <v>-121.5942279</v>
      </c>
      <c r="G30" s="1021" t="s">
        <v>1238</v>
      </c>
      <c r="H30" s="1022"/>
      <c r="I30" s="1023" t="s">
        <v>1225</v>
      </c>
      <c r="J30" s="1021">
        <f t="shared" ref="J30:J530" si="1">if(E30 &lt;&gt; "",sqrt(((cos(radians((E30+E$2)/2))*69.172)*(abs(F$2-F30)))^2 + (abs(E$2 - E30)* 69.172)^2),"")</f>
        <v>96.39153505</v>
      </c>
      <c r="K30" s="1022">
        <f t="shared" ref="K30:K530" si="2">if(I30 = "No","",If(J30 &lt;&gt; "",(J30/$D$5)/24,""))</f>
        <v>0.02868795686</v>
      </c>
      <c r="L30" s="1024"/>
      <c r="M30" s="1025"/>
      <c r="N30" s="24"/>
      <c r="O30" s="996"/>
      <c r="P30" s="694"/>
      <c r="Q30" s="24"/>
      <c r="U30" s="67"/>
    </row>
    <row r="31" ht="17.25" customHeight="1">
      <c r="A31" s="687">
        <f t="shared" ref="A31:A530" si="3">if(B31 &lt;&gt; "",A30+1,"")</f>
        <v>2</v>
      </c>
      <c r="B31" t="s">
        <v>1239</v>
      </c>
      <c r="C31" t="s">
        <v>1240</v>
      </c>
      <c r="D31" s="212">
        <v>6.613953E9</v>
      </c>
      <c r="E31" s="1007">
        <v>35.3833744</v>
      </c>
      <c r="F31" s="1007">
        <v>-119.0206543</v>
      </c>
      <c r="G31" s="212"/>
      <c r="H31" s="212"/>
      <c r="I31" s="212"/>
      <c r="J31" s="1021">
        <f t="shared" si="1"/>
        <v>271.0918451</v>
      </c>
      <c r="K31" s="1022">
        <f t="shared" si="2"/>
        <v>0.08068209675</v>
      </c>
      <c r="L31" s="1024"/>
      <c r="M31" s="1025"/>
      <c r="N31" s="24"/>
      <c r="O31" s="996"/>
      <c r="P31" s="694"/>
      <c r="Q31" s="24"/>
      <c r="U31" s="67"/>
    </row>
    <row r="32" ht="17.25" customHeight="1">
      <c r="A32" s="687">
        <f t="shared" si="3"/>
        <v>3</v>
      </c>
      <c r="B32" t="s">
        <v>1241</v>
      </c>
      <c r="C32" s="225" t="s">
        <v>1242</v>
      </c>
      <c r="D32" s="936">
        <v>7.079946486E9</v>
      </c>
      <c r="E32" s="1020">
        <v>38.9353458</v>
      </c>
      <c r="F32" s="1020">
        <v>-122.6200816</v>
      </c>
      <c r="G32" s="1021"/>
      <c r="H32" s="1022"/>
      <c r="I32" s="1023"/>
      <c r="J32" s="1021">
        <f t="shared" si="1"/>
        <v>63.83577871</v>
      </c>
      <c r="K32" s="1022">
        <f t="shared" si="2"/>
        <v>0.01899874366</v>
      </c>
      <c r="L32" s="1024"/>
      <c r="M32" s="1025"/>
      <c r="N32" s="24"/>
      <c r="O32" s="996"/>
      <c r="P32" s="694"/>
      <c r="Q32" s="24"/>
      <c r="U32" s="67"/>
    </row>
    <row r="33" ht="17.25" customHeight="1">
      <c r="A33" s="687">
        <f t="shared" si="3"/>
        <v>4</v>
      </c>
      <c r="B33" t="s">
        <v>1243</v>
      </c>
      <c r="C33" t="s">
        <v>1244</v>
      </c>
      <c r="D33" s="1026">
        <v>2.0941072E9</v>
      </c>
      <c r="E33" s="1027">
        <v>36.3236131</v>
      </c>
      <c r="F33" s="1027">
        <v>-119.6665526</v>
      </c>
      <c r="G33" s="1026"/>
      <c r="H33" s="1026"/>
      <c r="I33" s="1026"/>
      <c r="J33" s="1021">
        <f t="shared" si="1"/>
        <v>201.5166896</v>
      </c>
      <c r="K33" s="1022">
        <f t="shared" si="2"/>
        <v>0.05997520524</v>
      </c>
      <c r="L33" s="1024"/>
      <c r="M33" s="1025"/>
      <c r="N33" s="24"/>
      <c r="O33" s="996"/>
      <c r="P33" s="694"/>
      <c r="Q33" s="24"/>
      <c r="U33" s="67"/>
    </row>
    <row r="34" ht="17.25" customHeight="1">
      <c r="A34" s="687">
        <f t="shared" si="3"/>
        <v>5</v>
      </c>
      <c r="B34" t="s">
        <v>1245</v>
      </c>
      <c r="C34" t="s">
        <v>1246</v>
      </c>
      <c r="D34" s="212">
        <v>7.074563031E9</v>
      </c>
      <c r="E34" s="1007">
        <v>39.3899426</v>
      </c>
      <c r="F34" s="1007">
        <v>-123.3389404</v>
      </c>
      <c r="G34" s="212" t="s">
        <v>1247</v>
      </c>
      <c r="H34" s="212"/>
      <c r="I34" s="212" t="s">
        <v>1225</v>
      </c>
      <c r="J34" s="1021">
        <f t="shared" si="1"/>
        <v>102.3620462</v>
      </c>
      <c r="K34" s="1022">
        <f t="shared" si="2"/>
        <v>0.0304648947</v>
      </c>
      <c r="L34" s="1024"/>
      <c r="M34" s="1025"/>
      <c r="N34" s="24"/>
      <c r="O34" s="996"/>
      <c r="P34" s="694"/>
      <c r="Q34" s="24"/>
      <c r="U34" s="67"/>
    </row>
    <row r="35" ht="17.25" customHeight="1">
      <c r="A35" s="687">
        <f t="shared" si="3"/>
        <v>6</v>
      </c>
      <c r="B35" t="s">
        <v>1248</v>
      </c>
      <c r="C35" t="s">
        <v>1249</v>
      </c>
      <c r="D35" s="212">
        <v>2.093343411E9</v>
      </c>
      <c r="E35" s="1007">
        <v>38.1214679</v>
      </c>
      <c r="F35" s="1007">
        <v>-121.2869098</v>
      </c>
      <c r="G35" s="212"/>
      <c r="H35" s="212"/>
      <c r="I35" s="212"/>
      <c r="J35" s="1021">
        <f t="shared" si="1"/>
        <v>74.35522699</v>
      </c>
      <c r="K35" s="1022">
        <f t="shared" si="2"/>
        <v>0.02212953184</v>
      </c>
      <c r="L35" s="1024"/>
      <c r="M35" s="1025"/>
      <c r="N35" s="24"/>
      <c r="O35" s="996"/>
      <c r="P35" s="694"/>
      <c r="Q35" s="24"/>
      <c r="U35" s="67"/>
    </row>
    <row r="36" ht="17.25" customHeight="1">
      <c r="A36" s="687">
        <f t="shared" si="3"/>
        <v>7</v>
      </c>
      <c r="B36" s="1017" t="s">
        <v>1250</v>
      </c>
      <c r="C36" s="1018" t="s">
        <v>1251</v>
      </c>
      <c r="D36" s="1019">
        <v>5.596388155E9</v>
      </c>
      <c r="E36" s="1020">
        <v>36.608381</v>
      </c>
      <c r="F36" s="1020">
        <v>-119.451674</v>
      </c>
      <c r="G36" s="1021"/>
      <c r="H36" s="1022"/>
      <c r="I36" s="1023"/>
      <c r="J36" s="1021">
        <f t="shared" si="1"/>
        <v>200.7657761</v>
      </c>
      <c r="K36" s="1022">
        <f t="shared" si="2"/>
        <v>0.05975171908</v>
      </c>
      <c r="L36" s="1024"/>
      <c r="M36" s="1025"/>
      <c r="N36" s="24"/>
      <c r="O36" s="996"/>
      <c r="P36" s="694"/>
      <c r="Q36" s="24"/>
      <c r="U36" s="67"/>
    </row>
    <row r="37" ht="17.25" customHeight="1">
      <c r="A37" s="687">
        <f t="shared" si="3"/>
        <v>8</v>
      </c>
      <c r="B37" t="s">
        <v>1252</v>
      </c>
      <c r="C37" t="s">
        <v>1253</v>
      </c>
      <c r="D37" s="212">
        <v>8.059556E9</v>
      </c>
      <c r="E37" s="1027">
        <v>34.2892065</v>
      </c>
      <c r="F37" s="1027">
        <v>-118.745137</v>
      </c>
      <c r="G37" s="1021"/>
      <c r="H37" s="1022"/>
      <c r="I37" s="1023"/>
      <c r="J37" s="1021">
        <f t="shared" si="1"/>
        <v>337.3294351</v>
      </c>
      <c r="K37" s="1022">
        <f t="shared" si="2"/>
        <v>0.1003956652</v>
      </c>
      <c r="L37" s="1024"/>
      <c r="M37" s="1025"/>
      <c r="N37" s="24"/>
      <c r="O37" s="996"/>
      <c r="P37" s="694"/>
      <c r="Q37" s="24"/>
      <c r="U37" s="67"/>
    </row>
    <row r="38" ht="17.25" customHeight="1">
      <c r="A38" s="687">
        <f t="shared" si="3"/>
        <v>9</v>
      </c>
      <c r="B38" t="s">
        <v>1254</v>
      </c>
      <c r="C38" t="s">
        <v>1255</v>
      </c>
      <c r="D38" s="212">
        <v>2.095365E9</v>
      </c>
      <c r="E38" s="1007">
        <v>37.9772338</v>
      </c>
      <c r="F38" s="1007">
        <v>-120.3712182</v>
      </c>
      <c r="G38" s="212"/>
      <c r="H38" s="212"/>
      <c r="I38" s="212"/>
      <c r="J38" s="1021">
        <f t="shared" si="1"/>
        <v>123.9869415</v>
      </c>
      <c r="K38" s="1022">
        <f t="shared" si="2"/>
        <v>0.03690087544</v>
      </c>
      <c r="L38" s="1024"/>
      <c r="M38" s="1025"/>
      <c r="N38" s="24"/>
      <c r="O38" s="996"/>
      <c r="P38" s="694"/>
      <c r="Q38" s="24"/>
      <c r="U38" s="67"/>
    </row>
    <row r="39" ht="17.25" customHeight="1">
      <c r="A39" s="687">
        <f t="shared" si="3"/>
        <v>10</v>
      </c>
      <c r="B39" s="1017" t="s">
        <v>1256</v>
      </c>
      <c r="C39" s="1018" t="s">
        <v>1257</v>
      </c>
      <c r="D39" s="1019">
        <v>7.079633611E9</v>
      </c>
      <c r="E39" s="1020">
        <v>38.5425501</v>
      </c>
      <c r="F39" s="1020">
        <v>-122.4748268</v>
      </c>
      <c r="G39" s="1021"/>
      <c r="H39" s="1022"/>
      <c r="I39" s="1023"/>
      <c r="J39" s="1021">
        <f t="shared" si="1"/>
        <v>37.80117338</v>
      </c>
      <c r="K39" s="1022">
        <f t="shared" si="2"/>
        <v>0.01125034922</v>
      </c>
      <c r="L39" s="1024"/>
      <c r="M39" s="1025"/>
      <c r="N39" s="24"/>
      <c r="O39" s="996"/>
      <c r="P39" s="694"/>
      <c r="Q39" s="24"/>
      <c r="U39" s="67"/>
    </row>
    <row r="40" ht="17.25" customHeight="1">
      <c r="A40" s="687">
        <f t="shared" si="3"/>
        <v>11</v>
      </c>
      <c r="B40" t="s">
        <v>1258</v>
      </c>
      <c r="C40" t="s">
        <v>1259</v>
      </c>
      <c r="D40" s="1026">
        <v>6.618233E9</v>
      </c>
      <c r="E40" s="1027">
        <v>35.1474419</v>
      </c>
      <c r="F40" s="1027">
        <v>-118.4504364</v>
      </c>
      <c r="G40" s="1026"/>
      <c r="H40" s="1026"/>
      <c r="I40" s="1026"/>
      <c r="J40" s="1021">
        <f t="shared" si="1"/>
        <v>305.9000176</v>
      </c>
      <c r="K40" s="1022">
        <f t="shared" si="2"/>
        <v>0.0910416719</v>
      </c>
      <c r="L40" s="1024"/>
      <c r="M40" s="1025"/>
      <c r="N40" s="24"/>
      <c r="O40" s="996"/>
      <c r="P40" s="694"/>
      <c r="Q40" s="24"/>
      <c r="U40" s="67"/>
    </row>
    <row r="41" ht="17.25" customHeight="1">
      <c r="A41" s="687">
        <f t="shared" si="3"/>
        <v>12</v>
      </c>
      <c r="B41" t="s">
        <v>1260</v>
      </c>
      <c r="C41" t="s">
        <v>1261</v>
      </c>
      <c r="D41" s="212" t="s">
        <v>1262</v>
      </c>
      <c r="E41" s="1007">
        <v>39.1530652</v>
      </c>
      <c r="F41" s="1007">
        <v>-123.2028906</v>
      </c>
      <c r="G41" s="212" t="s">
        <v>1247</v>
      </c>
      <c r="H41" s="212"/>
      <c r="I41" s="212" t="s">
        <v>1225</v>
      </c>
      <c r="J41" s="1021">
        <f t="shared" si="1"/>
        <v>84.44772976</v>
      </c>
      <c r="K41" s="1022">
        <f t="shared" si="2"/>
        <v>0.0251332529</v>
      </c>
      <c r="L41" s="1024"/>
      <c r="M41" s="1025"/>
      <c r="N41" s="24"/>
      <c r="O41" s="996"/>
      <c r="P41" s="694"/>
      <c r="Q41" s="24"/>
      <c r="U41" s="67"/>
    </row>
    <row r="42" ht="17.25" customHeight="1">
      <c r="A42" s="687">
        <f t="shared" si="3"/>
        <v>13</v>
      </c>
      <c r="B42" t="s">
        <v>1263</v>
      </c>
      <c r="C42" t="s">
        <v>1264</v>
      </c>
      <c r="D42" s="212">
        <v>7.14774145E9</v>
      </c>
      <c r="E42" s="1027">
        <v>33.8481751</v>
      </c>
      <c r="F42" s="1027">
        <v>-117.9345264</v>
      </c>
      <c r="G42" s="1021"/>
      <c r="H42" s="1022"/>
      <c r="I42" s="1023"/>
      <c r="J42" s="1021">
        <f t="shared" si="1"/>
        <v>390.6417718</v>
      </c>
      <c r="K42" s="1022">
        <f t="shared" si="2"/>
        <v>0.1162624321</v>
      </c>
      <c r="L42" s="1024"/>
      <c r="M42" s="1025"/>
      <c r="N42" s="24"/>
      <c r="O42" s="996"/>
      <c r="P42" s="694"/>
      <c r="Q42" s="24"/>
      <c r="U42" s="67"/>
    </row>
    <row r="43" ht="17.25" customHeight="1">
      <c r="A43" s="687">
        <f t="shared" si="3"/>
        <v>14</v>
      </c>
      <c r="B43" t="s">
        <v>1265</v>
      </c>
      <c r="C43" t="s">
        <v>1266</v>
      </c>
      <c r="D43" s="212">
        <v>6.265701606E9</v>
      </c>
      <c r="E43" s="1027">
        <v>34.0903051</v>
      </c>
      <c r="F43" s="1027">
        <v>-118.1440538</v>
      </c>
      <c r="G43" s="1021"/>
      <c r="H43" s="1022"/>
      <c r="I43" s="1023"/>
      <c r="J43" s="1021">
        <f t="shared" si="1"/>
        <v>370.1107283</v>
      </c>
      <c r="K43" s="1022">
        <f t="shared" si="2"/>
        <v>0.1101520025</v>
      </c>
      <c r="L43" s="1024"/>
      <c r="M43" s="1025"/>
      <c r="N43" s="24"/>
      <c r="O43" s="996"/>
      <c r="P43" s="694"/>
      <c r="Q43" s="24"/>
      <c r="U43" s="67"/>
    </row>
    <row r="44" ht="17.25" customHeight="1">
      <c r="A44" s="687">
        <f t="shared" si="3"/>
        <v>15</v>
      </c>
      <c r="B44" t="s">
        <v>1267</v>
      </c>
      <c r="C44" t="s">
        <v>1268</v>
      </c>
      <c r="D44" s="212">
        <v>6.192293172E9</v>
      </c>
      <c r="E44" s="1007">
        <v>32.7766415</v>
      </c>
      <c r="F44" s="1007">
        <v>-117.0573188</v>
      </c>
      <c r="G44" s="212"/>
      <c r="H44" s="212"/>
      <c r="I44" s="212"/>
      <c r="J44" s="1021">
        <f t="shared" si="1"/>
        <v>480.0659051</v>
      </c>
      <c r="K44" s="1022">
        <f t="shared" si="2"/>
        <v>0.1428767575</v>
      </c>
      <c r="L44" s="1024"/>
      <c r="M44" s="1025"/>
      <c r="N44" s="24"/>
      <c r="O44" s="996"/>
      <c r="P44" s="694"/>
      <c r="Q44" s="24"/>
      <c r="U44" s="67"/>
    </row>
    <row r="45" ht="17.25" customHeight="1">
      <c r="A45" s="687">
        <f t="shared" si="3"/>
        <v>16</v>
      </c>
      <c r="B45" t="s">
        <v>1269</v>
      </c>
      <c r="C45" t="s">
        <v>1270</v>
      </c>
      <c r="D45" s="212">
        <v>7.14533622E9</v>
      </c>
      <c r="E45" s="1027">
        <v>33.8196827</v>
      </c>
      <c r="F45" s="1027">
        <v>-117.9097961</v>
      </c>
      <c r="G45" s="1021"/>
      <c r="H45" s="1022"/>
      <c r="I45" s="1023"/>
      <c r="J45" s="1021">
        <f t="shared" si="1"/>
        <v>393.0630929</v>
      </c>
      <c r="K45" s="1022">
        <f t="shared" si="2"/>
        <v>0.1169830634</v>
      </c>
      <c r="L45" s="1024"/>
      <c r="M45" s="1025"/>
      <c r="N45" s="24"/>
      <c r="O45" s="996"/>
      <c r="P45" s="694"/>
      <c r="Q45" s="24"/>
      <c r="U45" s="67"/>
    </row>
    <row r="46" ht="17.25" customHeight="1">
      <c r="A46" s="687">
        <f t="shared" si="3"/>
        <v>17</v>
      </c>
      <c r="B46" s="1017" t="s">
        <v>1271</v>
      </c>
      <c r="C46" s="1018" t="s">
        <v>1272</v>
      </c>
      <c r="D46" s="1019" t="s">
        <v>1273</v>
      </c>
      <c r="E46" s="1020">
        <v>34.6884937</v>
      </c>
      <c r="F46" s="1020">
        <v>-118.1585302</v>
      </c>
      <c r="G46" s="1021" t="s">
        <v>1274</v>
      </c>
      <c r="H46" s="1022"/>
      <c r="I46" s="1023" t="s">
        <v>1225</v>
      </c>
      <c r="J46" s="1021">
        <f t="shared" si="1"/>
        <v>339.6388728</v>
      </c>
      <c r="K46" s="1022">
        <f t="shared" si="2"/>
        <v>0.1010829978</v>
      </c>
      <c r="L46" s="1024"/>
      <c r="M46" s="1025"/>
      <c r="N46" s="24"/>
      <c r="O46" s="996"/>
      <c r="P46" s="694"/>
      <c r="Q46" s="24"/>
      <c r="U46" s="67"/>
    </row>
    <row r="47" ht="17.25" customHeight="1">
      <c r="A47" s="687">
        <f t="shared" si="3"/>
        <v>18</v>
      </c>
      <c r="B47" s="1017" t="s">
        <v>1275</v>
      </c>
      <c r="C47" s="1018" t="s">
        <v>1276</v>
      </c>
      <c r="D47" s="1019" t="s">
        <v>1277</v>
      </c>
      <c r="E47" s="1020">
        <v>34.0740531</v>
      </c>
      <c r="F47" s="1020">
        <v>-117.351059</v>
      </c>
      <c r="G47" s="1021" t="s">
        <v>1274</v>
      </c>
      <c r="H47" s="1022" t="s">
        <v>1225</v>
      </c>
      <c r="I47" s="1023" t="s">
        <v>1225</v>
      </c>
      <c r="J47" s="1021">
        <f t="shared" si="1"/>
        <v>402.3747699</v>
      </c>
      <c r="K47" s="1022">
        <f t="shared" si="2"/>
        <v>0.1197543958</v>
      </c>
      <c r="L47" s="1024"/>
      <c r="M47" s="1025"/>
      <c r="N47" s="24"/>
      <c r="O47" s="996"/>
      <c r="P47" s="694"/>
      <c r="Q47" s="694"/>
      <c r="U47" s="67"/>
    </row>
    <row r="48" ht="17.25" customHeight="1">
      <c r="A48" s="687">
        <f t="shared" si="3"/>
        <v>19</v>
      </c>
      <c r="B48" s="1017" t="s">
        <v>1278</v>
      </c>
      <c r="C48" s="1018" t="s">
        <v>1279</v>
      </c>
      <c r="D48" s="1019" t="s">
        <v>1280</v>
      </c>
      <c r="E48" s="1020">
        <v>42.206032</v>
      </c>
      <c r="F48" s="1020">
        <v>-122.7250341</v>
      </c>
      <c r="G48" s="1021" t="s">
        <v>1247</v>
      </c>
      <c r="H48" s="1022"/>
      <c r="I48" s="1023" t="s">
        <v>1281</v>
      </c>
      <c r="J48" s="1021">
        <f t="shared" si="1"/>
        <v>290.0918201</v>
      </c>
      <c r="K48" s="1022" t="str">
        <f t="shared" si="2"/>
        <v/>
      </c>
      <c r="L48" s="1024"/>
      <c r="M48" s="1025"/>
      <c r="N48" s="24"/>
      <c r="O48" s="996"/>
      <c r="P48" s="694"/>
      <c r="Q48" s="24"/>
      <c r="U48" s="67"/>
    </row>
    <row r="49" ht="17.25" customHeight="1">
      <c r="A49" s="687">
        <f t="shared" si="3"/>
        <v>20</v>
      </c>
      <c r="B49" t="s">
        <v>1282</v>
      </c>
      <c r="C49" t="s">
        <v>1283</v>
      </c>
      <c r="D49" s="1026" t="s">
        <v>1284</v>
      </c>
      <c r="E49" s="1027">
        <v>42.3174845</v>
      </c>
      <c r="F49" s="1027">
        <v>-122.8311596</v>
      </c>
      <c r="G49" s="1026" t="s">
        <v>1233</v>
      </c>
      <c r="H49" s="1026"/>
      <c r="I49" s="1026" t="s">
        <v>1225</v>
      </c>
      <c r="J49" s="1021">
        <f t="shared" si="1"/>
        <v>297.9326126</v>
      </c>
      <c r="K49" s="1022">
        <f t="shared" si="2"/>
        <v>0.08867042041</v>
      </c>
      <c r="L49" s="1024"/>
      <c r="M49" s="1025"/>
      <c r="N49" s="24"/>
      <c r="O49" s="996"/>
      <c r="P49" s="694"/>
      <c r="Q49" s="24"/>
      <c r="U49" s="67"/>
    </row>
    <row r="50" ht="17.25" customHeight="1">
      <c r="A50" s="687">
        <f t="shared" si="3"/>
        <v>21</v>
      </c>
      <c r="B50" t="s">
        <v>1285</v>
      </c>
      <c r="C50" t="s">
        <v>1286</v>
      </c>
      <c r="D50" s="212" t="s">
        <v>1287</v>
      </c>
      <c r="E50" s="1007">
        <v>42.4211806</v>
      </c>
      <c r="F50" s="1007">
        <v>-123.3426466</v>
      </c>
      <c r="G50" s="212" t="s">
        <v>1247</v>
      </c>
      <c r="H50" s="212"/>
      <c r="I50" s="212" t="s">
        <v>1281</v>
      </c>
      <c r="J50" s="1021">
        <f t="shared" si="1"/>
        <v>307.1601425</v>
      </c>
      <c r="K50" s="1022" t="str">
        <f t="shared" si="2"/>
        <v/>
      </c>
      <c r="L50" s="1024"/>
      <c r="M50" s="1025"/>
      <c r="N50" s="24"/>
      <c r="O50" s="996"/>
      <c r="P50" s="694"/>
      <c r="Q50" s="24"/>
      <c r="U50" s="67"/>
    </row>
    <row r="51" ht="17.25" customHeight="1">
      <c r="A51" s="687">
        <f t="shared" si="3"/>
        <v>22</v>
      </c>
      <c r="B51" t="s">
        <v>1288</v>
      </c>
      <c r="C51" t="s">
        <v>1289</v>
      </c>
      <c r="D51" s="212">
        <v>6.613166E9</v>
      </c>
      <c r="E51" s="1007">
        <v>35.3847081</v>
      </c>
      <c r="F51" s="1007">
        <v>-119.0399171</v>
      </c>
      <c r="G51" s="212"/>
      <c r="H51" s="212"/>
      <c r="I51" s="212"/>
      <c r="J51" s="1021">
        <f t="shared" si="1"/>
        <v>270.2372135</v>
      </c>
      <c r="K51" s="1022">
        <f t="shared" si="2"/>
        <v>0.08042774212</v>
      </c>
      <c r="L51" s="1024"/>
      <c r="M51" s="1025"/>
      <c r="N51" s="24"/>
      <c r="O51" s="996"/>
      <c r="P51" s="694"/>
      <c r="Q51" s="24"/>
      <c r="U51" s="67"/>
    </row>
    <row r="52" ht="17.25" customHeight="1">
      <c r="A52" s="687">
        <f t="shared" si="3"/>
        <v>23</v>
      </c>
      <c r="B52" t="s">
        <v>1290</v>
      </c>
      <c r="C52" t="s">
        <v>1291</v>
      </c>
      <c r="D52" s="212">
        <v>6.613271792E9</v>
      </c>
      <c r="E52" s="1007">
        <v>35.3909088</v>
      </c>
      <c r="F52" s="1007">
        <v>-119.0060445</v>
      </c>
      <c r="G52" s="212"/>
      <c r="H52" s="212"/>
      <c r="I52" s="212"/>
      <c r="J52" s="1021">
        <f t="shared" si="1"/>
        <v>271.3372939</v>
      </c>
      <c r="K52" s="1022">
        <f t="shared" si="2"/>
        <v>0.080755147</v>
      </c>
      <c r="L52" s="1024"/>
      <c r="M52" s="1025"/>
      <c r="N52" s="24"/>
      <c r="O52" s="996"/>
      <c r="P52" s="694"/>
      <c r="Q52" s="24"/>
      <c r="U52" s="67"/>
    </row>
    <row r="53" ht="17.25" customHeight="1">
      <c r="A53" s="687">
        <f t="shared" si="3"/>
        <v>24</v>
      </c>
      <c r="B53" s="689" t="s">
        <v>1292</v>
      </c>
      <c r="C53" s="689" t="s">
        <v>1293</v>
      </c>
      <c r="D53" s="1028">
        <v>5.302522E9</v>
      </c>
      <c r="E53" s="1027">
        <v>40.4367392</v>
      </c>
      <c r="F53" s="1027">
        <v>-120.6279894</v>
      </c>
      <c r="G53" s="1021"/>
      <c r="H53" s="1022"/>
      <c r="I53" s="1023"/>
      <c r="J53" s="1021">
        <f t="shared" si="1"/>
        <v>199.4993775</v>
      </c>
      <c r="K53" s="1022">
        <f t="shared" si="2"/>
        <v>0.05937481474</v>
      </c>
      <c r="L53" s="1024"/>
      <c r="M53" s="1025"/>
      <c r="N53" s="24"/>
      <c r="O53" s="996"/>
      <c r="P53" s="694"/>
      <c r="Q53" s="694"/>
      <c r="U53" s="67"/>
    </row>
    <row r="54" ht="17.25" customHeight="1">
      <c r="A54" s="687">
        <f t="shared" si="3"/>
        <v>25</v>
      </c>
      <c r="B54" t="s">
        <v>1294</v>
      </c>
      <c r="C54" t="s">
        <v>1295</v>
      </c>
      <c r="D54" s="212">
        <v>7.602561761E9</v>
      </c>
      <c r="E54" s="1007">
        <v>34.8921713</v>
      </c>
      <c r="F54" s="1007">
        <v>-117.0166969</v>
      </c>
      <c r="G54" s="212"/>
      <c r="H54" s="212"/>
      <c r="I54" s="212"/>
      <c r="J54" s="1021">
        <f t="shared" si="1"/>
        <v>380.3484504</v>
      </c>
      <c r="K54" s="1022">
        <f t="shared" si="2"/>
        <v>0.1131989436</v>
      </c>
      <c r="L54" s="1024"/>
      <c r="M54" s="1025"/>
      <c r="N54" s="24"/>
      <c r="O54" s="996"/>
      <c r="P54" s="694"/>
      <c r="Q54" s="24"/>
      <c r="U54" s="67"/>
    </row>
    <row r="55" ht="17.25" customHeight="1">
      <c r="A55" s="687">
        <f t="shared" si="3"/>
        <v>26</v>
      </c>
      <c r="B55" t="s">
        <v>1296</v>
      </c>
      <c r="C55" t="s">
        <v>1297</v>
      </c>
      <c r="D55" s="212" t="s">
        <v>1298</v>
      </c>
      <c r="E55" s="1007">
        <v>38.9122482</v>
      </c>
      <c r="F55" s="1007">
        <v>-119.9965847</v>
      </c>
      <c r="G55" s="212" t="s">
        <v>1238</v>
      </c>
      <c r="H55" s="212"/>
      <c r="I55" s="212" t="s">
        <v>1225</v>
      </c>
      <c r="J55" s="1021">
        <f t="shared" si="1"/>
        <v>156.3727234</v>
      </c>
      <c r="K55" s="1022">
        <f t="shared" si="2"/>
        <v>0.046539501</v>
      </c>
      <c r="L55" s="1024"/>
      <c r="M55" s="1025"/>
      <c r="N55" s="24"/>
      <c r="O55" s="996"/>
      <c r="P55" s="694"/>
      <c r="Q55" s="24"/>
      <c r="U55" s="67"/>
    </row>
    <row r="56" ht="17.25" customHeight="1">
      <c r="A56" s="687">
        <f t="shared" si="3"/>
        <v>27</v>
      </c>
      <c r="B56" t="s">
        <v>1299</v>
      </c>
      <c r="C56" t="s">
        <v>1300</v>
      </c>
      <c r="D56" s="212">
        <v>9.098666501E9</v>
      </c>
      <c r="E56" s="1007">
        <v>34.2465111</v>
      </c>
      <c r="F56" s="1007">
        <v>-116.8884951</v>
      </c>
      <c r="G56" s="212"/>
      <c r="H56" s="212"/>
      <c r="I56" s="212"/>
      <c r="J56" s="1021">
        <f t="shared" si="1"/>
        <v>413.8976326</v>
      </c>
      <c r="K56" s="1022">
        <f t="shared" si="2"/>
        <v>0.1231838192</v>
      </c>
      <c r="L56" s="1024"/>
      <c r="M56" s="1025"/>
      <c r="N56" s="24"/>
      <c r="O56" s="996"/>
      <c r="P56" s="694"/>
      <c r="Q56" s="24"/>
      <c r="U56" s="67"/>
    </row>
    <row r="57" ht="17.25" customHeight="1">
      <c r="A57" s="687">
        <f t="shared" si="3"/>
        <v>28</v>
      </c>
      <c r="B57" t="s">
        <v>1301</v>
      </c>
      <c r="C57" t="s">
        <v>1302</v>
      </c>
      <c r="D57" s="212">
        <v>3.237261222E9</v>
      </c>
      <c r="E57" s="1007">
        <v>34.015015</v>
      </c>
      <c r="F57" s="1007">
        <v>-118.100636</v>
      </c>
      <c r="G57" s="212"/>
      <c r="H57" s="212"/>
      <c r="I57" s="212"/>
      <c r="J57" s="1021">
        <f t="shared" si="1"/>
        <v>375.6664155</v>
      </c>
      <c r="K57" s="1022">
        <f t="shared" si="2"/>
        <v>0.1118054808</v>
      </c>
      <c r="L57" s="1024"/>
      <c r="M57" s="1025"/>
      <c r="N57" s="24"/>
      <c r="O57" s="996"/>
      <c r="P57" s="694"/>
      <c r="Q57" s="24"/>
      <c r="U57" s="67"/>
    </row>
    <row r="58" ht="17.25" customHeight="1">
      <c r="A58" s="687">
        <f t="shared" si="3"/>
        <v>29</v>
      </c>
      <c r="B58" t="s">
        <v>1303</v>
      </c>
      <c r="C58" t="s">
        <v>1304</v>
      </c>
      <c r="D58" s="1026" t="s">
        <v>1305</v>
      </c>
      <c r="E58" s="1027">
        <v>37.7893799</v>
      </c>
      <c r="F58" s="1027">
        <v>-122.4167294</v>
      </c>
      <c r="G58" s="1026" t="s">
        <v>1306</v>
      </c>
      <c r="H58" s="1026" t="s">
        <v>1225</v>
      </c>
      <c r="I58" s="1026" t="s">
        <v>1281</v>
      </c>
      <c r="J58" s="1021">
        <f t="shared" si="1"/>
        <v>19.85493773</v>
      </c>
      <c r="K58" s="1022" t="str">
        <f t="shared" si="2"/>
        <v/>
      </c>
      <c r="L58" s="1024"/>
      <c r="M58" s="1025"/>
      <c r="N58" s="24"/>
      <c r="O58" s="996"/>
      <c r="P58" s="694"/>
      <c r="Q58" s="24"/>
      <c r="U58" s="67"/>
    </row>
    <row r="59" ht="17.25" customHeight="1">
      <c r="A59" s="687">
        <f t="shared" si="3"/>
        <v>30</v>
      </c>
      <c r="B59" t="s">
        <v>1307</v>
      </c>
      <c r="C59" t="s">
        <v>1308</v>
      </c>
      <c r="D59" s="1026">
        <v>2.137482411E9</v>
      </c>
      <c r="E59" s="1027">
        <v>34.0374888</v>
      </c>
      <c r="F59" s="1027">
        <v>-118.2661449</v>
      </c>
      <c r="G59" s="1026"/>
      <c r="H59" s="1026"/>
      <c r="I59" s="1026"/>
      <c r="J59" s="1021">
        <f t="shared" si="1"/>
        <v>368.2758154</v>
      </c>
      <c r="K59" s="1022">
        <f t="shared" si="2"/>
        <v>0.1096058974</v>
      </c>
      <c r="L59" s="1024"/>
      <c r="M59" s="1025"/>
      <c r="N59" s="24"/>
      <c r="O59" s="996"/>
      <c r="P59" s="694"/>
      <c r="Q59" s="24"/>
      <c r="U59" s="67"/>
    </row>
    <row r="60" ht="17.25" customHeight="1">
      <c r="A60" s="687">
        <f t="shared" si="3"/>
        <v>31</v>
      </c>
      <c r="B60" s="1017" t="s">
        <v>1309</v>
      </c>
      <c r="C60" s="1018" t="s">
        <v>1310</v>
      </c>
      <c r="D60" s="1019">
        <v>4.156416562E9</v>
      </c>
      <c r="E60" s="1020">
        <v>37.7476239</v>
      </c>
      <c r="F60" s="1020">
        <v>-122.421527</v>
      </c>
      <c r="G60" s="1021"/>
      <c r="H60" s="1022"/>
      <c r="I60" s="1023"/>
      <c r="J60" s="1021">
        <f t="shared" si="1"/>
        <v>22.03218574</v>
      </c>
      <c r="K60" s="1022">
        <f t="shared" si="2"/>
        <v>0.006557198136</v>
      </c>
      <c r="L60" s="1024"/>
      <c r="M60" s="1025"/>
      <c r="N60" s="24"/>
      <c r="O60" s="996"/>
      <c r="P60" s="694"/>
      <c r="Q60" s="24"/>
      <c r="U60" s="67"/>
    </row>
    <row r="61" ht="17.25" customHeight="1">
      <c r="A61" s="687">
        <f t="shared" si="3"/>
        <v>32</v>
      </c>
      <c r="B61" t="s">
        <v>1311</v>
      </c>
      <c r="C61" t="s">
        <v>1312</v>
      </c>
      <c r="D61" s="212">
        <v>4.156006E9</v>
      </c>
      <c r="E61" s="1007">
        <v>37.7685917</v>
      </c>
      <c r="F61" s="1007">
        <v>-122.4347308</v>
      </c>
      <c r="G61" s="212"/>
      <c r="H61" s="212"/>
      <c r="I61" s="212"/>
      <c r="J61" s="1021">
        <f t="shared" si="1"/>
        <v>20.42554729</v>
      </c>
      <c r="K61" s="1022">
        <f t="shared" si="2"/>
        <v>0.006079031932</v>
      </c>
      <c r="L61" s="1024"/>
      <c r="M61" s="1025"/>
      <c r="N61" s="24"/>
      <c r="O61" s="996"/>
      <c r="P61" s="694"/>
      <c r="Q61" s="24"/>
    </row>
    <row r="62" ht="17.25" customHeight="1">
      <c r="A62" s="687">
        <f t="shared" si="3"/>
        <v>33</v>
      </c>
      <c r="B62" t="s">
        <v>1313</v>
      </c>
      <c r="C62" t="s">
        <v>1314</v>
      </c>
      <c r="D62" s="1026">
        <v>4.156006E9</v>
      </c>
      <c r="E62" s="1027">
        <v>37.7908536</v>
      </c>
      <c r="F62" s="1027">
        <v>-122.4313063</v>
      </c>
      <c r="G62" s="1026"/>
      <c r="H62" s="1026"/>
      <c r="I62" s="1026"/>
      <c r="J62" s="1021">
        <f t="shared" si="1"/>
        <v>19.28369623</v>
      </c>
      <c r="K62" s="1022">
        <f t="shared" si="2"/>
        <v>0.005739195307</v>
      </c>
      <c r="L62" s="1024"/>
      <c r="M62" s="1025"/>
      <c r="N62" s="24"/>
      <c r="O62" s="996"/>
      <c r="P62" s="694"/>
      <c r="Q62" s="24"/>
    </row>
    <row r="63" ht="17.25" customHeight="1">
      <c r="A63" s="687">
        <f t="shared" si="3"/>
        <v>34</v>
      </c>
      <c r="B63" s="1017" t="s">
        <v>1315</v>
      </c>
      <c r="C63" s="1018" t="s">
        <v>1316</v>
      </c>
      <c r="D63" s="1019">
        <v>9.095967733E9</v>
      </c>
      <c r="E63" s="1020">
        <v>34.0975963</v>
      </c>
      <c r="F63" s="1020">
        <v>-117.7469367</v>
      </c>
      <c r="G63" s="1021"/>
      <c r="H63" s="1022"/>
      <c r="I63" s="1023"/>
      <c r="J63" s="1021">
        <f t="shared" si="1"/>
        <v>385.1959657</v>
      </c>
      <c r="K63" s="1022">
        <f t="shared" si="2"/>
        <v>0.1146416564</v>
      </c>
      <c r="L63" s="1024"/>
      <c r="M63" s="1025"/>
      <c r="N63" s="24"/>
      <c r="O63" s="996"/>
      <c r="P63" s="694"/>
      <c r="Q63" s="24"/>
    </row>
    <row r="64" ht="17.25" customHeight="1">
      <c r="A64" s="687">
        <f t="shared" si="3"/>
        <v>35</v>
      </c>
      <c r="B64" t="s">
        <v>1317</v>
      </c>
      <c r="C64" t="s">
        <v>1318</v>
      </c>
      <c r="D64" s="212">
        <v>3.108238911E9</v>
      </c>
      <c r="E64" s="1027">
        <v>33.9817974</v>
      </c>
      <c r="F64" s="1027">
        <v>-118.4402399</v>
      </c>
      <c r="G64" s="1021"/>
      <c r="H64" s="1022"/>
      <c r="I64" s="1023"/>
      <c r="J64" s="1021">
        <f t="shared" si="1"/>
        <v>364.8594482</v>
      </c>
      <c r="K64" s="1022">
        <f t="shared" si="2"/>
        <v>0.1085891215</v>
      </c>
      <c r="L64" s="1024"/>
      <c r="M64" s="1025"/>
      <c r="N64" s="24"/>
      <c r="O64" s="996"/>
      <c r="P64" s="694"/>
      <c r="Q64" s="24"/>
    </row>
    <row r="65" ht="17.25" customHeight="1">
      <c r="A65" s="687">
        <f t="shared" si="3"/>
        <v>36</v>
      </c>
      <c r="B65" t="s">
        <v>1319</v>
      </c>
      <c r="C65" t="s">
        <v>1320</v>
      </c>
      <c r="D65" s="212" t="s">
        <v>1321</v>
      </c>
      <c r="E65" s="1007">
        <v>34.075232</v>
      </c>
      <c r="F65" s="1007">
        <v>-118.3801756</v>
      </c>
      <c r="G65" s="212" t="s">
        <v>1230</v>
      </c>
      <c r="H65" s="212"/>
      <c r="I65" s="212" t="s">
        <v>1225</v>
      </c>
      <c r="J65" s="1021">
        <f t="shared" si="1"/>
        <v>362.0578615</v>
      </c>
      <c r="K65" s="1022">
        <f t="shared" si="2"/>
        <v>0.1077553159</v>
      </c>
      <c r="L65" s="1024"/>
      <c r="M65" s="1025"/>
      <c r="N65" s="24"/>
      <c r="O65" s="996"/>
      <c r="P65" s="694"/>
      <c r="Q65" s="24"/>
    </row>
    <row r="66" ht="17.25" customHeight="1">
      <c r="A66" s="687">
        <f t="shared" si="3"/>
        <v>37</v>
      </c>
      <c r="B66" s="1017" t="s">
        <v>1322</v>
      </c>
      <c r="C66" s="926" t="s">
        <v>1323</v>
      </c>
      <c r="D66" s="1019">
        <v>3.10673466E9</v>
      </c>
      <c r="E66" s="1020">
        <v>33.9504805</v>
      </c>
      <c r="F66" s="1020">
        <v>-118.3482959</v>
      </c>
      <c r="G66" s="1021"/>
      <c r="H66" s="1022"/>
      <c r="I66" s="1023"/>
      <c r="J66" s="1021">
        <f t="shared" si="1"/>
        <v>369.8733574</v>
      </c>
      <c r="K66" s="1022">
        <f t="shared" si="2"/>
        <v>0.1100813564</v>
      </c>
      <c r="L66" s="1024"/>
      <c r="M66" s="1025"/>
      <c r="N66" s="24"/>
      <c r="O66" s="996"/>
      <c r="P66" s="694"/>
      <c r="Q66" s="694"/>
    </row>
    <row r="67" ht="17.25" customHeight="1">
      <c r="A67" s="687">
        <f t="shared" si="3"/>
        <v>38</v>
      </c>
      <c r="B67" t="s">
        <v>1324</v>
      </c>
      <c r="C67" t="s">
        <v>1325</v>
      </c>
      <c r="D67" s="1026">
        <v>7.146330011E9</v>
      </c>
      <c r="E67" s="1027">
        <v>33.7886124</v>
      </c>
      <c r="F67" s="1027">
        <v>-117.8262888</v>
      </c>
      <c r="G67" s="1026"/>
      <c r="H67" s="1026"/>
      <c r="I67" s="1026"/>
      <c r="J67" s="1021">
        <f t="shared" si="1"/>
        <v>397.8473304</v>
      </c>
      <c r="K67" s="1022">
        <f t="shared" si="2"/>
        <v>0.1184069436</v>
      </c>
      <c r="L67" s="1024"/>
      <c r="M67" s="1025"/>
      <c r="N67" s="24"/>
      <c r="O67" s="996"/>
      <c r="P67" s="694"/>
      <c r="Q67" s="694"/>
    </row>
    <row r="68" ht="17.25" customHeight="1">
      <c r="A68" s="687">
        <f t="shared" si="3"/>
        <v>39</v>
      </c>
      <c r="B68" s="1017" t="s">
        <v>1326</v>
      </c>
      <c r="C68" s="1018" t="s">
        <v>1327</v>
      </c>
      <c r="D68" s="1019">
        <v>4.1598224E9</v>
      </c>
      <c r="E68" s="1020">
        <v>37.7955406</v>
      </c>
      <c r="F68" s="1020">
        <v>-122.4091299</v>
      </c>
      <c r="G68" s="1021"/>
      <c r="H68" s="1022"/>
      <c r="I68" s="1023"/>
      <c r="J68" s="1021">
        <f t="shared" si="1"/>
        <v>19.79243351</v>
      </c>
      <c r="K68" s="1022">
        <f t="shared" si="2"/>
        <v>0.005890605212</v>
      </c>
      <c r="L68" s="1024"/>
      <c r="M68" s="1025"/>
      <c r="N68" s="24"/>
      <c r="O68" s="996"/>
      <c r="P68" s="694"/>
      <c r="Q68" s="24"/>
    </row>
    <row r="69" ht="17.25" customHeight="1">
      <c r="A69" s="687">
        <f t="shared" si="3"/>
        <v>40</v>
      </c>
      <c r="B69" t="s">
        <v>1328</v>
      </c>
      <c r="C69" t="s">
        <v>1329</v>
      </c>
      <c r="D69" s="1026">
        <v>9.096276111E9</v>
      </c>
      <c r="E69" s="1027">
        <v>34.0255642</v>
      </c>
      <c r="F69" s="1027">
        <v>-117.686109</v>
      </c>
      <c r="G69" s="1026"/>
      <c r="H69" s="1026"/>
      <c r="I69" s="1026"/>
      <c r="J69" s="1021">
        <f t="shared" si="1"/>
        <v>391.2096833</v>
      </c>
      <c r="K69" s="1022">
        <f t="shared" si="2"/>
        <v>0.1164314534</v>
      </c>
      <c r="L69" s="1024"/>
      <c r="M69" s="1025"/>
      <c r="N69" s="24"/>
      <c r="O69" s="996"/>
      <c r="P69" s="694"/>
      <c r="Q69" s="24"/>
    </row>
    <row r="70" ht="17.25" customHeight="1">
      <c r="A70" s="687">
        <f t="shared" si="3"/>
        <v>41</v>
      </c>
      <c r="B70" s="1017" t="s">
        <v>1330</v>
      </c>
      <c r="C70" s="926" t="s">
        <v>1331</v>
      </c>
      <c r="D70" s="1019">
        <v>6.268142468E9</v>
      </c>
      <c r="E70" s="1020">
        <v>34.0878738</v>
      </c>
      <c r="F70" s="1020">
        <v>-117.8935005</v>
      </c>
      <c r="G70" s="1021"/>
      <c r="H70" s="1022"/>
      <c r="I70" s="1023"/>
      <c r="J70" s="1021">
        <f t="shared" si="1"/>
        <v>379.9029844</v>
      </c>
      <c r="K70" s="1022">
        <f t="shared" si="2"/>
        <v>0.1130663644</v>
      </c>
      <c r="L70" s="1024"/>
      <c r="M70" s="1025"/>
      <c r="N70" s="24"/>
      <c r="O70" s="996"/>
      <c r="P70" s="694"/>
      <c r="Q70" s="24"/>
    </row>
    <row r="71" ht="17.25" customHeight="1">
      <c r="A71" s="687">
        <f t="shared" si="3"/>
        <v>42</v>
      </c>
      <c r="B71" t="s">
        <v>1332</v>
      </c>
      <c r="C71" t="s">
        <v>1333</v>
      </c>
      <c r="D71" s="1026">
        <v>6.263598111E9</v>
      </c>
      <c r="E71" s="1027">
        <v>34.1308315</v>
      </c>
      <c r="F71" s="1027">
        <v>-117.9722589</v>
      </c>
      <c r="G71" s="1026"/>
      <c r="H71" s="1026"/>
      <c r="I71" s="1026"/>
      <c r="J71" s="1021">
        <f t="shared" si="1"/>
        <v>374.6502158</v>
      </c>
      <c r="K71" s="1022">
        <f t="shared" si="2"/>
        <v>0.1115030404</v>
      </c>
      <c r="L71" s="1024"/>
      <c r="M71" s="1025"/>
      <c r="N71" s="24"/>
      <c r="O71" s="996"/>
      <c r="P71" s="694"/>
      <c r="Q71" s="694"/>
    </row>
    <row r="72" ht="17.25" customHeight="1">
      <c r="A72" s="687">
        <f t="shared" si="3"/>
        <v>43</v>
      </c>
      <c r="B72" t="s">
        <v>1334</v>
      </c>
      <c r="C72" t="s">
        <v>1335</v>
      </c>
      <c r="D72" s="212">
        <v>5.593244E9</v>
      </c>
      <c r="E72" s="1007">
        <v>36.8390429</v>
      </c>
      <c r="F72" s="1007">
        <v>-119.660354</v>
      </c>
      <c r="G72" s="212"/>
      <c r="H72" s="212"/>
      <c r="I72" s="212"/>
      <c r="J72" s="1021">
        <f t="shared" si="1"/>
        <v>182.9652871</v>
      </c>
      <c r="K72" s="1022">
        <f t="shared" si="2"/>
        <v>0.05445395449</v>
      </c>
      <c r="L72" s="1024"/>
      <c r="M72" s="1025"/>
      <c r="N72" s="24"/>
      <c r="O72" s="996"/>
      <c r="P72" s="694"/>
      <c r="Q72" s="24"/>
    </row>
    <row r="73" ht="17.25" customHeight="1">
      <c r="A73" s="687">
        <f t="shared" si="3"/>
        <v>44</v>
      </c>
      <c r="B73" s="1017" t="s">
        <v>1336</v>
      </c>
      <c r="C73" s="1018" t="s">
        <v>1337</v>
      </c>
      <c r="D73" s="1019">
        <v>5.5993564E9</v>
      </c>
      <c r="E73" s="1020">
        <v>36.1521337</v>
      </c>
      <c r="F73" s="1020">
        <v>-120.3410283</v>
      </c>
      <c r="G73" s="1021"/>
      <c r="H73" s="1022"/>
      <c r="I73" s="1023"/>
      <c r="J73" s="1021">
        <f t="shared" si="1"/>
        <v>180.9195667</v>
      </c>
      <c r="K73" s="1022">
        <f t="shared" si="2"/>
        <v>0.05384510913</v>
      </c>
      <c r="L73" s="1024"/>
      <c r="M73" s="1025"/>
      <c r="N73" s="24"/>
      <c r="O73" s="996"/>
      <c r="P73" s="694"/>
      <c r="Q73" s="24"/>
      <c r="U73" s="1029">
        <v>34.4305392</v>
      </c>
      <c r="V73" s="1029">
        <v>-119.7242159</v>
      </c>
    </row>
    <row r="74" ht="17.25" customHeight="1">
      <c r="A74" s="687">
        <f t="shared" si="3"/>
        <v>45</v>
      </c>
      <c r="B74" s="923" t="s">
        <v>1338</v>
      </c>
      <c r="C74" s="926" t="s">
        <v>1339</v>
      </c>
      <c r="D74" s="1019">
        <v>3.10356055E9</v>
      </c>
      <c r="E74" s="1020">
        <v>33.9127726</v>
      </c>
      <c r="F74" s="1020">
        <v>-118.0988257</v>
      </c>
      <c r="G74" s="1021"/>
      <c r="H74" s="1022"/>
      <c r="I74" s="1023"/>
      <c r="J74" s="1021">
        <f t="shared" si="1"/>
        <v>381.0801632</v>
      </c>
      <c r="K74" s="1022">
        <f t="shared" si="2"/>
        <v>0.1134167152</v>
      </c>
      <c r="L74" s="1024"/>
      <c r="M74" s="1025"/>
      <c r="N74" s="24"/>
      <c r="O74" s="996"/>
      <c r="P74" s="694"/>
      <c r="Q74" s="694"/>
    </row>
    <row r="75" ht="17.25" customHeight="1">
      <c r="A75" s="687">
        <f t="shared" si="3"/>
        <v>46</v>
      </c>
      <c r="B75" s="1017" t="s">
        <v>1340</v>
      </c>
      <c r="C75" s="1018" t="s">
        <v>1341</v>
      </c>
      <c r="D75" s="1019">
        <v>9.496422734E9</v>
      </c>
      <c r="E75" s="1020">
        <v>33.651829</v>
      </c>
      <c r="F75" s="1020">
        <v>-117.91198</v>
      </c>
      <c r="G75" s="1021"/>
      <c r="H75" s="1022"/>
      <c r="I75" s="1023"/>
      <c r="J75" s="1021">
        <f t="shared" si="1"/>
        <v>401.8118933</v>
      </c>
      <c r="K75" s="1022">
        <f t="shared" si="2"/>
        <v>0.119586873</v>
      </c>
      <c r="L75" s="1024"/>
      <c r="M75" s="1025"/>
      <c r="N75" s="24"/>
      <c r="O75" s="996"/>
      <c r="P75" s="694"/>
      <c r="Q75" s="24"/>
    </row>
    <row r="76" ht="17.25" customHeight="1">
      <c r="A76" s="687">
        <f t="shared" si="3"/>
        <v>47</v>
      </c>
      <c r="B76" t="s">
        <v>1342</v>
      </c>
      <c r="C76" t="s">
        <v>1343</v>
      </c>
      <c r="D76" s="212">
        <v>5.625951911E9</v>
      </c>
      <c r="E76" s="1007">
        <v>33.8069502</v>
      </c>
      <c r="F76" s="1007">
        <v>-118.1928532</v>
      </c>
      <c r="G76" s="212"/>
      <c r="H76" s="212"/>
      <c r="I76" s="212"/>
      <c r="J76" s="1021">
        <f t="shared" si="1"/>
        <v>383.2211706</v>
      </c>
      <c r="K76" s="1022">
        <f t="shared" si="2"/>
        <v>0.1140539198</v>
      </c>
      <c r="L76" s="1024"/>
      <c r="M76" s="1025"/>
      <c r="N76" s="24"/>
      <c r="O76" s="996"/>
      <c r="P76" s="694"/>
      <c r="Q76" s="24"/>
    </row>
    <row r="77" ht="17.25" customHeight="1">
      <c r="A77" s="687">
        <f t="shared" si="3"/>
        <v>48</v>
      </c>
      <c r="B77" t="s">
        <v>1344</v>
      </c>
      <c r="C77" t="s">
        <v>1345</v>
      </c>
      <c r="D77" s="1026">
        <v>7.603264531E9</v>
      </c>
      <c r="E77" s="1027">
        <v>34.8331484</v>
      </c>
      <c r="F77" s="1027">
        <v>-114.6175395</v>
      </c>
      <c r="G77" s="1026"/>
      <c r="H77" s="1026"/>
      <c r="I77" s="1026"/>
      <c r="J77" s="1021">
        <f t="shared" si="1"/>
        <v>498.0164221</v>
      </c>
      <c r="K77" s="1022">
        <f t="shared" si="2"/>
        <v>0.1482191733</v>
      </c>
      <c r="L77" s="1024"/>
      <c r="M77" s="1025"/>
      <c r="N77" s="24"/>
      <c r="O77" s="996"/>
      <c r="P77" s="694"/>
      <c r="Q77" s="694"/>
    </row>
    <row r="78" ht="17.25" customHeight="1">
      <c r="A78" s="687">
        <f t="shared" si="3"/>
        <v>49</v>
      </c>
      <c r="B78" t="s">
        <v>1346</v>
      </c>
      <c r="C78" t="s">
        <v>1347</v>
      </c>
      <c r="D78" s="212">
        <v>3.235831931E9</v>
      </c>
      <c r="E78" s="1007">
        <v>33.9895589</v>
      </c>
      <c r="F78" s="1007">
        <v>-118.2241996</v>
      </c>
      <c r="G78" s="212"/>
      <c r="H78" s="212"/>
      <c r="I78" s="212"/>
      <c r="J78" s="1021">
        <f t="shared" si="1"/>
        <v>372.3624829</v>
      </c>
      <c r="K78" s="1022">
        <f t="shared" si="2"/>
        <v>0.1108221675</v>
      </c>
      <c r="L78" s="1024"/>
      <c r="M78" s="1025"/>
      <c r="N78" s="24"/>
      <c r="O78" s="996"/>
      <c r="P78" s="694"/>
      <c r="Q78" s="24"/>
    </row>
    <row r="79" ht="17.25" customHeight="1">
      <c r="A79" s="687">
        <f t="shared" si="3"/>
        <v>50</v>
      </c>
      <c r="B79" t="s">
        <v>1348</v>
      </c>
      <c r="C79" t="s">
        <v>1349</v>
      </c>
      <c r="D79" s="212">
        <v>5.6249406E9</v>
      </c>
      <c r="E79" s="1007">
        <v>33.7884737</v>
      </c>
      <c r="F79" s="1007">
        <v>-118.1452922</v>
      </c>
      <c r="G79" s="212"/>
      <c r="H79" s="212"/>
      <c r="I79" s="212"/>
      <c r="J79" s="1021">
        <f t="shared" si="1"/>
        <v>385.946924</v>
      </c>
      <c r="K79" s="1022">
        <f t="shared" si="2"/>
        <v>0.114865156</v>
      </c>
      <c r="L79" s="1024"/>
      <c r="M79" s="1025"/>
      <c r="N79" s="24"/>
      <c r="O79" s="996"/>
      <c r="P79" s="694"/>
      <c r="Q79" s="24"/>
    </row>
    <row r="80" ht="17.25" customHeight="1">
      <c r="A80" s="687">
        <f t="shared" si="3"/>
        <v>51</v>
      </c>
      <c r="B80" t="s">
        <v>1350</v>
      </c>
      <c r="C80" t="s">
        <v>1351</v>
      </c>
      <c r="D80" s="212">
        <v>9.098876333E9</v>
      </c>
      <c r="E80" s="1007">
        <v>34.1318199</v>
      </c>
      <c r="F80" s="1007">
        <v>-117.3210155</v>
      </c>
      <c r="G80" s="212"/>
      <c r="H80" s="212"/>
      <c r="I80" s="212"/>
      <c r="J80" s="1021">
        <f t="shared" si="1"/>
        <v>400.8453727</v>
      </c>
      <c r="K80" s="1022">
        <f t="shared" si="2"/>
        <v>0.1192992181</v>
      </c>
      <c r="L80" s="1024"/>
      <c r="M80" s="1025"/>
      <c r="N80" s="24"/>
      <c r="O80" s="996"/>
      <c r="P80" s="694"/>
      <c r="Q80" s="24"/>
    </row>
    <row r="81" ht="17.25" customHeight="1">
      <c r="A81" s="687">
        <f t="shared" si="3"/>
        <v>52</v>
      </c>
      <c r="B81" t="s">
        <v>1352</v>
      </c>
      <c r="C81" t="s">
        <v>1353</v>
      </c>
      <c r="D81" s="212">
        <v>8.316245311E9</v>
      </c>
      <c r="E81" s="1007">
        <v>36.5788637</v>
      </c>
      <c r="F81" s="1007">
        <v>-121.9131591</v>
      </c>
      <c r="G81" s="212"/>
      <c r="H81" s="212"/>
      <c r="I81" s="212"/>
      <c r="J81" s="1021">
        <f t="shared" si="1"/>
        <v>107.050869</v>
      </c>
      <c r="K81" s="1022">
        <f t="shared" si="2"/>
        <v>0.03186037768</v>
      </c>
      <c r="L81" s="1024"/>
      <c r="M81" s="1025"/>
      <c r="N81" s="24"/>
      <c r="O81" s="24"/>
      <c r="P81" s="24"/>
      <c r="Q81" s="24"/>
    </row>
    <row r="82" ht="17.25" customHeight="1">
      <c r="A82" s="687">
        <f t="shared" si="3"/>
        <v>53</v>
      </c>
      <c r="B82" t="s">
        <v>1354</v>
      </c>
      <c r="C82" t="s">
        <v>1355</v>
      </c>
      <c r="D82" s="212">
        <v>8.056525011E9</v>
      </c>
      <c r="E82" s="1007">
        <v>34.2744991</v>
      </c>
      <c r="F82" s="1007">
        <v>-119.2577289</v>
      </c>
      <c r="G82" s="212"/>
      <c r="H82" s="212"/>
      <c r="I82" s="212"/>
      <c r="J82" s="1021">
        <f t="shared" si="1"/>
        <v>320.4202415</v>
      </c>
      <c r="K82" s="1022">
        <f t="shared" si="2"/>
        <v>0.0953631671</v>
      </c>
      <c r="L82" s="1021"/>
      <c r="M82" s="1022"/>
      <c r="N82" s="24"/>
      <c r="O82" s="24"/>
      <c r="P82" s="24"/>
      <c r="Q82" s="24"/>
    </row>
    <row r="83" ht="17.25" customHeight="1">
      <c r="A83" s="687">
        <f t="shared" si="3"/>
        <v>54</v>
      </c>
      <c r="B83" t="s">
        <v>1356</v>
      </c>
      <c r="C83" t="s">
        <v>1357</v>
      </c>
      <c r="D83" s="212" t="s">
        <v>1358</v>
      </c>
      <c r="E83" s="1007">
        <v>36.7428949</v>
      </c>
      <c r="F83" s="1007">
        <v>-119.7843968</v>
      </c>
      <c r="G83" s="212" t="s">
        <v>1230</v>
      </c>
      <c r="H83" s="212" t="s">
        <v>1225</v>
      </c>
      <c r="I83" s="212" t="s">
        <v>1225</v>
      </c>
      <c r="J83" s="1021">
        <f t="shared" si="1"/>
        <v>180.1221904</v>
      </c>
      <c r="K83" s="1022">
        <f t="shared" si="2"/>
        <v>0.05360779477</v>
      </c>
      <c r="L83" s="1021"/>
      <c r="M83" s="1022"/>
      <c r="N83" s="24"/>
      <c r="O83" s="24"/>
      <c r="P83" s="24"/>
      <c r="Q83" s="24"/>
    </row>
    <row r="84" ht="17.25" customHeight="1">
      <c r="A84" s="687">
        <f t="shared" si="3"/>
        <v>55</v>
      </c>
      <c r="B84" t="s">
        <v>1359</v>
      </c>
      <c r="C84" t="s">
        <v>1360</v>
      </c>
      <c r="D84" s="212">
        <v>9.517374343E9</v>
      </c>
      <c r="E84" s="1007">
        <v>33.8727795</v>
      </c>
      <c r="F84" s="1007">
        <v>-117.5683133</v>
      </c>
      <c r="G84" s="212"/>
      <c r="H84" s="212"/>
      <c r="I84" s="212"/>
      <c r="J84" s="1021">
        <f t="shared" si="1"/>
        <v>403.5381736</v>
      </c>
      <c r="K84" s="1022">
        <f t="shared" si="2"/>
        <v>0.1201006469</v>
      </c>
      <c r="L84" s="1021"/>
      <c r="M84" s="1022"/>
      <c r="N84" s="24"/>
      <c r="O84" s="24"/>
      <c r="P84" s="24"/>
      <c r="Q84" s="24"/>
    </row>
    <row r="85" ht="17.25" customHeight="1">
      <c r="A85" s="687">
        <f t="shared" si="3"/>
        <v>56</v>
      </c>
      <c r="B85" s="1017" t="s">
        <v>1361</v>
      </c>
      <c r="C85" s="1018" t="s">
        <v>1362</v>
      </c>
      <c r="D85" s="1019">
        <v>2.09944555E9</v>
      </c>
      <c r="E85" s="1020">
        <v>37.9616219</v>
      </c>
      <c r="F85" s="1020">
        <v>-121.3009926</v>
      </c>
      <c r="G85" s="1021"/>
      <c r="H85" s="1022"/>
      <c r="I85" s="1023"/>
      <c r="J85" s="1021">
        <f t="shared" si="1"/>
        <v>73.3717047</v>
      </c>
      <c r="K85" s="1022">
        <f t="shared" si="2"/>
        <v>0.02183681687</v>
      </c>
      <c r="L85" s="1024"/>
      <c r="M85" s="1025"/>
      <c r="N85" s="24"/>
      <c r="O85" s="24"/>
      <c r="P85" s="24"/>
      <c r="Q85" s="24"/>
    </row>
    <row r="86" ht="17.25" customHeight="1">
      <c r="A86" s="687">
        <f t="shared" si="3"/>
        <v>57</v>
      </c>
      <c r="B86" t="s">
        <v>1363</v>
      </c>
      <c r="C86" t="s">
        <v>1364</v>
      </c>
      <c r="D86" s="212">
        <v>6.6172548E9</v>
      </c>
      <c r="E86" s="1007">
        <v>35.7622854</v>
      </c>
      <c r="F86" s="1007">
        <v>-119.2392519</v>
      </c>
      <c r="G86" s="212"/>
      <c r="H86" s="212"/>
      <c r="I86" s="212"/>
      <c r="J86" s="1021">
        <f t="shared" si="1"/>
        <v>244.4182894</v>
      </c>
      <c r="K86" s="1022">
        <f t="shared" si="2"/>
        <v>0.07274353851</v>
      </c>
      <c r="L86" s="1021"/>
      <c r="M86" s="1022"/>
      <c r="N86" s="24"/>
      <c r="O86" s="24"/>
      <c r="P86" s="24"/>
      <c r="Q86" s="24"/>
    </row>
    <row r="87" ht="17.25" customHeight="1">
      <c r="A87" s="687">
        <f t="shared" si="3"/>
        <v>58</v>
      </c>
      <c r="B87" t="s">
        <v>1365</v>
      </c>
      <c r="C87" t="s">
        <v>1366</v>
      </c>
      <c r="D87" s="1026" t="s">
        <v>1367</v>
      </c>
      <c r="E87" s="1027">
        <v>33.838731</v>
      </c>
      <c r="F87" s="1027">
        <v>-116.543459</v>
      </c>
      <c r="G87" s="1026" t="s">
        <v>1233</v>
      </c>
      <c r="H87" s="1026"/>
      <c r="I87" s="1026" t="s">
        <v>1225</v>
      </c>
      <c r="J87" s="1021">
        <f t="shared" si="1"/>
        <v>447.4127305</v>
      </c>
      <c r="K87" s="1022">
        <f t="shared" si="2"/>
        <v>0.1331585507</v>
      </c>
      <c r="L87" s="1021"/>
      <c r="M87" s="1022"/>
      <c r="N87" s="24"/>
      <c r="O87" s="24"/>
      <c r="P87" s="24"/>
      <c r="Q87" s="24"/>
    </row>
    <row r="88" ht="17.25" customHeight="1">
      <c r="A88" s="687">
        <f t="shared" si="3"/>
        <v>59</v>
      </c>
      <c r="B88" t="s">
        <v>1368</v>
      </c>
      <c r="C88" t="s">
        <v>1369</v>
      </c>
      <c r="D88" s="1026">
        <v>7.602418E9</v>
      </c>
      <c r="E88" s="1027">
        <v>34.4722857</v>
      </c>
      <c r="F88" s="1027">
        <v>-117.2980128</v>
      </c>
      <c r="G88" s="1026"/>
      <c r="H88" s="1026"/>
      <c r="I88" s="1026"/>
      <c r="J88" s="1021">
        <f t="shared" si="1"/>
        <v>385.9629749</v>
      </c>
      <c r="K88" s="1022">
        <f t="shared" si="2"/>
        <v>0.114869933</v>
      </c>
      <c r="L88" s="1021"/>
      <c r="M88" s="1022"/>
      <c r="N88" s="24"/>
      <c r="O88" s="24"/>
      <c r="P88" s="24"/>
      <c r="Q88" s="24"/>
    </row>
    <row r="89" ht="17.25" customHeight="1">
      <c r="A89" s="687">
        <f t="shared" si="3"/>
        <v>60</v>
      </c>
      <c r="B89" t="s">
        <v>1370</v>
      </c>
      <c r="C89" t="s">
        <v>1371</v>
      </c>
      <c r="D89" s="212" t="s">
        <v>1372</v>
      </c>
      <c r="E89" s="1007">
        <v>34.0374888</v>
      </c>
      <c r="F89" s="1007">
        <v>-118.2661449</v>
      </c>
      <c r="G89" s="212" t="s">
        <v>1274</v>
      </c>
      <c r="H89" s="212"/>
      <c r="I89" s="212" t="s">
        <v>1225</v>
      </c>
      <c r="J89" s="1021">
        <f t="shared" si="1"/>
        <v>368.2758154</v>
      </c>
      <c r="K89" s="1022">
        <f t="shared" si="2"/>
        <v>0.1096058974</v>
      </c>
      <c r="L89" s="1021"/>
      <c r="M89" s="1022"/>
      <c r="N89" s="24"/>
      <c r="O89" s="24"/>
      <c r="P89" s="24"/>
      <c r="Q89" s="24"/>
    </row>
    <row r="90" ht="17.25" customHeight="1">
      <c r="A90" s="687">
        <f t="shared" si="3"/>
        <v>61</v>
      </c>
      <c r="B90" s="1017" t="s">
        <v>1373</v>
      </c>
      <c r="C90" s="926" t="s">
        <v>1374</v>
      </c>
      <c r="D90" s="1030" t="s">
        <v>1375</v>
      </c>
      <c r="E90" s="1027">
        <v>34.9509201</v>
      </c>
      <c r="F90" s="1027">
        <v>-120.4131853</v>
      </c>
      <c r="G90" s="1021" t="s">
        <v>1238</v>
      </c>
      <c r="H90" s="1022"/>
      <c r="I90" s="1023" t="s">
        <v>1225</v>
      </c>
      <c r="J90" s="1021">
        <f t="shared" si="1"/>
        <v>245.4915626</v>
      </c>
      <c r="K90" s="1022">
        <f t="shared" si="2"/>
        <v>0.07306296505</v>
      </c>
      <c r="L90" s="1021"/>
      <c r="M90" s="1022"/>
      <c r="O90" s="24"/>
      <c r="P90" s="24"/>
      <c r="Q90" s="24"/>
    </row>
    <row r="91" ht="17.25" customHeight="1">
      <c r="A91" s="687">
        <f t="shared" si="3"/>
        <v>62</v>
      </c>
      <c r="B91" t="s">
        <v>1376</v>
      </c>
      <c r="C91" t="s">
        <v>1377</v>
      </c>
      <c r="D91" s="212" t="s">
        <v>1378</v>
      </c>
      <c r="E91" s="1007">
        <v>41.3187005</v>
      </c>
      <c r="F91" s="1007">
        <v>-122.3209208</v>
      </c>
      <c r="G91" s="212" t="s">
        <v>1238</v>
      </c>
      <c r="H91" s="212"/>
      <c r="I91" s="212" t="s">
        <v>1225</v>
      </c>
      <c r="J91" s="1021">
        <f t="shared" si="1"/>
        <v>229.3338281</v>
      </c>
      <c r="K91" s="1022">
        <f t="shared" si="2"/>
        <v>0.06825411552</v>
      </c>
      <c r="L91" s="1021"/>
      <c r="M91" s="1022"/>
      <c r="N91" s="24"/>
      <c r="O91" s="24"/>
      <c r="P91" s="24"/>
      <c r="Q91" s="24"/>
    </row>
    <row r="92" ht="17.25" customHeight="1">
      <c r="A92" s="687">
        <f t="shared" si="3"/>
        <v>63</v>
      </c>
      <c r="B92" t="s">
        <v>1379</v>
      </c>
      <c r="C92" t="s">
        <v>1380</v>
      </c>
      <c r="D92" s="212" t="s">
        <v>1381</v>
      </c>
      <c r="E92" s="1027">
        <v>40.5719533</v>
      </c>
      <c r="F92" s="1027">
        <v>-122.3952328</v>
      </c>
      <c r="G92" s="1021" t="s">
        <v>1274</v>
      </c>
      <c r="H92" s="1022"/>
      <c r="I92" s="1023" t="s">
        <v>1225</v>
      </c>
      <c r="J92" s="1021">
        <f t="shared" si="1"/>
        <v>177.5339211</v>
      </c>
      <c r="K92" s="1022">
        <f t="shared" si="2"/>
        <v>0.05283747652</v>
      </c>
      <c r="L92" s="1024"/>
      <c r="M92" s="1025"/>
      <c r="N92" s="24"/>
      <c r="O92" s="24"/>
      <c r="P92" s="24"/>
      <c r="Q92" s="24"/>
    </row>
    <row r="93" ht="17.25" customHeight="1">
      <c r="A93" s="687">
        <f t="shared" si="3"/>
        <v>64</v>
      </c>
      <c r="B93" s="923" t="s">
        <v>1382</v>
      </c>
      <c r="C93" s="1018" t="s">
        <v>1383</v>
      </c>
      <c r="D93" s="1019" t="s">
        <v>1384</v>
      </c>
      <c r="E93" s="1020">
        <v>38.6693027</v>
      </c>
      <c r="F93" s="1020">
        <v>-121.3139776</v>
      </c>
      <c r="G93" s="1021" t="s">
        <v>1274</v>
      </c>
      <c r="H93" s="1022"/>
      <c r="I93" s="1023" t="s">
        <v>1225</v>
      </c>
      <c r="J93" s="1021">
        <f t="shared" si="1"/>
        <v>85.32066284</v>
      </c>
      <c r="K93" s="1022">
        <f t="shared" si="2"/>
        <v>0.02539305442</v>
      </c>
      <c r="L93" s="1021"/>
      <c r="M93" s="1022"/>
      <c r="N93" s="24"/>
      <c r="O93" s="24"/>
      <c r="P93" s="24"/>
      <c r="Q93" s="24"/>
    </row>
    <row r="94" ht="17.25" customHeight="1">
      <c r="A94" s="687">
        <f t="shared" si="3"/>
        <v>65</v>
      </c>
      <c r="B94" t="s">
        <v>1385</v>
      </c>
      <c r="C94" t="s">
        <v>1386</v>
      </c>
      <c r="D94" s="212" t="s">
        <v>1387</v>
      </c>
      <c r="E94" s="1007">
        <v>34.220782</v>
      </c>
      <c r="F94" s="1007">
        <v>-118.533128</v>
      </c>
      <c r="G94" s="212" t="s">
        <v>1274</v>
      </c>
      <c r="H94" s="212"/>
      <c r="I94" s="212" t="s">
        <v>1225</v>
      </c>
      <c r="J94" s="1021">
        <f t="shared" si="1"/>
        <v>348.7075662</v>
      </c>
      <c r="K94" s="1022">
        <f t="shared" si="2"/>
        <v>0.1037820138</v>
      </c>
      <c r="L94" s="1021"/>
      <c r="M94" s="1022"/>
      <c r="N94" s="24"/>
      <c r="O94" s="24"/>
      <c r="P94" s="24"/>
      <c r="Q94" s="24"/>
    </row>
    <row r="95" ht="17.25" customHeight="1">
      <c r="A95" s="687">
        <f t="shared" si="3"/>
        <v>66</v>
      </c>
      <c r="B95" t="s">
        <v>1388</v>
      </c>
      <c r="C95" t="s">
        <v>1389</v>
      </c>
      <c r="D95" s="212" t="s">
        <v>1390</v>
      </c>
      <c r="E95" s="1007">
        <v>40.1485519</v>
      </c>
      <c r="F95" s="1007">
        <v>-122.2190196</v>
      </c>
      <c r="G95" s="212" t="s">
        <v>1238</v>
      </c>
      <c r="H95" s="212"/>
      <c r="I95" s="212" t="s">
        <v>1225</v>
      </c>
      <c r="J95" s="1021">
        <f t="shared" si="1"/>
        <v>149.5033748</v>
      </c>
      <c r="K95" s="1022">
        <f t="shared" si="2"/>
        <v>0.04449505201</v>
      </c>
      <c r="L95" s="1024"/>
      <c r="M95" s="1025"/>
    </row>
    <row r="96" ht="17.25" customHeight="1">
      <c r="A96" s="687">
        <f t="shared" si="3"/>
        <v>67</v>
      </c>
      <c r="B96" s="1017" t="s">
        <v>1391</v>
      </c>
      <c r="C96" s="1018" t="s">
        <v>1392</v>
      </c>
      <c r="D96" s="1019" t="s">
        <v>1393</v>
      </c>
      <c r="E96" s="1020">
        <v>33.7800123</v>
      </c>
      <c r="F96" s="1020">
        <v>-118.1860042</v>
      </c>
      <c r="G96" s="1021" t="s">
        <v>1274</v>
      </c>
      <c r="H96" s="1022"/>
      <c r="I96" s="1023" t="s">
        <v>1225</v>
      </c>
      <c r="J96" s="1021">
        <f t="shared" si="1"/>
        <v>384.9141964</v>
      </c>
      <c r="K96" s="1022">
        <f t="shared" si="2"/>
        <v>0.1145577966</v>
      </c>
      <c r="L96" s="1024"/>
      <c r="M96" s="1025"/>
    </row>
    <row r="97" ht="17.25" customHeight="1">
      <c r="A97" s="687">
        <f t="shared" si="3"/>
        <v>68</v>
      </c>
      <c r="B97" t="s">
        <v>1394</v>
      </c>
      <c r="C97" t="s">
        <v>1395</v>
      </c>
      <c r="D97" s="212">
        <v>2.098233111E9</v>
      </c>
      <c r="E97" s="1027">
        <v>37.8015068</v>
      </c>
      <c r="F97" s="1027">
        <v>-121.1974112</v>
      </c>
      <c r="G97" s="1021"/>
      <c r="H97" s="1022"/>
      <c r="I97" s="1023"/>
      <c r="J97" s="1021">
        <f t="shared" si="1"/>
        <v>80.35870887</v>
      </c>
      <c r="K97" s="1022">
        <f t="shared" si="2"/>
        <v>0.0239162824</v>
      </c>
      <c r="L97" s="1021"/>
      <c r="M97" s="1022"/>
    </row>
    <row r="98" ht="17.25" customHeight="1">
      <c r="A98" s="687">
        <f t="shared" si="3"/>
        <v>69</v>
      </c>
      <c r="B98" t="s">
        <v>1396</v>
      </c>
      <c r="C98" t="s">
        <v>1397</v>
      </c>
      <c r="D98" s="212" t="s">
        <v>1398</v>
      </c>
      <c r="E98" s="1007">
        <v>37.66575</v>
      </c>
      <c r="F98" s="1007">
        <v>-120.9973109</v>
      </c>
      <c r="G98" s="212" t="s">
        <v>1274</v>
      </c>
      <c r="H98" s="212"/>
      <c r="I98" s="212" t="s">
        <v>1399</v>
      </c>
      <c r="J98" s="1021">
        <f t="shared" si="1"/>
        <v>93.16756714</v>
      </c>
      <c r="K98" s="1022">
        <f t="shared" si="2"/>
        <v>0.0277284426</v>
      </c>
      <c r="L98" s="1021"/>
      <c r="M98" s="1022"/>
    </row>
    <row r="99" ht="17.25" customHeight="1">
      <c r="A99" s="687">
        <f t="shared" si="3"/>
        <v>70</v>
      </c>
      <c r="B99" t="s">
        <v>1400</v>
      </c>
      <c r="C99" t="s">
        <v>1401</v>
      </c>
      <c r="D99" s="212">
        <v>8.3146277E9</v>
      </c>
      <c r="E99" s="1007">
        <v>36.989473</v>
      </c>
      <c r="F99" s="1007">
        <v>-121.9844119</v>
      </c>
      <c r="G99" s="212"/>
      <c r="H99" s="212"/>
      <c r="I99" s="212"/>
      <c r="J99" s="1021">
        <f t="shared" si="1"/>
        <v>79.52865243</v>
      </c>
      <c r="K99" s="1022">
        <f t="shared" si="2"/>
        <v>0.02366924179</v>
      </c>
      <c r="L99" s="1021"/>
      <c r="M99" s="1022"/>
    </row>
    <row r="100" ht="17.25" customHeight="1">
      <c r="A100" s="687">
        <f t="shared" si="3"/>
        <v>71</v>
      </c>
      <c r="B100" t="s">
        <v>1402</v>
      </c>
      <c r="C100" t="s">
        <v>1403</v>
      </c>
      <c r="D100" s="1026">
        <v>3.232685514E9</v>
      </c>
      <c r="E100" s="1027">
        <v>34.0237682</v>
      </c>
      <c r="F100" s="1027">
        <v>-118.1841496</v>
      </c>
      <c r="G100" s="1026"/>
      <c r="H100" s="1026"/>
      <c r="I100" s="1026"/>
      <c r="J100" s="1021">
        <f t="shared" si="1"/>
        <v>372.0609299</v>
      </c>
      <c r="K100" s="1022">
        <f t="shared" si="2"/>
        <v>0.1107324196</v>
      </c>
      <c r="L100" s="1021"/>
      <c r="M100" s="1022"/>
    </row>
    <row r="101" ht="17.25" customHeight="1">
      <c r="A101" s="687">
        <f t="shared" si="3"/>
        <v>72</v>
      </c>
      <c r="B101" t="s">
        <v>1404</v>
      </c>
      <c r="C101" t="s">
        <v>1405</v>
      </c>
      <c r="D101" s="212">
        <v>5.308324277E9</v>
      </c>
      <c r="E101" s="1007">
        <v>39.8055424</v>
      </c>
      <c r="F101" s="1007">
        <v>-120.462856</v>
      </c>
      <c r="G101" s="212"/>
      <c r="H101" s="212"/>
      <c r="I101" s="212"/>
      <c r="J101" s="1021">
        <f t="shared" si="1"/>
        <v>170.8176582</v>
      </c>
      <c r="K101" s="1022">
        <f t="shared" si="2"/>
        <v>0.05083858874</v>
      </c>
      <c r="L101" s="1024"/>
      <c r="M101" s="1025"/>
    </row>
    <row r="102" ht="17.25" customHeight="1">
      <c r="A102" s="687">
        <f t="shared" si="3"/>
        <v>73</v>
      </c>
      <c r="B102" t="s">
        <v>1406</v>
      </c>
      <c r="C102" t="s">
        <v>1407</v>
      </c>
      <c r="D102" s="212">
        <v>7.603403911E9</v>
      </c>
      <c r="E102" s="1007">
        <v>33.7634644</v>
      </c>
      <c r="F102" s="1007">
        <v>-116.4054164</v>
      </c>
      <c r="G102" s="212"/>
      <c r="H102" s="212"/>
      <c r="I102" s="212"/>
      <c r="J102" s="1021">
        <f t="shared" si="1"/>
        <v>456.8076915</v>
      </c>
      <c r="K102" s="1022">
        <f t="shared" si="2"/>
        <v>0.1359546701</v>
      </c>
      <c r="L102" s="1021"/>
      <c r="M102" s="1022"/>
    </row>
    <row r="103" ht="17.25" customHeight="1">
      <c r="A103" s="687">
        <f t="shared" si="3"/>
        <v>74</v>
      </c>
      <c r="B103" t="s">
        <v>1408</v>
      </c>
      <c r="C103" t="s">
        <v>1409</v>
      </c>
      <c r="D103" s="1026">
        <v>6.509407E9</v>
      </c>
      <c r="E103" s="1027">
        <v>37.3691517</v>
      </c>
      <c r="F103" s="1027">
        <v>-122.0795279</v>
      </c>
      <c r="G103" s="1026"/>
      <c r="H103" s="1026"/>
      <c r="I103" s="1026"/>
      <c r="J103" s="1021">
        <f t="shared" si="1"/>
        <v>54.2270143</v>
      </c>
      <c r="K103" s="1022">
        <f t="shared" si="2"/>
        <v>0.01613899235</v>
      </c>
      <c r="L103" s="1024"/>
      <c r="M103" s="1025"/>
    </row>
    <row r="104" ht="17.25" customHeight="1">
      <c r="A104" s="687">
        <f t="shared" si="3"/>
        <v>75</v>
      </c>
      <c r="B104" t="s">
        <v>1410</v>
      </c>
      <c r="C104" t="s">
        <v>1411</v>
      </c>
      <c r="D104" s="212" t="s">
        <v>1412</v>
      </c>
      <c r="E104" s="1027">
        <v>32.7804333</v>
      </c>
      <c r="F104" s="1027">
        <v>-115.568571</v>
      </c>
      <c r="G104" s="1021" t="s">
        <v>1247</v>
      </c>
      <c r="H104" s="1022"/>
      <c r="I104" s="1023" t="s">
        <v>1225</v>
      </c>
      <c r="J104" s="1021">
        <f t="shared" si="1"/>
        <v>538.7160964</v>
      </c>
      <c r="K104" s="1022">
        <f t="shared" si="2"/>
        <v>0.1603321715</v>
      </c>
      <c r="L104" s="1021"/>
      <c r="M104" s="1022"/>
      <c r="U104" s="1029">
        <v>41.7193201</v>
      </c>
      <c r="V104" s="1029">
        <v>-122.6456943</v>
      </c>
    </row>
    <row r="105" ht="17.25" customHeight="1">
      <c r="A105" s="687">
        <f t="shared" si="3"/>
        <v>76</v>
      </c>
      <c r="B105" s="1017" t="s">
        <v>1413</v>
      </c>
      <c r="C105" s="926" t="s">
        <v>1414</v>
      </c>
      <c r="D105" s="1019">
        <v>6.269638411E9</v>
      </c>
      <c r="E105" s="1020">
        <v>34.1327654</v>
      </c>
      <c r="F105" s="1020">
        <v>-117.8713435</v>
      </c>
      <c r="G105" s="1021"/>
      <c r="H105" s="1022"/>
      <c r="I105" s="1023"/>
      <c r="J105" s="1021">
        <f t="shared" si="1"/>
        <v>378.5093386</v>
      </c>
      <c r="K105" s="1022">
        <f t="shared" si="2"/>
        <v>0.1126515889</v>
      </c>
      <c r="L105" s="1021"/>
      <c r="M105" s="1022"/>
      <c r="U105" s="1029">
        <v>42.1811057</v>
      </c>
      <c r="V105" s="1029">
        <v>-120.3525652</v>
      </c>
    </row>
    <row r="106" ht="17.25" customHeight="1">
      <c r="A106" s="687">
        <f t="shared" si="3"/>
        <v>77</v>
      </c>
      <c r="B106" t="s">
        <v>1415</v>
      </c>
      <c r="C106" t="s">
        <v>1416</v>
      </c>
      <c r="D106" s="212">
        <v>2.0966742E9</v>
      </c>
      <c r="E106" s="1007">
        <v>37.5117626</v>
      </c>
      <c r="F106" s="1007">
        <v>-120.8389503</v>
      </c>
      <c r="G106" s="212"/>
      <c r="H106" s="212"/>
      <c r="I106" s="212"/>
      <c r="J106" s="1021">
        <f t="shared" si="1"/>
        <v>104.6787074</v>
      </c>
      <c r="K106" s="1022">
        <f t="shared" si="2"/>
        <v>0.03115437721</v>
      </c>
      <c r="L106" s="1021"/>
      <c r="M106" s="1022"/>
      <c r="U106" s="1029">
        <v>42.252901</v>
      </c>
      <c r="V106" s="1029">
        <v>-121.7850162</v>
      </c>
    </row>
    <row r="107" ht="17.25" customHeight="1">
      <c r="A107" s="687">
        <f t="shared" si="3"/>
        <v>78</v>
      </c>
      <c r="B107" t="s">
        <v>1417</v>
      </c>
      <c r="C107" t="s">
        <v>1418</v>
      </c>
      <c r="D107" s="212">
        <v>8.189955E9</v>
      </c>
      <c r="E107" s="1007">
        <v>34.1574278</v>
      </c>
      <c r="F107" s="1007">
        <v>-118.4870017</v>
      </c>
      <c r="G107" s="212"/>
      <c r="H107" s="212"/>
      <c r="I107" s="212"/>
      <c r="J107" s="1021">
        <f t="shared" si="1"/>
        <v>353.7651595</v>
      </c>
      <c r="K107" s="1022">
        <f t="shared" si="2"/>
        <v>0.1052872498</v>
      </c>
      <c r="L107" s="1021"/>
      <c r="M107" s="1022"/>
      <c r="U107" s="1029">
        <v>42.206032</v>
      </c>
      <c r="V107" s="1029">
        <v>-122.7250341</v>
      </c>
    </row>
    <row r="108" ht="17.25" customHeight="1">
      <c r="A108" s="687">
        <f t="shared" si="3"/>
        <v>79</v>
      </c>
      <c r="B108" s="1017" t="s">
        <v>1419</v>
      </c>
      <c r="C108" s="1018" t="s">
        <v>1420</v>
      </c>
      <c r="D108" s="1019" t="s">
        <v>1421</v>
      </c>
      <c r="E108" s="1020">
        <v>39.7425867</v>
      </c>
      <c r="F108" s="1020">
        <v>-121.849727</v>
      </c>
      <c r="G108" s="1021" t="s">
        <v>1274</v>
      </c>
      <c r="H108" s="1022"/>
      <c r="I108" s="1023" t="s">
        <v>1225</v>
      </c>
      <c r="J108" s="1021">
        <f t="shared" si="1"/>
        <v>127.0969471</v>
      </c>
      <c r="K108" s="1022">
        <f t="shared" si="2"/>
        <v>0.03782647235</v>
      </c>
      <c r="L108" s="1024"/>
      <c r="M108" s="1025"/>
      <c r="U108" s="1029">
        <v>42.3174845</v>
      </c>
      <c r="V108" s="1029">
        <v>-122.8311596</v>
      </c>
    </row>
    <row r="109" ht="17.25" customHeight="1">
      <c r="A109" s="687">
        <f t="shared" si="3"/>
        <v>80</v>
      </c>
      <c r="B109" t="s">
        <v>1422</v>
      </c>
      <c r="C109" t="s">
        <v>1423</v>
      </c>
      <c r="D109" s="212" t="s">
        <v>1424</v>
      </c>
      <c r="E109" s="1027">
        <v>41.7193201</v>
      </c>
      <c r="F109" s="1027">
        <v>-122.6456943</v>
      </c>
      <c r="G109" s="1021" t="s">
        <v>1247</v>
      </c>
      <c r="H109" s="1022"/>
      <c r="I109" s="1023" t="s">
        <v>1425</v>
      </c>
      <c r="J109" s="1021">
        <f t="shared" si="1"/>
        <v>256.3942851</v>
      </c>
      <c r="K109" s="1022">
        <f t="shared" si="2"/>
        <v>0.07630782294</v>
      </c>
      <c r="L109" s="1021"/>
      <c r="M109" s="1022"/>
      <c r="U109" s="1029">
        <v>42.3395579</v>
      </c>
      <c r="V109" s="1029">
        <v>-122.8626204</v>
      </c>
    </row>
    <row r="110" ht="17.25" customHeight="1">
      <c r="A110" s="687">
        <f t="shared" si="3"/>
        <v>81</v>
      </c>
      <c r="B110" t="s">
        <v>1426</v>
      </c>
      <c r="C110" t="s">
        <v>1427</v>
      </c>
      <c r="D110" s="212">
        <v>7.149575E9</v>
      </c>
      <c r="E110" s="1007">
        <v>33.663336</v>
      </c>
      <c r="F110" s="1007">
        <v>-117.922388</v>
      </c>
      <c r="G110" s="212"/>
      <c r="H110" s="212"/>
      <c r="I110" s="212"/>
      <c r="J110" s="1021">
        <f t="shared" si="1"/>
        <v>400.8160746</v>
      </c>
      <c r="K110" s="1022">
        <f t="shared" si="2"/>
        <v>0.1192904984</v>
      </c>
      <c r="L110" s="1024"/>
      <c r="M110" s="1025"/>
      <c r="U110" s="1029">
        <v>42.4211806</v>
      </c>
      <c r="V110" s="1029">
        <v>-123.3426466</v>
      </c>
    </row>
    <row r="111" ht="17.25" customHeight="1">
      <c r="A111" s="687">
        <f t="shared" si="3"/>
        <v>82</v>
      </c>
      <c r="B111" t="s">
        <v>1428</v>
      </c>
      <c r="C111" t="s">
        <v>1429</v>
      </c>
      <c r="D111" s="212">
        <v>7.1461977E9</v>
      </c>
      <c r="E111" s="1007">
        <v>33.7305509</v>
      </c>
      <c r="F111" s="1007">
        <v>-117.8283481</v>
      </c>
      <c r="G111" s="212"/>
      <c r="H111" s="212"/>
      <c r="I111" s="212"/>
      <c r="J111" s="1021">
        <f t="shared" si="1"/>
        <v>400.7951496</v>
      </c>
      <c r="K111" s="1022">
        <f t="shared" si="2"/>
        <v>0.1192842707</v>
      </c>
      <c r="L111" s="1024"/>
      <c r="M111" s="1025"/>
      <c r="U111" s="1029">
        <v>39.52552</v>
      </c>
      <c r="V111" s="1029">
        <v>-119.7952114</v>
      </c>
    </row>
    <row r="112" ht="17.25" customHeight="1">
      <c r="A112" s="687">
        <f t="shared" si="3"/>
        <v>83</v>
      </c>
      <c r="B112" s="1017" t="s">
        <v>1430</v>
      </c>
      <c r="C112" s="1018" t="s">
        <v>1431</v>
      </c>
      <c r="D112" s="1019">
        <v>7.1496672E9</v>
      </c>
      <c r="E112" s="1020">
        <v>33.7151853</v>
      </c>
      <c r="F112" s="1020">
        <v>-117.9360672</v>
      </c>
      <c r="G112" s="1021"/>
      <c r="H112" s="1022"/>
      <c r="I112" s="1023"/>
      <c r="J112" s="1021">
        <f t="shared" si="1"/>
        <v>397.5638935</v>
      </c>
      <c r="K112" s="1022">
        <f t="shared" si="2"/>
        <v>0.1183225874</v>
      </c>
      <c r="L112" s="1021"/>
      <c r="M112" s="1022"/>
      <c r="U112" s="1029">
        <v>36.1597177</v>
      </c>
      <c r="V112" s="1029">
        <v>-115.1657104</v>
      </c>
    </row>
    <row r="113" ht="17.25" customHeight="1">
      <c r="A113" s="687">
        <f t="shared" si="3"/>
        <v>84</v>
      </c>
      <c r="B113" t="s">
        <v>1432</v>
      </c>
      <c r="C113" t="s">
        <v>1433</v>
      </c>
      <c r="D113" s="212">
        <v>8.055435353E9</v>
      </c>
      <c r="E113" s="1007">
        <v>35.278037</v>
      </c>
      <c r="F113" s="1007">
        <v>-120.6509014</v>
      </c>
      <c r="G113" s="212"/>
      <c r="H113" s="212"/>
      <c r="I113" s="212"/>
      <c r="J113" s="1021">
        <f t="shared" si="1"/>
        <v>219.1662397</v>
      </c>
      <c r="K113" s="1022">
        <f t="shared" si="2"/>
        <v>0.06522804753</v>
      </c>
      <c r="L113" s="1021"/>
      <c r="M113" s="1022"/>
    </row>
    <row r="114" ht="17.25" customHeight="1">
      <c r="A114" s="687">
        <f t="shared" si="3"/>
        <v>85</v>
      </c>
      <c r="B114" t="s">
        <v>1434</v>
      </c>
      <c r="C114" t="s">
        <v>1435</v>
      </c>
      <c r="D114" s="212">
        <v>5.594338E9</v>
      </c>
      <c r="E114" s="1007">
        <v>36.8599153</v>
      </c>
      <c r="F114" s="1007">
        <v>-119.7887439</v>
      </c>
      <c r="G114" s="212"/>
      <c r="H114" s="212"/>
      <c r="I114" s="212"/>
      <c r="J114" s="1021">
        <f t="shared" si="1"/>
        <v>175.9942778</v>
      </c>
      <c r="K114" s="1022">
        <f t="shared" si="2"/>
        <v>0.05237924934</v>
      </c>
      <c r="L114" s="1024"/>
      <c r="M114" s="1025"/>
    </row>
    <row r="115" ht="17.25" customHeight="1">
      <c r="A115" s="687">
        <f t="shared" si="3"/>
        <v>86</v>
      </c>
      <c r="B115" t="s">
        <v>1436</v>
      </c>
      <c r="C115" t="s">
        <v>1437</v>
      </c>
      <c r="D115" s="1026">
        <v>5.594318E9</v>
      </c>
      <c r="E115" s="1020">
        <v>36.8248459</v>
      </c>
      <c r="F115" s="1020">
        <v>-119.7819144</v>
      </c>
      <c r="G115" s="1021"/>
      <c r="H115" s="1022"/>
      <c r="I115" s="1023"/>
      <c r="J115" s="1021">
        <f t="shared" si="1"/>
        <v>177.4716188</v>
      </c>
      <c r="K115" s="1022">
        <f t="shared" si="2"/>
        <v>0.05281893416</v>
      </c>
      <c r="L115" s="1024"/>
      <c r="M115" s="1025"/>
    </row>
    <row r="116" ht="17.25" customHeight="1">
      <c r="A116" s="687">
        <f t="shared" si="3"/>
        <v>87</v>
      </c>
      <c r="B116" s="1017" t="s">
        <v>1438</v>
      </c>
      <c r="C116" s="1018" t="s">
        <v>1439</v>
      </c>
      <c r="D116" s="1019">
        <v>7.14537516E9</v>
      </c>
      <c r="E116" s="1020">
        <v>33.7750066</v>
      </c>
      <c r="F116" s="1020">
        <v>-117.9129079</v>
      </c>
      <c r="G116" s="1021"/>
      <c r="H116" s="1022"/>
      <c r="I116" s="1023"/>
      <c r="J116" s="1021">
        <f t="shared" si="1"/>
        <v>395.2821923</v>
      </c>
      <c r="K116" s="1022">
        <f t="shared" si="2"/>
        <v>0.1176435096</v>
      </c>
      <c r="L116" s="1024"/>
      <c r="M116" s="1025"/>
    </row>
    <row r="117" ht="17.25" customHeight="1">
      <c r="A117" s="687">
        <f t="shared" si="3"/>
        <v>88</v>
      </c>
      <c r="B117" t="s">
        <v>1440</v>
      </c>
      <c r="C117" t="s">
        <v>1441</v>
      </c>
      <c r="D117" s="212">
        <v>5.628600401E9</v>
      </c>
      <c r="E117" s="1007">
        <v>33.8335701</v>
      </c>
      <c r="F117" s="1007">
        <v>-118.0801696</v>
      </c>
      <c r="G117" s="212"/>
      <c r="H117" s="212"/>
      <c r="I117" s="212"/>
      <c r="J117" s="1021">
        <f t="shared" si="1"/>
        <v>385.9506619</v>
      </c>
      <c r="K117" s="1022">
        <f t="shared" si="2"/>
        <v>0.1148662684</v>
      </c>
      <c r="L117" s="1021"/>
      <c r="M117" s="1022"/>
    </row>
    <row r="118" ht="17.25" customHeight="1">
      <c r="A118" s="687">
        <f t="shared" si="3"/>
        <v>89</v>
      </c>
      <c r="B118" t="s">
        <v>1442</v>
      </c>
      <c r="C118" t="s">
        <v>1443</v>
      </c>
      <c r="D118" s="1026">
        <v>6.265732222E9</v>
      </c>
      <c r="E118" s="1027">
        <v>34.0678947</v>
      </c>
      <c r="F118" s="1027">
        <v>-118.1238043</v>
      </c>
      <c r="G118" s="1026"/>
      <c r="H118" s="1026"/>
      <c r="I118" s="1026"/>
      <c r="J118" s="1021">
        <f t="shared" si="1"/>
        <v>372.0418861</v>
      </c>
      <c r="K118" s="1022">
        <f t="shared" si="2"/>
        <v>0.1107267518</v>
      </c>
      <c r="L118" s="1021"/>
      <c r="M118" s="1022"/>
    </row>
    <row r="119" ht="17.25" customHeight="1">
      <c r="A119" s="687">
        <f t="shared" si="3"/>
        <v>90</v>
      </c>
      <c r="B119" t="s">
        <v>1444</v>
      </c>
      <c r="C119" t="s">
        <v>1445</v>
      </c>
      <c r="D119" s="1026">
        <v>8.313856E9</v>
      </c>
      <c r="E119" s="1027">
        <v>36.2062367</v>
      </c>
      <c r="F119" s="1027">
        <v>-121.1328224</v>
      </c>
      <c r="G119" s="1026"/>
      <c r="H119" s="1026"/>
      <c r="I119" s="1026"/>
      <c r="J119" s="1021">
        <f t="shared" si="1"/>
        <v>150.2497978</v>
      </c>
      <c r="K119" s="1022">
        <f t="shared" si="2"/>
        <v>0.04471720173</v>
      </c>
      <c r="L119" s="1021"/>
      <c r="M119" s="1022"/>
    </row>
    <row r="120" ht="17.25" customHeight="1">
      <c r="A120" s="687">
        <f t="shared" si="3"/>
        <v>91</v>
      </c>
      <c r="B120" t="s">
        <v>1446</v>
      </c>
      <c r="C120" t="s">
        <v>1447</v>
      </c>
      <c r="D120" s="1026">
        <v>8.184098202E9</v>
      </c>
      <c r="E120" s="1027">
        <v>34.1502139</v>
      </c>
      <c r="F120" s="1027">
        <v>-118.2304591</v>
      </c>
      <c r="G120" s="1026"/>
      <c r="H120" s="1026"/>
      <c r="I120" s="1026"/>
      <c r="J120" s="1021">
        <f t="shared" si="1"/>
        <v>363.7231888</v>
      </c>
      <c r="K120" s="1022">
        <f t="shared" si="2"/>
        <v>0.108250949</v>
      </c>
      <c r="L120" s="1021"/>
      <c r="M120" s="1022"/>
    </row>
    <row r="121" ht="17.25" customHeight="1">
      <c r="A121" s="687">
        <f t="shared" si="3"/>
        <v>92</v>
      </c>
      <c r="B121" t="s">
        <v>1448</v>
      </c>
      <c r="C121" t="s">
        <v>1449</v>
      </c>
      <c r="D121" s="1026">
        <v>8.1850219E9</v>
      </c>
      <c r="E121" s="1027">
        <v>34.1280862</v>
      </c>
      <c r="F121" s="1027">
        <v>-118.2569564</v>
      </c>
      <c r="G121" s="1026"/>
      <c r="H121" s="1026"/>
      <c r="I121" s="1026"/>
      <c r="J121" s="1021">
        <f t="shared" si="1"/>
        <v>363.8718817</v>
      </c>
      <c r="K121" s="1022">
        <f t="shared" si="2"/>
        <v>0.1082952029</v>
      </c>
      <c r="L121" s="1021"/>
      <c r="M121" s="1022"/>
    </row>
    <row r="122" ht="17.25" customHeight="1">
      <c r="A122" s="687">
        <f t="shared" si="3"/>
        <v>93</v>
      </c>
      <c r="B122" t="s">
        <v>1450</v>
      </c>
      <c r="C122" t="s">
        <v>1451</v>
      </c>
      <c r="D122" s="212">
        <v>6.263350231E9</v>
      </c>
      <c r="E122" s="1007">
        <v>34.1275602</v>
      </c>
      <c r="F122" s="1007">
        <v>-117.8651171</v>
      </c>
      <c r="G122" s="212"/>
      <c r="H122" s="212"/>
      <c r="I122" s="212"/>
      <c r="J122" s="1021">
        <f t="shared" si="1"/>
        <v>379.0163478</v>
      </c>
      <c r="K122" s="1022">
        <f t="shared" si="2"/>
        <v>0.1128024845</v>
      </c>
      <c r="L122" s="1024"/>
      <c r="M122" s="1025"/>
    </row>
    <row r="123" ht="17.25" customHeight="1">
      <c r="A123" s="687">
        <f t="shared" si="3"/>
        <v>94</v>
      </c>
      <c r="B123" t="s">
        <v>1452</v>
      </c>
      <c r="C123" t="s">
        <v>1453</v>
      </c>
      <c r="D123" s="212">
        <v>5.309341818E9</v>
      </c>
      <c r="E123" s="1007">
        <v>39.5213602</v>
      </c>
      <c r="F123" s="1007">
        <v>-122.2084362</v>
      </c>
      <c r="G123" s="212"/>
      <c r="H123" s="212"/>
      <c r="I123" s="212"/>
      <c r="J123" s="1021">
        <f t="shared" si="1"/>
        <v>106.983313</v>
      </c>
      <c r="K123" s="1022">
        <f t="shared" si="2"/>
        <v>0.03184027172</v>
      </c>
      <c r="L123" s="1024"/>
      <c r="M123" s="1025"/>
    </row>
    <row r="124" ht="17.25" customHeight="1">
      <c r="A124" s="687">
        <f t="shared" si="3"/>
        <v>95</v>
      </c>
      <c r="B124" t="s">
        <v>1454</v>
      </c>
      <c r="C124" t="s">
        <v>1455</v>
      </c>
      <c r="D124" s="1026">
        <v>8.056816446E9</v>
      </c>
      <c r="E124" s="1027">
        <v>34.4334194</v>
      </c>
      <c r="F124" s="1027">
        <v>-119.8104104</v>
      </c>
      <c r="G124" s="1026"/>
      <c r="H124" s="1026"/>
      <c r="I124" s="1026"/>
      <c r="J124" s="1021">
        <f t="shared" si="1"/>
        <v>293.8087423</v>
      </c>
      <c r="K124" s="1022">
        <f t="shared" si="2"/>
        <v>0.08744307806</v>
      </c>
      <c r="L124" s="1021"/>
      <c r="M124" s="1022"/>
    </row>
    <row r="125" ht="17.25" customHeight="1">
      <c r="A125" s="687">
        <f t="shared" si="3"/>
        <v>96</v>
      </c>
      <c r="B125" t="s">
        <v>1456</v>
      </c>
      <c r="C125" t="s">
        <v>1457</v>
      </c>
      <c r="D125" s="212">
        <v>6.613994461E9</v>
      </c>
      <c r="E125" s="1007">
        <v>35.4117156999999</v>
      </c>
      <c r="F125" s="1007">
        <v>-119.0397188</v>
      </c>
      <c r="G125" s="212"/>
      <c r="H125" s="212"/>
      <c r="I125" s="212"/>
      <c r="J125" s="1021">
        <f t="shared" si="1"/>
        <v>268.9661416</v>
      </c>
      <c r="K125" s="1022">
        <f t="shared" si="2"/>
        <v>0.0800494469</v>
      </c>
      <c r="L125" s="1021"/>
      <c r="M125" s="1022"/>
    </row>
    <row r="126" ht="17.25" customHeight="1">
      <c r="A126" s="687">
        <f t="shared" si="3"/>
        <v>97</v>
      </c>
      <c r="B126" t="s">
        <v>1456</v>
      </c>
      <c r="C126" t="s">
        <v>1458</v>
      </c>
      <c r="D126" s="212">
        <v>2.139772121E9</v>
      </c>
      <c r="E126" s="1007">
        <v>34.054492</v>
      </c>
      <c r="F126" s="1007">
        <v>-118.2649048</v>
      </c>
      <c r="G126" s="212"/>
      <c r="H126" s="212"/>
      <c r="I126" s="212"/>
      <c r="J126" s="1021">
        <f t="shared" si="1"/>
        <v>367.4271066</v>
      </c>
      <c r="K126" s="1022">
        <f t="shared" si="2"/>
        <v>0.1093533055</v>
      </c>
      <c r="L126" s="1021"/>
      <c r="M126" s="1022"/>
    </row>
    <row r="127" ht="17.25" customHeight="1">
      <c r="A127" s="687">
        <f t="shared" si="3"/>
        <v>98</v>
      </c>
      <c r="B127" t="s">
        <v>1456</v>
      </c>
      <c r="C127" t="s">
        <v>1459</v>
      </c>
      <c r="D127" s="212">
        <v>4.085592011E9</v>
      </c>
      <c r="E127" s="1007">
        <v>37.2517475</v>
      </c>
      <c r="F127" s="1007">
        <v>-121.9466889</v>
      </c>
      <c r="G127" s="212"/>
      <c r="H127" s="212"/>
      <c r="I127" s="212"/>
      <c r="J127" s="1021">
        <f t="shared" si="1"/>
        <v>65.07739335</v>
      </c>
      <c r="K127" s="1022">
        <f t="shared" si="2"/>
        <v>0.01936827183</v>
      </c>
      <c r="L127" s="1024"/>
      <c r="M127" s="1025"/>
    </row>
    <row r="128" ht="17.25" customHeight="1">
      <c r="A128" s="687">
        <f t="shared" si="3"/>
        <v>99</v>
      </c>
      <c r="B128" t="s">
        <v>1460</v>
      </c>
      <c r="C128" t="s">
        <v>1461</v>
      </c>
      <c r="D128" s="212">
        <v>6.263507975E9</v>
      </c>
      <c r="E128" s="1007">
        <v>34.0480516</v>
      </c>
      <c r="F128" s="1007">
        <v>-118.0434003</v>
      </c>
      <c r="G128" s="212"/>
      <c r="H128" s="212"/>
      <c r="I128" s="212"/>
      <c r="J128" s="1021">
        <f t="shared" si="1"/>
        <v>376.1352295</v>
      </c>
      <c r="K128" s="1022">
        <f t="shared" si="2"/>
        <v>0.1119450088</v>
      </c>
      <c r="L128" s="1021"/>
      <c r="M128" s="1022"/>
    </row>
    <row r="129" ht="17.25" customHeight="1">
      <c r="A129" s="687">
        <f t="shared" si="3"/>
        <v>100</v>
      </c>
      <c r="B129" t="s">
        <v>1462</v>
      </c>
      <c r="C129" t="s">
        <v>1463</v>
      </c>
      <c r="D129" s="212">
        <v>6.194650711E9</v>
      </c>
      <c r="E129" s="1027">
        <v>32.7811037</v>
      </c>
      <c r="F129" s="1027">
        <v>-117.0067073</v>
      </c>
      <c r="G129" s="1021"/>
      <c r="H129" s="1022"/>
      <c r="I129" s="1023"/>
      <c r="J129" s="1021">
        <f t="shared" si="1"/>
        <v>481.7061267</v>
      </c>
      <c r="K129" s="1022">
        <f t="shared" si="2"/>
        <v>0.1433649187</v>
      </c>
      <c r="L129" s="1024"/>
      <c r="M129" s="1025"/>
    </row>
    <row r="130" ht="17.25" customHeight="1">
      <c r="A130" s="687">
        <f t="shared" si="3"/>
        <v>101</v>
      </c>
      <c r="B130" s="1017" t="s">
        <v>1464</v>
      </c>
      <c r="C130" s="926" t="s">
        <v>1465</v>
      </c>
      <c r="D130" s="1019" t="s">
        <v>1466</v>
      </c>
      <c r="E130" s="1020">
        <v>33.8308436</v>
      </c>
      <c r="F130" s="1020">
        <v>-118.2925709</v>
      </c>
      <c r="G130" s="1021" t="s">
        <v>1230</v>
      </c>
      <c r="H130" s="1022"/>
      <c r="I130" s="1023" t="s">
        <v>1225</v>
      </c>
      <c r="J130" s="1021">
        <f t="shared" si="1"/>
        <v>378.3194841</v>
      </c>
      <c r="K130" s="1022">
        <f t="shared" si="2"/>
        <v>0.1125950846</v>
      </c>
      <c r="L130" s="1024"/>
      <c r="M130" s="1025"/>
    </row>
    <row r="131" ht="17.25" customHeight="1">
      <c r="A131" s="687">
        <f t="shared" si="3"/>
        <v>102</v>
      </c>
      <c r="B131" t="s">
        <v>1467</v>
      </c>
      <c r="C131" t="s">
        <v>1468</v>
      </c>
      <c r="D131" s="212" t="s">
        <v>1469</v>
      </c>
      <c r="E131" s="1007">
        <v>34.4803821</v>
      </c>
      <c r="F131" s="1007">
        <v>-114.3388668</v>
      </c>
      <c r="G131" s="212" t="s">
        <v>1238</v>
      </c>
      <c r="H131" s="212"/>
      <c r="I131" s="212" t="s">
        <v>1225</v>
      </c>
      <c r="J131" s="1021">
        <f t="shared" si="1"/>
        <v>523.8522787</v>
      </c>
      <c r="K131" s="1022">
        <f t="shared" si="2"/>
        <v>0.1559084163</v>
      </c>
      <c r="L131" s="1021"/>
      <c r="M131" s="1022"/>
    </row>
    <row r="132" ht="17.25" customHeight="1">
      <c r="A132" s="687">
        <f t="shared" si="3"/>
        <v>103</v>
      </c>
      <c r="B132" t="s">
        <v>1470</v>
      </c>
      <c r="C132" t="s">
        <v>1471</v>
      </c>
      <c r="D132" s="212">
        <v>8.316375711E9</v>
      </c>
      <c r="E132" s="1027">
        <v>36.8338985</v>
      </c>
      <c r="F132" s="1027">
        <v>-121.3861055</v>
      </c>
      <c r="G132" s="1021"/>
      <c r="H132" s="1022"/>
      <c r="I132" s="1023"/>
      <c r="J132" s="1021">
        <f t="shared" si="1"/>
        <v>106.9269202</v>
      </c>
      <c r="K132" s="1022">
        <f t="shared" si="2"/>
        <v>0.03182348817</v>
      </c>
      <c r="L132" s="1021"/>
      <c r="M132" s="1022"/>
    </row>
    <row r="133" ht="17.25" customHeight="1">
      <c r="A133" s="687">
        <f t="shared" si="3"/>
        <v>104</v>
      </c>
      <c r="B133" t="s">
        <v>1472</v>
      </c>
      <c r="C133" t="s">
        <v>1473</v>
      </c>
      <c r="D133" s="212">
        <v>7.0743165E9</v>
      </c>
      <c r="E133" s="1007">
        <v>38.627093</v>
      </c>
      <c r="F133" s="1007">
        <v>-122.8643251</v>
      </c>
      <c r="G133" s="212"/>
      <c r="H133" s="212"/>
      <c r="I133" s="212"/>
      <c r="J133" s="1021">
        <f t="shared" si="1"/>
        <v>44.13027409</v>
      </c>
      <c r="K133" s="1022">
        <f t="shared" si="2"/>
        <v>0.01313401015</v>
      </c>
      <c r="L133" s="1021"/>
      <c r="M133" s="1022"/>
    </row>
    <row r="134" ht="17.25" customHeight="1">
      <c r="A134" s="687">
        <f t="shared" si="3"/>
        <v>105</v>
      </c>
      <c r="B134" t="s">
        <v>1474</v>
      </c>
      <c r="C134" t="s">
        <v>1475</v>
      </c>
      <c r="D134" s="212">
        <v>9.516522811E9</v>
      </c>
      <c r="E134" s="1007">
        <v>33.7503708</v>
      </c>
      <c r="F134" s="1007">
        <v>-116.9601303</v>
      </c>
      <c r="G134" s="212"/>
      <c r="H134" s="212"/>
      <c r="I134" s="212"/>
      <c r="J134" s="1021">
        <f t="shared" si="1"/>
        <v>434.1067839</v>
      </c>
      <c r="K134" s="1022">
        <f t="shared" si="2"/>
        <v>0.1291984476</v>
      </c>
      <c r="L134" s="1024"/>
      <c r="M134" s="1025"/>
    </row>
    <row r="135" ht="17.25" customHeight="1">
      <c r="A135" s="687">
        <f t="shared" si="3"/>
        <v>106</v>
      </c>
      <c r="B135" t="s">
        <v>1476</v>
      </c>
      <c r="C135" t="s">
        <v>1477</v>
      </c>
      <c r="D135" s="1026" t="s">
        <v>1478</v>
      </c>
      <c r="E135" s="1027">
        <v>34.39787</v>
      </c>
      <c r="F135" s="1027">
        <v>-118.5539446</v>
      </c>
      <c r="G135" s="1026" t="s">
        <v>1274</v>
      </c>
      <c r="H135" s="1026"/>
      <c r="I135" s="1026" t="s">
        <v>1225</v>
      </c>
      <c r="J135" s="1021">
        <f t="shared" si="1"/>
        <v>338.6294647</v>
      </c>
      <c r="K135" s="1022">
        <f t="shared" si="2"/>
        <v>0.1007825788</v>
      </c>
      <c r="L135" s="1021"/>
      <c r="M135" s="1022"/>
    </row>
    <row r="136" ht="17.25" customHeight="1">
      <c r="A136" s="687">
        <f t="shared" si="3"/>
        <v>107</v>
      </c>
      <c r="B136" t="s">
        <v>1479</v>
      </c>
      <c r="C136" t="s">
        <v>1480</v>
      </c>
      <c r="D136" s="212">
        <v>7.603663711E9</v>
      </c>
      <c r="E136" s="1007">
        <v>34.1326806</v>
      </c>
      <c r="F136" s="1007">
        <v>-116.2761849</v>
      </c>
      <c r="G136" s="212"/>
      <c r="H136" s="212"/>
      <c r="I136" s="212"/>
      <c r="J136" s="1021">
        <f t="shared" si="1"/>
        <v>445.90898</v>
      </c>
      <c r="K136" s="1022">
        <f t="shared" si="2"/>
        <v>0.1327110059</v>
      </c>
      <c r="L136" s="1024"/>
      <c r="M136" s="1025"/>
    </row>
    <row r="137" ht="17.25" customHeight="1">
      <c r="A137" s="687">
        <f t="shared" si="3"/>
        <v>108</v>
      </c>
      <c r="B137" t="s">
        <v>1481</v>
      </c>
      <c r="C137" t="s">
        <v>1482</v>
      </c>
      <c r="D137" s="1026" t="s">
        <v>1483</v>
      </c>
      <c r="E137" s="1027">
        <v>37.7986088</v>
      </c>
      <c r="F137" s="1027">
        <v>-122.2316641</v>
      </c>
      <c r="G137" s="1026" t="s">
        <v>1230</v>
      </c>
      <c r="H137" s="1026"/>
      <c r="I137" s="1026" t="s">
        <v>1281</v>
      </c>
      <c r="J137" s="1021">
        <f t="shared" si="1"/>
        <v>26.99760776</v>
      </c>
      <c r="K137" s="1022" t="str">
        <f t="shared" si="2"/>
        <v/>
      </c>
      <c r="L137" s="1024"/>
      <c r="M137" s="1025"/>
    </row>
    <row r="138" ht="17.25" customHeight="1">
      <c r="A138" s="687">
        <f t="shared" si="3"/>
        <v>109</v>
      </c>
      <c r="B138" t="s">
        <v>1484</v>
      </c>
      <c r="C138" t="s">
        <v>1485</v>
      </c>
      <c r="D138" s="212">
        <v>9.497644624E9</v>
      </c>
      <c r="E138" s="1007">
        <v>33.625061</v>
      </c>
      <c r="F138" s="1007">
        <v>-117.9304162</v>
      </c>
      <c r="G138" s="212"/>
      <c r="H138" s="212"/>
      <c r="I138" s="212"/>
      <c r="J138" s="1021">
        <f t="shared" si="1"/>
        <v>402.5531785</v>
      </c>
      <c r="K138" s="1022">
        <f t="shared" si="2"/>
        <v>0.1198074936</v>
      </c>
      <c r="L138" s="1021"/>
      <c r="M138" s="1022"/>
    </row>
    <row r="139" ht="17.25" customHeight="1">
      <c r="A139" s="687">
        <f t="shared" si="3"/>
        <v>110</v>
      </c>
      <c r="B139" t="s">
        <v>1486</v>
      </c>
      <c r="C139" t="s">
        <v>1487</v>
      </c>
      <c r="D139" s="212">
        <v>2.134133E9</v>
      </c>
      <c r="E139" s="1007">
        <v>34.0963187</v>
      </c>
      <c r="F139" s="1007">
        <v>-118.2903056</v>
      </c>
      <c r="G139" s="212"/>
      <c r="H139" s="212"/>
      <c r="I139" s="212"/>
      <c r="J139" s="1021">
        <f t="shared" si="1"/>
        <v>364.281398</v>
      </c>
      <c r="K139" s="1022">
        <f t="shared" si="2"/>
        <v>0.1084170827</v>
      </c>
      <c r="L139" s="1021"/>
      <c r="M139" s="1022"/>
    </row>
    <row r="140" ht="17.25" customHeight="1">
      <c r="A140" s="687">
        <f t="shared" si="3"/>
        <v>111</v>
      </c>
      <c r="B140" t="s">
        <v>1488</v>
      </c>
      <c r="C140" t="s">
        <v>1489</v>
      </c>
      <c r="D140" s="212">
        <v>7.148435E9</v>
      </c>
      <c r="E140" s="1027">
        <v>33.70364</v>
      </c>
      <c r="F140" s="1027">
        <v>-117.986656</v>
      </c>
      <c r="G140" s="1021"/>
      <c r="H140" s="1022"/>
      <c r="I140" s="1023"/>
      <c r="J140" s="1021">
        <f t="shared" si="1"/>
        <v>396.2993708</v>
      </c>
      <c r="K140" s="1022">
        <f t="shared" si="2"/>
        <v>0.1179462413</v>
      </c>
      <c r="L140" s="1021"/>
      <c r="M140" s="1022"/>
    </row>
    <row r="141" ht="17.25" customHeight="1">
      <c r="A141" s="687">
        <f t="shared" si="3"/>
        <v>112</v>
      </c>
      <c r="B141" t="s">
        <v>1490</v>
      </c>
      <c r="C141" t="s">
        <v>1491</v>
      </c>
      <c r="D141" s="212" t="s">
        <v>1492</v>
      </c>
      <c r="E141" s="1007">
        <v>34.133943</v>
      </c>
      <c r="F141" s="1007">
        <v>-118.1521448</v>
      </c>
      <c r="G141" s="212" t="s">
        <v>1274</v>
      </c>
      <c r="H141" s="212"/>
      <c r="I141" s="212" t="s">
        <v>1225</v>
      </c>
      <c r="J141" s="1021">
        <f t="shared" si="1"/>
        <v>367.546569</v>
      </c>
      <c r="K141" s="1022">
        <f t="shared" si="2"/>
        <v>0.1093888598</v>
      </c>
      <c r="L141" s="1021"/>
      <c r="M141" s="1022"/>
    </row>
    <row r="142" ht="17.25" customHeight="1">
      <c r="A142" s="687">
        <f t="shared" si="3"/>
        <v>113</v>
      </c>
      <c r="B142" t="s">
        <v>1493</v>
      </c>
      <c r="C142" t="s">
        <v>1494</v>
      </c>
      <c r="D142" s="212" t="s">
        <v>1495</v>
      </c>
      <c r="E142" s="1007">
        <v>33.5917132</v>
      </c>
      <c r="F142" s="1007">
        <v>-117.2376587</v>
      </c>
      <c r="G142" s="212" t="s">
        <v>1274</v>
      </c>
      <c r="H142" s="212"/>
      <c r="I142" s="212" t="s">
        <v>1225</v>
      </c>
      <c r="J142" s="1021">
        <f t="shared" si="1"/>
        <v>430.7603888</v>
      </c>
      <c r="K142" s="1022">
        <f t="shared" si="2"/>
        <v>0.1282024967</v>
      </c>
      <c r="L142" s="1021"/>
      <c r="M142" s="1022"/>
    </row>
    <row r="143" ht="17.25" customHeight="1">
      <c r="A143" s="687">
        <f t="shared" si="3"/>
        <v>114</v>
      </c>
      <c r="B143" t="s">
        <v>1496</v>
      </c>
      <c r="C143" t="s">
        <v>1497</v>
      </c>
      <c r="D143" s="212">
        <v>7.079233921E9</v>
      </c>
      <c r="E143" s="1007">
        <v>40.1016415</v>
      </c>
      <c r="F143" s="1007">
        <v>-123.7922407</v>
      </c>
      <c r="G143" s="212"/>
      <c r="H143" s="212"/>
      <c r="I143" s="212"/>
      <c r="J143" s="1021">
        <f t="shared" si="1"/>
        <v>157.0818512</v>
      </c>
      <c r="K143" s="1022">
        <f t="shared" si="2"/>
        <v>0.04675055095</v>
      </c>
      <c r="L143" s="1021"/>
      <c r="M143" s="1022"/>
    </row>
    <row r="144" ht="17.25" customHeight="1">
      <c r="A144" s="687">
        <f t="shared" si="3"/>
        <v>115</v>
      </c>
      <c r="B144" t="s">
        <v>1498</v>
      </c>
      <c r="C144" t="s">
        <v>1499</v>
      </c>
      <c r="D144" s="1026">
        <v>2.099663631E9</v>
      </c>
      <c r="E144" s="1027">
        <v>37.500397</v>
      </c>
      <c r="F144" s="1027">
        <v>-119.977678</v>
      </c>
      <c r="G144" s="1026"/>
      <c r="H144" s="1026"/>
      <c r="I144" s="1026"/>
      <c r="J144" s="1021">
        <f t="shared" si="1"/>
        <v>150.1290416</v>
      </c>
      <c r="K144" s="1022">
        <f t="shared" si="2"/>
        <v>0.04468126237</v>
      </c>
      <c r="L144" s="1024"/>
      <c r="M144" s="1025"/>
    </row>
    <row r="145" ht="17.25" customHeight="1">
      <c r="A145" s="687">
        <f t="shared" si="3"/>
        <v>116</v>
      </c>
      <c r="B145" s="1017" t="s">
        <v>1500</v>
      </c>
      <c r="C145" s="926" t="s">
        <v>1501</v>
      </c>
      <c r="D145" s="1019">
        <v>7.603476191E9</v>
      </c>
      <c r="E145" s="1020">
        <v>33.7061109</v>
      </c>
      <c r="F145" s="1020">
        <v>-116.2353527</v>
      </c>
      <c r="G145" s="1021"/>
      <c r="H145" s="1022"/>
      <c r="I145" s="1023"/>
      <c r="J145" s="1021">
        <f t="shared" si="1"/>
        <v>466.7663061</v>
      </c>
      <c r="K145" s="1022">
        <f t="shared" si="2"/>
        <v>0.1389185435</v>
      </c>
      <c r="L145" s="1024"/>
      <c r="M145" s="1025"/>
      <c r="Q145" s="41" t="s">
        <v>1502</v>
      </c>
      <c r="R145" s="41" t="s">
        <v>1502</v>
      </c>
      <c r="S145" s="41" t="s">
        <v>1502</v>
      </c>
      <c r="T145" s="41" t="s">
        <v>1502</v>
      </c>
      <c r="U145" s="41" t="s">
        <v>1502</v>
      </c>
      <c r="V145" s="41" t="s">
        <v>1502</v>
      </c>
      <c r="W145" s="41" t="s">
        <v>1502</v>
      </c>
      <c r="X145" s="41" t="s">
        <v>1502</v>
      </c>
      <c r="Y145" s="41" t="s">
        <v>1502</v>
      </c>
      <c r="Z145" s="41" t="s">
        <v>1502</v>
      </c>
      <c r="AA145" s="41" t="s">
        <v>1502</v>
      </c>
      <c r="AB145" s="41" t="s">
        <v>1502</v>
      </c>
      <c r="AC145" s="41" t="s">
        <v>1502</v>
      </c>
      <c r="AD145" s="41" t="s">
        <v>1502</v>
      </c>
      <c r="AE145" s="41" t="s">
        <v>1502</v>
      </c>
      <c r="AF145" s="41" t="s">
        <v>1502</v>
      </c>
      <c r="AG145" s="41" t="s">
        <v>1502</v>
      </c>
      <c r="AH145" s="41" t="s">
        <v>1502</v>
      </c>
      <c r="AI145" s="41" t="s">
        <v>1502</v>
      </c>
      <c r="AJ145" s="41" t="s">
        <v>1502</v>
      </c>
      <c r="AK145" s="41" t="s">
        <v>1502</v>
      </c>
      <c r="AL145" s="41" t="s">
        <v>1502</v>
      </c>
      <c r="AM145" s="41" t="s">
        <v>1502</v>
      </c>
      <c r="AN145" s="41" t="s">
        <v>1502</v>
      </c>
      <c r="AO145" s="41" t="s">
        <v>1502</v>
      </c>
      <c r="AP145" s="41" t="s">
        <v>1502</v>
      </c>
      <c r="AQ145" s="41" t="s">
        <v>1502</v>
      </c>
      <c r="AR145" s="41" t="s">
        <v>1502</v>
      </c>
      <c r="AS145" s="41" t="s">
        <v>1502</v>
      </c>
      <c r="AT145" s="41" t="s">
        <v>1502</v>
      </c>
      <c r="AU145" s="41" t="s">
        <v>1502</v>
      </c>
      <c r="AV145" s="41" t="s">
        <v>1502</v>
      </c>
      <c r="AW145" s="41" t="s">
        <v>1502</v>
      </c>
      <c r="AX145" s="41" t="s">
        <v>1502</v>
      </c>
      <c r="AY145" s="41" t="s">
        <v>1502</v>
      </c>
      <c r="AZ145" s="41" t="s">
        <v>1502</v>
      </c>
      <c r="BA145" s="41" t="s">
        <v>1502</v>
      </c>
      <c r="BB145" s="41" t="s">
        <v>1502</v>
      </c>
      <c r="BC145" s="41" t="s">
        <v>1502</v>
      </c>
      <c r="BD145" s="41" t="s">
        <v>1502</v>
      </c>
      <c r="BE145" s="41" t="s">
        <v>1502</v>
      </c>
      <c r="BF145" s="41" t="s">
        <v>1502</v>
      </c>
      <c r="BG145" s="41" t="s">
        <v>1502</v>
      </c>
      <c r="BH145" s="41" t="s">
        <v>1502</v>
      </c>
      <c r="BI145" s="41" t="s">
        <v>1502</v>
      </c>
      <c r="BJ145" s="41" t="s">
        <v>1502</v>
      </c>
      <c r="BK145" s="41" t="s">
        <v>1502</v>
      </c>
      <c r="BL145" s="41" t="s">
        <v>1502</v>
      </c>
      <c r="BM145" s="41" t="s">
        <v>1502</v>
      </c>
      <c r="BN145" s="41" t="s">
        <v>1502</v>
      </c>
      <c r="BO145" s="41" t="s">
        <v>1502</v>
      </c>
      <c r="BP145" s="41" t="s">
        <v>1502</v>
      </c>
      <c r="BQ145" s="41" t="s">
        <v>1502</v>
      </c>
      <c r="BR145" s="41" t="s">
        <v>1502</v>
      </c>
      <c r="BS145" s="41" t="s">
        <v>1502</v>
      </c>
      <c r="BT145" s="41" t="s">
        <v>1502</v>
      </c>
      <c r="BU145" s="41" t="s">
        <v>1502</v>
      </c>
      <c r="BV145" s="41" t="s">
        <v>1502</v>
      </c>
      <c r="BW145" s="41" t="s">
        <v>1502</v>
      </c>
      <c r="BX145" s="41" t="s">
        <v>1502</v>
      </c>
      <c r="BY145" s="41" t="s">
        <v>1502</v>
      </c>
      <c r="BZ145" s="41" t="s">
        <v>1502</v>
      </c>
      <c r="CA145" s="41" t="s">
        <v>1502</v>
      </c>
      <c r="CB145" s="41" t="s">
        <v>1502</v>
      </c>
      <c r="CC145" s="41" t="s">
        <v>1502</v>
      </c>
      <c r="CD145" s="41" t="s">
        <v>1502</v>
      </c>
      <c r="CE145" s="41" t="s">
        <v>1502</v>
      </c>
      <c r="CF145" s="41" t="s">
        <v>1502</v>
      </c>
      <c r="CG145" s="41" t="s">
        <v>1502</v>
      </c>
      <c r="CH145" s="41" t="s">
        <v>1502</v>
      </c>
      <c r="CI145" s="41" t="s">
        <v>1502</v>
      </c>
      <c r="CJ145" s="41" t="s">
        <v>1502</v>
      </c>
      <c r="CK145" s="41" t="s">
        <v>1502</v>
      </c>
      <c r="CL145" s="41" t="s">
        <v>1502</v>
      </c>
      <c r="CM145" s="41" t="s">
        <v>1502</v>
      </c>
      <c r="CN145" s="41" t="s">
        <v>1502</v>
      </c>
      <c r="CO145" s="41" t="s">
        <v>1502</v>
      </c>
      <c r="CP145" s="41" t="s">
        <v>1502</v>
      </c>
      <c r="CQ145" s="41" t="s">
        <v>1502</v>
      </c>
      <c r="CR145" s="41" t="s">
        <v>1502</v>
      </c>
      <c r="CS145" s="41" t="s">
        <v>1502</v>
      </c>
      <c r="CT145" s="41" t="s">
        <v>1502</v>
      </c>
      <c r="CU145" s="41" t="s">
        <v>1502</v>
      </c>
      <c r="CV145" s="41" t="s">
        <v>1502</v>
      </c>
      <c r="CW145" s="41" t="s">
        <v>1502</v>
      </c>
      <c r="CX145" s="41" t="s">
        <v>1502</v>
      </c>
      <c r="CY145" s="41" t="s">
        <v>1502</v>
      </c>
      <c r="CZ145" s="41" t="s">
        <v>1502</v>
      </c>
      <c r="DA145" s="41" t="s">
        <v>1502</v>
      </c>
      <c r="DB145" s="41" t="s">
        <v>1502</v>
      </c>
      <c r="DC145" s="41" t="s">
        <v>1502</v>
      </c>
      <c r="DD145" s="41" t="s">
        <v>1502</v>
      </c>
      <c r="DE145" s="41" t="s">
        <v>1502</v>
      </c>
      <c r="DF145" s="41" t="s">
        <v>1502</v>
      </c>
      <c r="DG145" s="41" t="s">
        <v>1502</v>
      </c>
      <c r="DH145" s="41" t="s">
        <v>1502</v>
      </c>
      <c r="DI145" s="41" t="s">
        <v>1502</v>
      </c>
      <c r="DJ145" s="41" t="s">
        <v>1502</v>
      </c>
      <c r="DK145" s="41" t="s">
        <v>1502</v>
      </c>
      <c r="DL145" s="41" t="s">
        <v>1502</v>
      </c>
      <c r="DM145" s="41" t="s">
        <v>1502</v>
      </c>
      <c r="DN145" s="41" t="s">
        <v>1502</v>
      </c>
      <c r="DO145" s="41" t="s">
        <v>1502</v>
      </c>
      <c r="DP145" s="41" t="s">
        <v>1502</v>
      </c>
      <c r="DQ145" s="41" t="s">
        <v>1502</v>
      </c>
      <c r="DR145" s="41" t="s">
        <v>1502</v>
      </c>
      <c r="DS145" s="41" t="s">
        <v>1502</v>
      </c>
      <c r="DT145" s="41" t="s">
        <v>1502</v>
      </c>
      <c r="DU145" s="41" t="s">
        <v>1502</v>
      </c>
      <c r="DV145" s="41" t="s">
        <v>1502</v>
      </c>
      <c r="DW145" s="41" t="s">
        <v>1502</v>
      </c>
      <c r="DX145" s="41" t="s">
        <v>1502</v>
      </c>
      <c r="DY145" s="41" t="s">
        <v>1502</v>
      </c>
      <c r="DZ145" s="41" t="s">
        <v>1502</v>
      </c>
      <c r="EA145" s="41" t="s">
        <v>1502</v>
      </c>
      <c r="EB145" s="41" t="s">
        <v>1502</v>
      </c>
      <c r="EC145" s="41" t="s">
        <v>1502</v>
      </c>
      <c r="ED145" s="41" t="s">
        <v>1502</v>
      </c>
      <c r="EE145" s="41" t="s">
        <v>1502</v>
      </c>
      <c r="EF145" s="41" t="s">
        <v>1502</v>
      </c>
      <c r="EG145" s="41" t="s">
        <v>1502</v>
      </c>
      <c r="EH145" s="41" t="s">
        <v>1502</v>
      </c>
      <c r="EI145" s="41" t="s">
        <v>1502</v>
      </c>
      <c r="EJ145" s="41" t="s">
        <v>1502</v>
      </c>
      <c r="EK145" s="41" t="s">
        <v>1502</v>
      </c>
      <c r="EL145" s="41" t="s">
        <v>1502</v>
      </c>
      <c r="EM145" s="41" t="s">
        <v>1502</v>
      </c>
      <c r="EN145" s="41" t="s">
        <v>1502</v>
      </c>
      <c r="EO145" s="41" t="s">
        <v>1502</v>
      </c>
      <c r="EP145" s="41" t="s">
        <v>1502</v>
      </c>
      <c r="EQ145" s="41" t="s">
        <v>1502</v>
      </c>
      <c r="ER145" s="41" t="s">
        <v>1502</v>
      </c>
      <c r="ES145" s="41" t="s">
        <v>1502</v>
      </c>
      <c r="ET145" s="41" t="s">
        <v>1502</v>
      </c>
      <c r="EU145" s="41" t="s">
        <v>1502</v>
      </c>
      <c r="EV145" s="41" t="s">
        <v>1502</v>
      </c>
      <c r="EW145" s="41" t="s">
        <v>1502</v>
      </c>
      <c r="EX145" s="41" t="s">
        <v>1502</v>
      </c>
      <c r="EY145" s="41" t="s">
        <v>1502</v>
      </c>
      <c r="EZ145" s="41" t="s">
        <v>1502</v>
      </c>
      <c r="FA145" s="41" t="s">
        <v>1502</v>
      </c>
      <c r="FB145" s="41" t="s">
        <v>1502</v>
      </c>
      <c r="FC145" s="41" t="s">
        <v>1502</v>
      </c>
      <c r="FD145" s="41" t="s">
        <v>1502</v>
      </c>
      <c r="FE145" s="41" t="s">
        <v>1502</v>
      </c>
      <c r="FF145" s="41" t="s">
        <v>1502</v>
      </c>
      <c r="FG145" s="41" t="s">
        <v>1502</v>
      </c>
      <c r="FH145" s="41" t="s">
        <v>1502</v>
      </c>
      <c r="FI145" s="41" t="s">
        <v>1502</v>
      </c>
      <c r="FJ145" s="41" t="s">
        <v>1502</v>
      </c>
      <c r="FK145" s="41" t="s">
        <v>1502</v>
      </c>
      <c r="FL145" s="41" t="s">
        <v>1502</v>
      </c>
      <c r="FM145" s="41" t="s">
        <v>1502</v>
      </c>
      <c r="FN145" s="41" t="s">
        <v>1502</v>
      </c>
      <c r="FO145" s="41" t="s">
        <v>1502</v>
      </c>
      <c r="FP145" s="41" t="s">
        <v>1502</v>
      </c>
      <c r="FQ145" s="41" t="s">
        <v>1502</v>
      </c>
      <c r="FR145" s="41" t="s">
        <v>1502</v>
      </c>
      <c r="FS145" s="41" t="s">
        <v>1502</v>
      </c>
      <c r="FT145" s="41" t="s">
        <v>1502</v>
      </c>
      <c r="FU145" s="41" t="s">
        <v>1502</v>
      </c>
      <c r="FV145" s="41" t="s">
        <v>1502</v>
      </c>
      <c r="FW145" s="41" t="s">
        <v>1502</v>
      </c>
      <c r="FX145" s="41" t="s">
        <v>1502</v>
      </c>
      <c r="FY145" s="41" t="s">
        <v>1502</v>
      </c>
      <c r="FZ145" s="41" t="s">
        <v>1502</v>
      </c>
      <c r="GA145" s="41" t="s">
        <v>1502</v>
      </c>
      <c r="GB145" s="41" t="s">
        <v>1502</v>
      </c>
      <c r="GC145" s="41" t="s">
        <v>1502</v>
      </c>
      <c r="GD145" s="41" t="s">
        <v>1502</v>
      </c>
      <c r="GE145" s="41" t="s">
        <v>1502</v>
      </c>
      <c r="GF145" s="41" t="s">
        <v>1502</v>
      </c>
      <c r="GG145" s="41" t="s">
        <v>1502</v>
      </c>
      <c r="GH145" s="41" t="s">
        <v>1502</v>
      </c>
      <c r="GI145" s="41" t="s">
        <v>1502</v>
      </c>
      <c r="GJ145" s="41" t="s">
        <v>1502</v>
      </c>
      <c r="GK145" s="41" t="s">
        <v>1502</v>
      </c>
      <c r="GL145" s="41" t="s">
        <v>1502</v>
      </c>
      <c r="GM145" s="41" t="s">
        <v>1502</v>
      </c>
      <c r="GN145" s="41" t="s">
        <v>1502</v>
      </c>
      <c r="GO145" s="41" t="s">
        <v>1502</v>
      </c>
      <c r="GP145" s="41" t="s">
        <v>1502</v>
      </c>
      <c r="GQ145" s="41" t="s">
        <v>1502</v>
      </c>
      <c r="GR145" s="41" t="s">
        <v>1502</v>
      </c>
      <c r="GS145" s="41" t="s">
        <v>1502</v>
      </c>
      <c r="GT145" s="41" t="s">
        <v>1502</v>
      </c>
      <c r="GU145" s="41" t="s">
        <v>1502</v>
      </c>
      <c r="GV145" s="41" t="s">
        <v>1502</v>
      </c>
      <c r="GW145" s="41" t="s">
        <v>1502</v>
      </c>
      <c r="GX145" s="41" t="s">
        <v>1502</v>
      </c>
      <c r="GY145" s="41" t="s">
        <v>1502</v>
      </c>
      <c r="GZ145" s="41" t="s">
        <v>1502</v>
      </c>
      <c r="HA145" s="41" t="s">
        <v>1502</v>
      </c>
      <c r="HB145" s="41" t="s">
        <v>1502</v>
      </c>
      <c r="HC145" s="41" t="s">
        <v>1502</v>
      </c>
      <c r="HD145" s="41" t="s">
        <v>1502</v>
      </c>
      <c r="HE145" s="41" t="s">
        <v>1502</v>
      </c>
      <c r="HF145" s="41" t="s">
        <v>1502</v>
      </c>
      <c r="HG145" s="41" t="s">
        <v>1502</v>
      </c>
      <c r="HH145" s="41" t="s">
        <v>1502</v>
      </c>
      <c r="HI145" s="41" t="s">
        <v>1502</v>
      </c>
      <c r="HJ145" s="41" t="s">
        <v>1502</v>
      </c>
      <c r="HK145" s="41" t="s">
        <v>1502</v>
      </c>
      <c r="HL145" s="41" t="s">
        <v>1502</v>
      </c>
      <c r="HM145" s="41" t="s">
        <v>1502</v>
      </c>
      <c r="HN145" s="41" t="s">
        <v>1502</v>
      </c>
      <c r="HO145" s="41" t="s">
        <v>1502</v>
      </c>
      <c r="HP145" s="41" t="s">
        <v>1502</v>
      </c>
      <c r="HQ145" s="41" t="s">
        <v>1502</v>
      </c>
      <c r="HR145" s="41" t="s">
        <v>1502</v>
      </c>
      <c r="HS145" s="41" t="s">
        <v>1502</v>
      </c>
      <c r="HT145" s="41" t="s">
        <v>1502</v>
      </c>
      <c r="HU145" s="41" t="s">
        <v>1502</v>
      </c>
      <c r="HV145" s="41" t="s">
        <v>1502</v>
      </c>
      <c r="HW145" s="41" t="s">
        <v>1502</v>
      </c>
      <c r="HX145" s="41" t="s">
        <v>1502</v>
      </c>
      <c r="HY145" s="41" t="s">
        <v>1502</v>
      </c>
      <c r="HZ145" s="41" t="s">
        <v>1502</v>
      </c>
      <c r="IA145" s="41" t="s">
        <v>1502</v>
      </c>
      <c r="IB145" s="41" t="s">
        <v>1502</v>
      </c>
      <c r="IC145" s="41" t="s">
        <v>1502</v>
      </c>
      <c r="ID145" s="41" t="s">
        <v>1502</v>
      </c>
      <c r="IE145" s="41" t="s">
        <v>1502</v>
      </c>
      <c r="IF145" s="41" t="s">
        <v>1502</v>
      </c>
      <c r="IG145" s="41" t="s">
        <v>1502</v>
      </c>
      <c r="IH145" s="41" t="s">
        <v>1502</v>
      </c>
      <c r="II145" s="41" t="s">
        <v>1502</v>
      </c>
      <c r="IJ145" s="41" t="s">
        <v>1502</v>
      </c>
      <c r="IK145" s="41" t="s">
        <v>1502</v>
      </c>
      <c r="IL145" s="41" t="s">
        <v>1502</v>
      </c>
      <c r="IM145" s="41" t="s">
        <v>1502</v>
      </c>
      <c r="IN145" s="41" t="s">
        <v>1502</v>
      </c>
      <c r="IO145" s="41" t="s">
        <v>1502</v>
      </c>
      <c r="IP145" s="41" t="s">
        <v>1502</v>
      </c>
      <c r="IQ145" s="41" t="s">
        <v>1502</v>
      </c>
      <c r="IR145" s="41" t="s">
        <v>1502</v>
      </c>
      <c r="IS145" s="41" t="s">
        <v>1502</v>
      </c>
      <c r="IT145" s="41" t="s">
        <v>1502</v>
      </c>
      <c r="IU145" s="41" t="s">
        <v>1502</v>
      </c>
      <c r="IV145" s="41" t="s">
        <v>1502</v>
      </c>
      <c r="IW145" s="41" t="s">
        <v>1502</v>
      </c>
      <c r="IX145" s="41" t="s">
        <v>1502</v>
      </c>
      <c r="IY145" s="41" t="s">
        <v>1502</v>
      </c>
      <c r="IZ145" s="41" t="s">
        <v>1502</v>
      </c>
      <c r="JA145" s="41" t="s">
        <v>1502</v>
      </c>
      <c r="JB145" s="41" t="s">
        <v>1502</v>
      </c>
      <c r="JC145" s="41" t="s">
        <v>1502</v>
      </c>
      <c r="JD145" s="41" t="s">
        <v>1502</v>
      </c>
      <c r="JE145" s="41" t="s">
        <v>1502</v>
      </c>
      <c r="JF145" s="41" t="s">
        <v>1502</v>
      </c>
      <c r="JG145" s="41" t="s">
        <v>1502</v>
      </c>
      <c r="JH145" s="41" t="s">
        <v>1502</v>
      </c>
      <c r="JI145" s="41" t="s">
        <v>1502</v>
      </c>
      <c r="JJ145" s="41" t="s">
        <v>1502</v>
      </c>
      <c r="JK145" s="41" t="s">
        <v>1502</v>
      </c>
      <c r="JL145" s="41" t="s">
        <v>1502</v>
      </c>
      <c r="JM145" s="41" t="s">
        <v>1502</v>
      </c>
      <c r="JN145" s="41" t="s">
        <v>1502</v>
      </c>
      <c r="JO145" s="41" t="s">
        <v>1502</v>
      </c>
      <c r="JP145" s="41" t="s">
        <v>1502</v>
      </c>
      <c r="JQ145" s="41" t="s">
        <v>1502</v>
      </c>
      <c r="JR145" s="41" t="s">
        <v>1502</v>
      </c>
      <c r="JS145" s="41" t="s">
        <v>1502</v>
      </c>
      <c r="JT145" s="41" t="s">
        <v>1502</v>
      </c>
      <c r="JU145" s="41" t="s">
        <v>1502</v>
      </c>
      <c r="JV145" s="41" t="s">
        <v>1502</v>
      </c>
      <c r="JW145" s="41" t="s">
        <v>1502</v>
      </c>
      <c r="JX145" s="41" t="s">
        <v>1502</v>
      </c>
      <c r="JY145" s="41" t="s">
        <v>1502</v>
      </c>
      <c r="JZ145" s="41" t="s">
        <v>1502</v>
      </c>
      <c r="KA145" s="41" t="s">
        <v>1502</v>
      </c>
      <c r="KB145" s="41" t="s">
        <v>1502</v>
      </c>
      <c r="KC145" s="41" t="s">
        <v>1502</v>
      </c>
      <c r="KD145" s="41" t="s">
        <v>1502</v>
      </c>
      <c r="KE145" s="41" t="s">
        <v>1502</v>
      </c>
      <c r="KF145" s="41" t="s">
        <v>1502</v>
      </c>
      <c r="KG145" s="41" t="s">
        <v>1502</v>
      </c>
      <c r="KH145" s="41" t="s">
        <v>1502</v>
      </c>
      <c r="KI145" s="41" t="s">
        <v>1502</v>
      </c>
      <c r="KJ145" s="41" t="s">
        <v>1502</v>
      </c>
      <c r="KK145" s="41" t="s">
        <v>1502</v>
      </c>
      <c r="KL145" s="41" t="s">
        <v>1502</v>
      </c>
      <c r="KM145" s="41" t="s">
        <v>1502</v>
      </c>
      <c r="KN145" s="41" t="s">
        <v>1502</v>
      </c>
      <c r="KO145" s="41" t="s">
        <v>1502</v>
      </c>
      <c r="KP145" s="41" t="s">
        <v>1502</v>
      </c>
      <c r="KQ145" s="41" t="s">
        <v>1502</v>
      </c>
      <c r="KR145" s="41" t="s">
        <v>1502</v>
      </c>
      <c r="KS145" s="41" t="s">
        <v>1502</v>
      </c>
      <c r="KT145" s="41" t="s">
        <v>1502</v>
      </c>
      <c r="KU145" s="41" t="s">
        <v>1502</v>
      </c>
      <c r="KV145" s="41" t="s">
        <v>1502</v>
      </c>
      <c r="KW145" s="41" t="s">
        <v>1502</v>
      </c>
      <c r="KX145" s="41" t="s">
        <v>1502</v>
      </c>
      <c r="KY145" s="41" t="s">
        <v>1502</v>
      </c>
      <c r="KZ145" s="41" t="s">
        <v>1502</v>
      </c>
      <c r="LA145" s="41" t="s">
        <v>1502</v>
      </c>
      <c r="LB145" s="41" t="s">
        <v>1502</v>
      </c>
      <c r="LC145" s="41" t="s">
        <v>1502</v>
      </c>
      <c r="LD145" s="41" t="s">
        <v>1502</v>
      </c>
      <c r="LE145" s="41" t="s">
        <v>1502</v>
      </c>
      <c r="LF145" s="41" t="s">
        <v>1502</v>
      </c>
      <c r="LG145" s="41" t="s">
        <v>1502</v>
      </c>
      <c r="LH145" s="41" t="s">
        <v>1502</v>
      </c>
      <c r="LI145" s="41" t="s">
        <v>1502</v>
      </c>
      <c r="LJ145" s="41" t="s">
        <v>1502</v>
      </c>
      <c r="LK145" s="41" t="s">
        <v>1502</v>
      </c>
      <c r="LL145" s="41" t="s">
        <v>1502</v>
      </c>
      <c r="LM145" s="41" t="s">
        <v>1502</v>
      </c>
      <c r="LN145" s="41" t="s">
        <v>1502</v>
      </c>
      <c r="LO145" s="41" t="s">
        <v>1502</v>
      </c>
      <c r="LP145" s="41" t="s">
        <v>1502</v>
      </c>
      <c r="LQ145" s="41" t="s">
        <v>1502</v>
      </c>
      <c r="LR145" s="41" t="s">
        <v>1502</v>
      </c>
      <c r="LS145" s="41" t="s">
        <v>1502</v>
      </c>
      <c r="LT145" s="41" t="s">
        <v>1502</v>
      </c>
      <c r="LU145" s="41" t="s">
        <v>1502</v>
      </c>
      <c r="LV145" s="41" t="s">
        <v>1502</v>
      </c>
      <c r="LW145" s="41" t="s">
        <v>1502</v>
      </c>
      <c r="LX145" s="41" t="s">
        <v>1502</v>
      </c>
      <c r="LY145" s="41" t="s">
        <v>1502</v>
      </c>
      <c r="LZ145" s="41" t="s">
        <v>1502</v>
      </c>
      <c r="MA145" s="41" t="s">
        <v>1502</v>
      </c>
      <c r="MB145" s="41" t="s">
        <v>1502</v>
      </c>
      <c r="MC145" s="41" t="s">
        <v>1502</v>
      </c>
      <c r="MD145" s="41" t="s">
        <v>1502</v>
      </c>
      <c r="ME145" s="41" t="s">
        <v>1502</v>
      </c>
      <c r="MF145" s="41" t="s">
        <v>1502</v>
      </c>
      <c r="MG145" s="41" t="s">
        <v>1502</v>
      </c>
      <c r="MH145" s="41" t="s">
        <v>1502</v>
      </c>
      <c r="MI145" s="41" t="s">
        <v>1502</v>
      </c>
      <c r="MJ145" s="41" t="s">
        <v>1502</v>
      </c>
      <c r="MK145" s="41" t="s">
        <v>1502</v>
      </c>
      <c r="ML145" s="41" t="s">
        <v>1502</v>
      </c>
      <c r="MM145" s="41" t="s">
        <v>1502</v>
      </c>
      <c r="MN145" s="41" t="s">
        <v>1502</v>
      </c>
      <c r="MO145" s="41" t="s">
        <v>1502</v>
      </c>
      <c r="MP145" s="41" t="s">
        <v>1502</v>
      </c>
      <c r="MQ145" s="41" t="s">
        <v>1502</v>
      </c>
      <c r="MR145" s="41" t="s">
        <v>1502</v>
      </c>
      <c r="MS145" s="41" t="s">
        <v>1502</v>
      </c>
      <c r="MT145" s="41" t="s">
        <v>1502</v>
      </c>
      <c r="MU145" s="41" t="s">
        <v>1502</v>
      </c>
      <c r="MV145" s="41" t="s">
        <v>1502</v>
      </c>
      <c r="MW145" s="41" t="s">
        <v>1502</v>
      </c>
      <c r="MX145" s="41" t="s">
        <v>1502</v>
      </c>
      <c r="MY145" s="41" t="s">
        <v>1502</v>
      </c>
      <c r="MZ145" s="41" t="s">
        <v>1502</v>
      </c>
      <c r="NA145" s="41" t="s">
        <v>1502</v>
      </c>
      <c r="NB145" s="41" t="s">
        <v>1502</v>
      </c>
      <c r="NC145" s="41" t="s">
        <v>1502</v>
      </c>
      <c r="ND145" s="41" t="s">
        <v>1502</v>
      </c>
      <c r="NE145" s="41" t="s">
        <v>1502</v>
      </c>
      <c r="NF145" s="41" t="s">
        <v>1502</v>
      </c>
      <c r="NG145" s="41" t="s">
        <v>1502</v>
      </c>
      <c r="NH145" s="41" t="s">
        <v>1502</v>
      </c>
      <c r="NI145" s="41" t="s">
        <v>1502</v>
      </c>
      <c r="NJ145" s="41" t="s">
        <v>1502</v>
      </c>
      <c r="NK145" s="41" t="s">
        <v>1502</v>
      </c>
      <c r="NL145" s="41" t="s">
        <v>1502</v>
      </c>
      <c r="NM145" s="41" t="s">
        <v>1502</v>
      </c>
      <c r="NN145" s="41" t="s">
        <v>1502</v>
      </c>
      <c r="NO145" s="41" t="s">
        <v>1502</v>
      </c>
      <c r="NP145" s="41" t="s">
        <v>1502</v>
      </c>
      <c r="NQ145" s="41" t="s">
        <v>1502</v>
      </c>
      <c r="NR145" s="41" t="s">
        <v>1502</v>
      </c>
      <c r="NS145" s="41" t="s">
        <v>1502</v>
      </c>
      <c r="NT145" s="41" t="s">
        <v>1502</v>
      </c>
      <c r="NU145" s="41" t="s">
        <v>1502</v>
      </c>
      <c r="NV145" s="41" t="s">
        <v>1502</v>
      </c>
      <c r="NW145" s="41" t="s">
        <v>1502</v>
      </c>
      <c r="NX145" s="41" t="s">
        <v>1502</v>
      </c>
      <c r="NY145" s="41" t="s">
        <v>1502</v>
      </c>
      <c r="NZ145" s="41" t="s">
        <v>1502</v>
      </c>
      <c r="OA145" s="41" t="s">
        <v>1502</v>
      </c>
      <c r="OB145" s="41" t="s">
        <v>1502</v>
      </c>
      <c r="OC145" s="41" t="s">
        <v>1502</v>
      </c>
      <c r="OD145" s="41" t="s">
        <v>1502</v>
      </c>
      <c r="OE145" s="41" t="s">
        <v>1502</v>
      </c>
      <c r="OF145" s="41" t="s">
        <v>1502</v>
      </c>
      <c r="OG145" s="41" t="s">
        <v>1502</v>
      </c>
      <c r="OH145" s="41" t="s">
        <v>1502</v>
      </c>
      <c r="OI145" s="41" t="s">
        <v>1502</v>
      </c>
      <c r="OJ145" s="41" t="s">
        <v>1502</v>
      </c>
      <c r="OK145" s="41" t="s">
        <v>1502</v>
      </c>
      <c r="OL145" s="41" t="s">
        <v>1502</v>
      </c>
      <c r="OM145" s="41" t="s">
        <v>1502</v>
      </c>
      <c r="ON145" s="41" t="s">
        <v>1502</v>
      </c>
      <c r="OO145" s="41" t="s">
        <v>1502</v>
      </c>
      <c r="OP145" s="41" t="s">
        <v>1502</v>
      </c>
      <c r="OQ145" s="41" t="s">
        <v>1502</v>
      </c>
      <c r="OR145" s="41" t="s">
        <v>1502</v>
      </c>
      <c r="OS145" s="41" t="s">
        <v>1502</v>
      </c>
      <c r="OT145" s="41" t="s">
        <v>1502</v>
      </c>
      <c r="OU145" s="41" t="s">
        <v>1502</v>
      </c>
      <c r="OV145" s="41" t="s">
        <v>1502</v>
      </c>
      <c r="OW145" s="41" t="s">
        <v>1502</v>
      </c>
      <c r="OX145" s="41" t="s">
        <v>1502</v>
      </c>
      <c r="OY145" s="41" t="s">
        <v>1502</v>
      </c>
      <c r="OZ145" s="41" t="s">
        <v>1502</v>
      </c>
      <c r="PA145" s="41" t="s">
        <v>1502</v>
      </c>
      <c r="PB145" s="41" t="s">
        <v>1502</v>
      </c>
      <c r="PC145" s="41" t="s">
        <v>1502</v>
      </c>
      <c r="PD145" s="41" t="s">
        <v>1502</v>
      </c>
      <c r="PE145" s="41" t="s">
        <v>1502</v>
      </c>
      <c r="PF145" s="41" t="s">
        <v>1502</v>
      </c>
      <c r="PG145" s="41" t="s">
        <v>1502</v>
      </c>
      <c r="PH145" s="41" t="s">
        <v>1502</v>
      </c>
      <c r="PI145" s="41" t="s">
        <v>1502</v>
      </c>
      <c r="PJ145" s="41" t="s">
        <v>1502</v>
      </c>
      <c r="PK145" s="41" t="s">
        <v>1502</v>
      </c>
      <c r="PL145" s="41" t="s">
        <v>1502</v>
      </c>
      <c r="PM145" s="41" t="s">
        <v>1502</v>
      </c>
      <c r="PN145" s="41" t="s">
        <v>1502</v>
      </c>
      <c r="PO145" s="41" t="s">
        <v>1502</v>
      </c>
      <c r="PP145" s="41" t="s">
        <v>1502</v>
      </c>
      <c r="PQ145" s="41" t="s">
        <v>1502</v>
      </c>
      <c r="PR145" s="41" t="s">
        <v>1502</v>
      </c>
      <c r="PS145" s="41" t="s">
        <v>1502</v>
      </c>
      <c r="PT145" s="41" t="s">
        <v>1502</v>
      </c>
      <c r="PU145" s="41" t="s">
        <v>1502</v>
      </c>
      <c r="PV145" s="41" t="s">
        <v>1502</v>
      </c>
      <c r="PW145" s="41" t="s">
        <v>1502</v>
      </c>
      <c r="PX145" s="41" t="s">
        <v>1502</v>
      </c>
      <c r="PY145" s="41" t="s">
        <v>1502</v>
      </c>
      <c r="PZ145" s="41" t="s">
        <v>1502</v>
      </c>
      <c r="QA145" s="41" t="s">
        <v>1502</v>
      </c>
      <c r="QB145" s="41" t="s">
        <v>1502</v>
      </c>
      <c r="QC145" s="41" t="s">
        <v>1502</v>
      </c>
      <c r="QD145" s="41" t="s">
        <v>1502</v>
      </c>
      <c r="QE145" s="41" t="s">
        <v>1502</v>
      </c>
      <c r="QF145" s="41" t="s">
        <v>1502</v>
      </c>
      <c r="QG145" s="41" t="s">
        <v>1502</v>
      </c>
      <c r="QH145" s="41" t="s">
        <v>1502</v>
      </c>
      <c r="QI145" s="41" t="s">
        <v>1502</v>
      </c>
      <c r="QJ145" s="41" t="s">
        <v>1502</v>
      </c>
      <c r="QK145" s="41" t="s">
        <v>1502</v>
      </c>
      <c r="QL145" s="41" t="s">
        <v>1502</v>
      </c>
      <c r="QM145" s="41" t="s">
        <v>1502</v>
      </c>
      <c r="QN145" s="41" t="s">
        <v>1502</v>
      </c>
      <c r="QO145" s="41" t="s">
        <v>1502</v>
      </c>
      <c r="QP145" s="41" t="s">
        <v>1502</v>
      </c>
      <c r="QQ145" s="41" t="s">
        <v>1502</v>
      </c>
      <c r="QR145" s="41" t="s">
        <v>1502</v>
      </c>
      <c r="QS145" s="41" t="s">
        <v>1502</v>
      </c>
      <c r="QT145" s="41" t="s">
        <v>1502</v>
      </c>
      <c r="QU145" s="41" t="s">
        <v>1502</v>
      </c>
      <c r="QV145" s="41" t="s">
        <v>1502</v>
      </c>
      <c r="QW145" s="41" t="s">
        <v>1502</v>
      </c>
      <c r="QX145" s="41" t="s">
        <v>1502</v>
      </c>
      <c r="QY145" s="41" t="s">
        <v>1502</v>
      </c>
      <c r="QZ145" s="41" t="s">
        <v>1502</v>
      </c>
      <c r="RA145" s="41" t="s">
        <v>1502</v>
      </c>
      <c r="RB145" s="41" t="s">
        <v>1502</v>
      </c>
      <c r="RC145" s="41" t="s">
        <v>1502</v>
      </c>
      <c r="RD145" s="41" t="s">
        <v>1502</v>
      </c>
      <c r="RE145" s="41" t="s">
        <v>1502</v>
      </c>
      <c r="RF145" s="41" t="s">
        <v>1502</v>
      </c>
      <c r="RG145" s="41" t="s">
        <v>1502</v>
      </c>
      <c r="RH145" s="41" t="s">
        <v>1502</v>
      </c>
      <c r="RI145" s="41" t="s">
        <v>1502</v>
      </c>
      <c r="RJ145" s="41" t="s">
        <v>1502</v>
      </c>
      <c r="RK145" s="41" t="s">
        <v>1502</v>
      </c>
      <c r="RL145" s="41" t="s">
        <v>1502</v>
      </c>
      <c r="RM145" s="41" t="s">
        <v>1502</v>
      </c>
      <c r="RN145" s="41" t="s">
        <v>1502</v>
      </c>
      <c r="RO145" s="41" t="s">
        <v>1502</v>
      </c>
      <c r="RP145" s="41" t="s">
        <v>1502</v>
      </c>
      <c r="RQ145" s="41" t="s">
        <v>1502</v>
      </c>
      <c r="RR145" s="41" t="s">
        <v>1502</v>
      </c>
      <c r="RS145" s="41" t="s">
        <v>1502</v>
      </c>
      <c r="RT145" s="41" t="s">
        <v>1502</v>
      </c>
      <c r="RU145" s="41" t="s">
        <v>1502</v>
      </c>
      <c r="RV145" s="41" t="s">
        <v>1502</v>
      </c>
      <c r="RW145" s="41" t="s">
        <v>1502</v>
      </c>
      <c r="RX145" s="41" t="s">
        <v>1502</v>
      </c>
      <c r="RY145" s="41" t="s">
        <v>1502</v>
      </c>
      <c r="RZ145" s="41" t="s">
        <v>1502</v>
      </c>
      <c r="SA145" s="41" t="s">
        <v>1502</v>
      </c>
      <c r="SB145" s="41" t="s">
        <v>1502</v>
      </c>
      <c r="SC145" s="41" t="s">
        <v>1502</v>
      </c>
      <c r="SD145" s="41" t="s">
        <v>1502</v>
      </c>
      <c r="SE145" s="41" t="s">
        <v>1502</v>
      </c>
      <c r="SF145" s="41" t="s">
        <v>1502</v>
      </c>
      <c r="SG145" s="41" t="s">
        <v>1502</v>
      </c>
      <c r="SH145" s="41" t="s">
        <v>1502</v>
      </c>
      <c r="SI145" s="41" t="s">
        <v>1502</v>
      </c>
      <c r="SJ145" s="41" t="s">
        <v>1502</v>
      </c>
      <c r="SK145" s="41" t="s">
        <v>1502</v>
      </c>
      <c r="SL145" s="41" t="s">
        <v>1502</v>
      </c>
      <c r="SM145" s="41" t="s">
        <v>1502</v>
      </c>
      <c r="SN145" s="41" t="s">
        <v>1502</v>
      </c>
      <c r="SO145" s="41" t="s">
        <v>1502</v>
      </c>
      <c r="SP145" s="41" t="s">
        <v>1502</v>
      </c>
      <c r="SQ145" s="41" t="s">
        <v>1502</v>
      </c>
      <c r="SR145" s="41" t="s">
        <v>1502</v>
      </c>
      <c r="SS145" s="41" t="s">
        <v>1502</v>
      </c>
      <c r="ST145" s="41" t="s">
        <v>1502</v>
      </c>
      <c r="SU145" s="41" t="s">
        <v>1502</v>
      </c>
      <c r="SV145" s="41" t="s">
        <v>1502</v>
      </c>
      <c r="SW145" s="41" t="s">
        <v>1502</v>
      </c>
      <c r="SX145" s="41" t="s">
        <v>1502</v>
      </c>
      <c r="SY145" s="41" t="s">
        <v>1502</v>
      </c>
      <c r="SZ145" s="41" t="s">
        <v>1502</v>
      </c>
      <c r="TA145" s="41" t="s">
        <v>1502</v>
      </c>
      <c r="TB145" s="41" t="s">
        <v>1502</v>
      </c>
      <c r="TC145" s="41" t="s">
        <v>1502</v>
      </c>
      <c r="TD145" s="41" t="s">
        <v>1502</v>
      </c>
      <c r="TE145" s="41" t="s">
        <v>1502</v>
      </c>
      <c r="TF145" s="41" t="s">
        <v>1502</v>
      </c>
      <c r="TG145" s="41" t="s">
        <v>1502</v>
      </c>
      <c r="TH145" s="41" t="s">
        <v>1502</v>
      </c>
      <c r="TI145" s="41" t="s">
        <v>1502</v>
      </c>
      <c r="TJ145" s="41" t="s">
        <v>1502</v>
      </c>
      <c r="TK145" s="41" t="s">
        <v>1502</v>
      </c>
      <c r="TL145" s="41" t="s">
        <v>1502</v>
      </c>
      <c r="TM145" s="41" t="s">
        <v>1502</v>
      </c>
      <c r="TN145" s="41" t="s">
        <v>1502</v>
      </c>
      <c r="TO145" s="41" t="s">
        <v>1502</v>
      </c>
      <c r="TP145" s="41" t="s">
        <v>1502</v>
      </c>
      <c r="TQ145" s="41" t="s">
        <v>1502</v>
      </c>
      <c r="TR145" s="41" t="s">
        <v>1502</v>
      </c>
      <c r="TS145" s="41" t="s">
        <v>1502</v>
      </c>
      <c r="TT145" s="41" t="s">
        <v>1502</v>
      </c>
      <c r="TU145" s="41" t="s">
        <v>1502</v>
      </c>
      <c r="TV145" s="41" t="s">
        <v>1502</v>
      </c>
      <c r="TW145" s="41" t="s">
        <v>1502</v>
      </c>
      <c r="TX145" s="41" t="s">
        <v>1502</v>
      </c>
      <c r="TY145" s="41" t="s">
        <v>1502</v>
      </c>
      <c r="TZ145" s="41" t="s">
        <v>1502</v>
      </c>
      <c r="UA145" s="41" t="s">
        <v>1502</v>
      </c>
      <c r="UB145" s="41" t="s">
        <v>1502</v>
      </c>
      <c r="UC145" s="41" t="s">
        <v>1502</v>
      </c>
      <c r="UD145" s="41" t="s">
        <v>1502</v>
      </c>
      <c r="UE145" s="41" t="s">
        <v>1502</v>
      </c>
      <c r="UF145" s="41" t="s">
        <v>1502</v>
      </c>
      <c r="UG145" s="41" t="s">
        <v>1502</v>
      </c>
      <c r="UH145" s="41" t="s">
        <v>1502</v>
      </c>
      <c r="UI145" s="41" t="s">
        <v>1502</v>
      </c>
      <c r="UJ145" s="41" t="s">
        <v>1502</v>
      </c>
      <c r="UK145" s="41" t="s">
        <v>1502</v>
      </c>
      <c r="UL145" s="41" t="s">
        <v>1502</v>
      </c>
      <c r="UM145" s="41" t="s">
        <v>1502</v>
      </c>
      <c r="UN145" s="41" t="s">
        <v>1502</v>
      </c>
      <c r="UO145" s="41" t="s">
        <v>1502</v>
      </c>
      <c r="UP145" s="41" t="s">
        <v>1502</v>
      </c>
      <c r="UQ145" s="41" t="s">
        <v>1502</v>
      </c>
      <c r="UR145" s="41" t="s">
        <v>1502</v>
      </c>
      <c r="US145" s="41" t="s">
        <v>1502</v>
      </c>
      <c r="UT145" s="41" t="s">
        <v>1502</v>
      </c>
      <c r="UU145" s="41" t="s">
        <v>1502</v>
      </c>
      <c r="UV145" s="41" t="s">
        <v>1502</v>
      </c>
      <c r="UW145" s="41" t="s">
        <v>1502</v>
      </c>
      <c r="UX145" s="41" t="s">
        <v>1502</v>
      </c>
      <c r="UY145" s="41" t="s">
        <v>1502</v>
      </c>
      <c r="UZ145" s="41" t="s">
        <v>1502</v>
      </c>
      <c r="VA145" s="41" t="s">
        <v>1502</v>
      </c>
      <c r="VB145" s="41" t="s">
        <v>1502</v>
      </c>
      <c r="VC145" s="41" t="s">
        <v>1502</v>
      </c>
      <c r="VD145" s="41" t="s">
        <v>1502</v>
      </c>
      <c r="VE145" s="41" t="s">
        <v>1502</v>
      </c>
      <c r="VF145" s="41" t="s">
        <v>1502</v>
      </c>
      <c r="VG145" s="41" t="s">
        <v>1502</v>
      </c>
      <c r="VH145" s="41" t="s">
        <v>1502</v>
      </c>
      <c r="VI145" s="41" t="s">
        <v>1502</v>
      </c>
      <c r="VJ145" s="41" t="s">
        <v>1502</v>
      </c>
      <c r="VK145" s="41" t="s">
        <v>1502</v>
      </c>
      <c r="VL145" s="41" t="s">
        <v>1502</v>
      </c>
      <c r="VM145" s="41" t="s">
        <v>1502</v>
      </c>
      <c r="VN145" s="41" t="s">
        <v>1502</v>
      </c>
      <c r="VO145" s="41" t="s">
        <v>1502</v>
      </c>
      <c r="VP145" s="41" t="s">
        <v>1502</v>
      </c>
      <c r="VQ145" s="41" t="s">
        <v>1502</v>
      </c>
      <c r="VR145" s="41" t="s">
        <v>1502</v>
      </c>
      <c r="VS145" s="41" t="s">
        <v>1502</v>
      </c>
      <c r="VT145" s="41" t="s">
        <v>1502</v>
      </c>
      <c r="VU145" s="41" t="s">
        <v>1502</v>
      </c>
      <c r="VV145" s="41" t="s">
        <v>1502</v>
      </c>
      <c r="VW145" s="41" t="s">
        <v>1502</v>
      </c>
      <c r="VX145" s="41" t="s">
        <v>1502</v>
      </c>
      <c r="VY145" s="41" t="s">
        <v>1502</v>
      </c>
      <c r="VZ145" s="41" t="s">
        <v>1502</v>
      </c>
      <c r="WA145" s="41" t="s">
        <v>1502</v>
      </c>
      <c r="WB145" s="41" t="s">
        <v>1502</v>
      </c>
      <c r="WC145" s="41" t="s">
        <v>1502</v>
      </c>
      <c r="WD145" s="41" t="s">
        <v>1502</v>
      </c>
      <c r="WE145" s="41" t="s">
        <v>1502</v>
      </c>
      <c r="WF145" s="41" t="s">
        <v>1502</v>
      </c>
      <c r="WG145" s="41" t="s">
        <v>1502</v>
      </c>
      <c r="WH145" s="41" t="s">
        <v>1502</v>
      </c>
      <c r="WI145" s="41" t="s">
        <v>1502</v>
      </c>
      <c r="WJ145" s="41" t="s">
        <v>1502</v>
      </c>
      <c r="WK145" s="41" t="s">
        <v>1502</v>
      </c>
      <c r="WL145" s="41" t="s">
        <v>1502</v>
      </c>
      <c r="WM145" s="41" t="s">
        <v>1502</v>
      </c>
      <c r="WN145" s="41" t="s">
        <v>1502</v>
      </c>
      <c r="WO145" s="41" t="s">
        <v>1502</v>
      </c>
      <c r="WP145" s="41" t="s">
        <v>1502</v>
      </c>
      <c r="WQ145" s="41" t="s">
        <v>1502</v>
      </c>
      <c r="WR145" s="41" t="s">
        <v>1502</v>
      </c>
      <c r="WS145" s="41" t="s">
        <v>1502</v>
      </c>
      <c r="WT145" s="41" t="s">
        <v>1502</v>
      </c>
      <c r="WU145" s="41" t="s">
        <v>1502</v>
      </c>
      <c r="WV145" s="41" t="s">
        <v>1502</v>
      </c>
      <c r="WW145" s="41" t="s">
        <v>1502</v>
      </c>
      <c r="WX145" s="41" t="s">
        <v>1502</v>
      </c>
      <c r="WY145" s="41" t="s">
        <v>1502</v>
      </c>
      <c r="WZ145" s="41" t="s">
        <v>1502</v>
      </c>
      <c r="XA145" s="41" t="s">
        <v>1502</v>
      </c>
      <c r="XB145" s="41" t="s">
        <v>1502</v>
      </c>
      <c r="XC145" s="41" t="s">
        <v>1502</v>
      </c>
      <c r="XD145" s="41" t="s">
        <v>1502</v>
      </c>
      <c r="XE145" s="41" t="s">
        <v>1502</v>
      </c>
      <c r="XF145" s="41" t="s">
        <v>1502</v>
      </c>
      <c r="XG145" s="41" t="s">
        <v>1502</v>
      </c>
      <c r="XH145" s="41" t="s">
        <v>1502</v>
      </c>
      <c r="XI145" s="41" t="s">
        <v>1502</v>
      </c>
      <c r="XJ145" s="41" t="s">
        <v>1502</v>
      </c>
      <c r="XK145" s="41" t="s">
        <v>1502</v>
      </c>
      <c r="XL145" s="41" t="s">
        <v>1502</v>
      </c>
      <c r="XM145" s="41" t="s">
        <v>1502</v>
      </c>
      <c r="XN145" s="41" t="s">
        <v>1502</v>
      </c>
      <c r="XO145" s="41" t="s">
        <v>1502</v>
      </c>
      <c r="XP145" s="41" t="s">
        <v>1502</v>
      </c>
      <c r="XQ145" s="41" t="s">
        <v>1502</v>
      </c>
      <c r="XR145" s="41" t="s">
        <v>1502</v>
      </c>
      <c r="XS145" s="41" t="s">
        <v>1502</v>
      </c>
      <c r="XT145" s="41" t="s">
        <v>1502</v>
      </c>
      <c r="XU145" s="41" t="s">
        <v>1502</v>
      </c>
      <c r="XV145" s="41" t="s">
        <v>1502</v>
      </c>
      <c r="XW145" s="41" t="s">
        <v>1502</v>
      </c>
      <c r="XX145" s="41" t="s">
        <v>1502</v>
      </c>
      <c r="XY145" s="41" t="s">
        <v>1502</v>
      </c>
      <c r="XZ145" s="41" t="s">
        <v>1502</v>
      </c>
      <c r="YA145" s="41" t="s">
        <v>1502</v>
      </c>
      <c r="YB145" s="41" t="s">
        <v>1502</v>
      </c>
      <c r="YC145" s="41" t="s">
        <v>1502</v>
      </c>
      <c r="YD145" s="41" t="s">
        <v>1502</v>
      </c>
      <c r="YE145" s="41" t="s">
        <v>1502</v>
      </c>
      <c r="YF145" s="41" t="s">
        <v>1502</v>
      </c>
      <c r="YG145" s="41" t="s">
        <v>1502</v>
      </c>
      <c r="YH145" s="41" t="s">
        <v>1502</v>
      </c>
      <c r="YI145" s="41" t="s">
        <v>1502</v>
      </c>
      <c r="YJ145" s="41" t="s">
        <v>1502</v>
      </c>
      <c r="YK145" s="41" t="s">
        <v>1502</v>
      </c>
      <c r="YL145" s="41" t="s">
        <v>1502</v>
      </c>
      <c r="YM145" s="41" t="s">
        <v>1502</v>
      </c>
      <c r="YN145" s="41" t="s">
        <v>1502</v>
      </c>
      <c r="YO145" s="41" t="s">
        <v>1502</v>
      </c>
      <c r="YP145" s="41" t="s">
        <v>1502</v>
      </c>
      <c r="YQ145" s="41" t="s">
        <v>1502</v>
      </c>
      <c r="YR145" s="41" t="s">
        <v>1502</v>
      </c>
      <c r="YS145" s="41" t="s">
        <v>1502</v>
      </c>
      <c r="YT145" s="41" t="s">
        <v>1502</v>
      </c>
      <c r="YU145" s="41" t="s">
        <v>1502</v>
      </c>
      <c r="YV145" s="41" t="s">
        <v>1502</v>
      </c>
      <c r="YW145" s="41" t="s">
        <v>1502</v>
      </c>
      <c r="YX145" s="41" t="s">
        <v>1502</v>
      </c>
      <c r="YY145" s="41" t="s">
        <v>1502</v>
      </c>
      <c r="YZ145" s="41" t="s">
        <v>1502</v>
      </c>
      <c r="ZA145" s="41" t="s">
        <v>1502</v>
      </c>
      <c r="ZB145" s="41" t="s">
        <v>1502</v>
      </c>
      <c r="ZC145" s="41" t="s">
        <v>1502</v>
      </c>
      <c r="ZD145" s="41" t="s">
        <v>1502</v>
      </c>
      <c r="ZE145" s="41" t="s">
        <v>1502</v>
      </c>
      <c r="ZF145" s="41" t="s">
        <v>1502</v>
      </c>
      <c r="ZG145" s="41" t="s">
        <v>1502</v>
      </c>
      <c r="ZH145" s="41" t="s">
        <v>1502</v>
      </c>
      <c r="ZI145" s="41" t="s">
        <v>1502</v>
      </c>
      <c r="ZJ145" s="41" t="s">
        <v>1502</v>
      </c>
      <c r="ZK145" s="41" t="s">
        <v>1502</v>
      </c>
      <c r="ZL145" s="41" t="s">
        <v>1502</v>
      </c>
      <c r="ZM145" s="41" t="s">
        <v>1502</v>
      </c>
      <c r="ZN145" s="41" t="s">
        <v>1502</v>
      </c>
      <c r="ZO145" s="41" t="s">
        <v>1502</v>
      </c>
      <c r="ZP145" s="41" t="s">
        <v>1502</v>
      </c>
      <c r="ZQ145" s="41" t="s">
        <v>1502</v>
      </c>
      <c r="ZR145" s="41" t="s">
        <v>1502</v>
      </c>
      <c r="ZS145" s="41" t="s">
        <v>1502</v>
      </c>
      <c r="ZT145" s="41" t="s">
        <v>1502</v>
      </c>
      <c r="ZU145" s="41" t="s">
        <v>1502</v>
      </c>
      <c r="ZV145" s="41" t="s">
        <v>1502</v>
      </c>
      <c r="ZW145" s="41" t="s">
        <v>1502</v>
      </c>
      <c r="ZX145" s="41" t="s">
        <v>1502</v>
      </c>
      <c r="ZY145" s="41" t="s">
        <v>1502</v>
      </c>
      <c r="ZZ145" s="41" t="s">
        <v>1502</v>
      </c>
      <c r="AAA145" s="41" t="s">
        <v>1502</v>
      </c>
      <c r="AAB145" s="41" t="s">
        <v>1502</v>
      </c>
      <c r="AAC145" s="41" t="s">
        <v>1502</v>
      </c>
      <c r="AAD145" s="41" t="s">
        <v>1502</v>
      </c>
      <c r="AAE145" s="41" t="s">
        <v>1502</v>
      </c>
      <c r="AAF145" s="41" t="s">
        <v>1502</v>
      </c>
      <c r="AAG145" s="41" t="s">
        <v>1502</v>
      </c>
      <c r="AAH145" s="41" t="s">
        <v>1502</v>
      </c>
      <c r="AAI145" s="41" t="s">
        <v>1502</v>
      </c>
      <c r="AAJ145" s="41" t="s">
        <v>1502</v>
      </c>
      <c r="AAK145" s="41" t="s">
        <v>1502</v>
      </c>
      <c r="AAL145" s="41" t="s">
        <v>1502</v>
      </c>
      <c r="AAM145" s="41" t="s">
        <v>1502</v>
      </c>
      <c r="AAN145" s="41" t="s">
        <v>1502</v>
      </c>
      <c r="AAO145" s="41" t="s">
        <v>1502</v>
      </c>
      <c r="AAP145" s="41" t="s">
        <v>1502</v>
      </c>
      <c r="AAQ145" s="41" t="s">
        <v>1502</v>
      </c>
      <c r="AAR145" s="41" t="s">
        <v>1502</v>
      </c>
      <c r="AAS145" s="41" t="s">
        <v>1502</v>
      </c>
      <c r="AAT145" s="41" t="s">
        <v>1502</v>
      </c>
      <c r="AAU145" s="41" t="s">
        <v>1502</v>
      </c>
      <c r="AAV145" s="41" t="s">
        <v>1502</v>
      </c>
      <c r="AAW145" s="41" t="s">
        <v>1502</v>
      </c>
      <c r="AAX145" s="41" t="s">
        <v>1502</v>
      </c>
      <c r="AAY145" s="41" t="s">
        <v>1502</v>
      </c>
      <c r="AAZ145" s="41" t="s">
        <v>1502</v>
      </c>
      <c r="ABA145" s="41" t="s">
        <v>1502</v>
      </c>
      <c r="ABB145" s="41" t="s">
        <v>1502</v>
      </c>
      <c r="ABC145" s="41" t="s">
        <v>1502</v>
      </c>
      <c r="ABD145" s="41" t="s">
        <v>1502</v>
      </c>
      <c r="ABE145" s="41" t="s">
        <v>1502</v>
      </c>
      <c r="ABF145" s="41" t="s">
        <v>1502</v>
      </c>
      <c r="ABG145" s="41" t="s">
        <v>1502</v>
      </c>
      <c r="ABH145" s="41" t="s">
        <v>1502</v>
      </c>
      <c r="ABI145" s="41" t="s">
        <v>1502</v>
      </c>
      <c r="ABJ145" s="41" t="s">
        <v>1502</v>
      </c>
      <c r="ABK145" s="41" t="s">
        <v>1502</v>
      </c>
      <c r="ABL145" s="41" t="s">
        <v>1502</v>
      </c>
      <c r="ABM145" s="41" t="s">
        <v>1502</v>
      </c>
      <c r="ABN145" s="41" t="s">
        <v>1502</v>
      </c>
      <c r="ABO145" s="41" t="s">
        <v>1502</v>
      </c>
      <c r="ABP145" s="41" t="s">
        <v>1502</v>
      </c>
      <c r="ABQ145" s="41" t="s">
        <v>1502</v>
      </c>
      <c r="ABR145" s="41" t="s">
        <v>1502</v>
      </c>
      <c r="ABS145" s="41" t="s">
        <v>1502</v>
      </c>
      <c r="ABT145" s="41" t="s">
        <v>1502</v>
      </c>
      <c r="ABU145" s="41" t="s">
        <v>1502</v>
      </c>
      <c r="ABV145" s="41" t="s">
        <v>1502</v>
      </c>
      <c r="ABW145" s="41" t="s">
        <v>1502</v>
      </c>
      <c r="ABX145" s="41" t="s">
        <v>1502</v>
      </c>
      <c r="ABY145" s="41" t="s">
        <v>1502</v>
      </c>
      <c r="ABZ145" s="41" t="s">
        <v>1502</v>
      </c>
      <c r="ACA145" s="41" t="s">
        <v>1502</v>
      </c>
      <c r="ACB145" s="41" t="s">
        <v>1502</v>
      </c>
      <c r="ACC145" s="41" t="s">
        <v>1502</v>
      </c>
      <c r="ACD145" s="41" t="s">
        <v>1502</v>
      </c>
      <c r="ACE145" s="41" t="s">
        <v>1502</v>
      </c>
      <c r="ACF145" s="41" t="s">
        <v>1502</v>
      </c>
      <c r="ACG145" s="41" t="s">
        <v>1502</v>
      </c>
      <c r="ACH145" s="41" t="s">
        <v>1502</v>
      </c>
      <c r="ACI145" s="41" t="s">
        <v>1502</v>
      </c>
      <c r="ACJ145" s="41" t="s">
        <v>1502</v>
      </c>
      <c r="ACK145" s="41" t="s">
        <v>1502</v>
      </c>
      <c r="ACL145" s="41" t="s">
        <v>1502</v>
      </c>
      <c r="ACM145" s="41" t="s">
        <v>1502</v>
      </c>
      <c r="ACN145" s="41" t="s">
        <v>1502</v>
      </c>
      <c r="ACO145" s="41" t="s">
        <v>1502</v>
      </c>
      <c r="ACP145" s="41" t="s">
        <v>1502</v>
      </c>
      <c r="ACQ145" s="41" t="s">
        <v>1502</v>
      </c>
      <c r="ACR145" s="41" t="s">
        <v>1502</v>
      </c>
      <c r="ACS145" s="41" t="s">
        <v>1502</v>
      </c>
      <c r="ACT145" s="41" t="s">
        <v>1502</v>
      </c>
      <c r="ACU145" s="41" t="s">
        <v>1502</v>
      </c>
      <c r="ACV145" s="41" t="s">
        <v>1502</v>
      </c>
      <c r="ACW145" s="41" t="s">
        <v>1502</v>
      </c>
      <c r="ACX145" s="41" t="s">
        <v>1502</v>
      </c>
      <c r="ACY145" s="41" t="s">
        <v>1502</v>
      </c>
      <c r="ACZ145" s="41" t="s">
        <v>1502</v>
      </c>
      <c r="ADA145" s="41" t="s">
        <v>1502</v>
      </c>
      <c r="ADB145" s="41" t="s">
        <v>1502</v>
      </c>
      <c r="ADC145" s="41" t="s">
        <v>1502</v>
      </c>
      <c r="ADD145" s="41" t="s">
        <v>1502</v>
      </c>
      <c r="ADE145" s="41" t="s">
        <v>1502</v>
      </c>
      <c r="ADF145" s="41" t="s">
        <v>1502</v>
      </c>
      <c r="ADG145" s="41" t="s">
        <v>1502</v>
      </c>
      <c r="ADH145" s="41" t="s">
        <v>1502</v>
      </c>
      <c r="ADI145" s="41" t="s">
        <v>1502</v>
      </c>
      <c r="ADJ145" s="41" t="s">
        <v>1502</v>
      </c>
      <c r="ADK145" s="41" t="s">
        <v>1502</v>
      </c>
      <c r="ADL145" s="41" t="s">
        <v>1502</v>
      </c>
      <c r="ADM145" s="41" t="s">
        <v>1502</v>
      </c>
      <c r="ADN145" s="41" t="s">
        <v>1502</v>
      </c>
      <c r="ADO145" s="41" t="s">
        <v>1502</v>
      </c>
      <c r="ADP145" s="41" t="s">
        <v>1502</v>
      </c>
      <c r="ADQ145" s="41" t="s">
        <v>1502</v>
      </c>
      <c r="ADR145" s="41" t="s">
        <v>1502</v>
      </c>
      <c r="ADS145" s="41" t="s">
        <v>1502</v>
      </c>
      <c r="ADT145" s="41" t="s">
        <v>1502</v>
      </c>
      <c r="ADU145" s="41" t="s">
        <v>1502</v>
      </c>
      <c r="ADV145" s="41" t="s">
        <v>1502</v>
      </c>
      <c r="ADW145" s="41" t="s">
        <v>1502</v>
      </c>
      <c r="ADX145" s="41" t="s">
        <v>1502</v>
      </c>
      <c r="ADY145" s="41" t="s">
        <v>1502</v>
      </c>
      <c r="ADZ145" s="41" t="s">
        <v>1502</v>
      </c>
      <c r="AEA145" s="41" t="s">
        <v>1502</v>
      </c>
      <c r="AEB145" s="41" t="s">
        <v>1502</v>
      </c>
      <c r="AEC145" s="41" t="s">
        <v>1502</v>
      </c>
      <c r="AED145" s="41" t="s">
        <v>1502</v>
      </c>
      <c r="AEE145" s="41" t="s">
        <v>1502</v>
      </c>
      <c r="AEF145" s="41" t="s">
        <v>1502</v>
      </c>
      <c r="AEG145" s="41" t="s">
        <v>1502</v>
      </c>
      <c r="AEH145" s="41" t="s">
        <v>1502</v>
      </c>
      <c r="AEI145" s="41" t="s">
        <v>1502</v>
      </c>
      <c r="AEJ145" s="41" t="s">
        <v>1502</v>
      </c>
      <c r="AEK145" s="41" t="s">
        <v>1502</v>
      </c>
      <c r="AEL145" s="41" t="s">
        <v>1502</v>
      </c>
      <c r="AEM145" s="41" t="s">
        <v>1502</v>
      </c>
      <c r="AEN145" s="41" t="s">
        <v>1502</v>
      </c>
      <c r="AEO145" s="41" t="s">
        <v>1502</v>
      </c>
      <c r="AEP145" s="41" t="s">
        <v>1502</v>
      </c>
      <c r="AEQ145" s="41" t="s">
        <v>1502</v>
      </c>
      <c r="AER145" s="41" t="s">
        <v>1502</v>
      </c>
      <c r="AES145" s="41" t="s">
        <v>1502</v>
      </c>
      <c r="AET145" s="41" t="s">
        <v>1502</v>
      </c>
      <c r="AEU145" s="41" t="s">
        <v>1502</v>
      </c>
      <c r="AEV145" s="41" t="s">
        <v>1502</v>
      </c>
      <c r="AEW145" s="41" t="s">
        <v>1502</v>
      </c>
      <c r="AEX145" s="41" t="s">
        <v>1502</v>
      </c>
      <c r="AEY145" s="41" t="s">
        <v>1502</v>
      </c>
      <c r="AEZ145" s="41" t="s">
        <v>1502</v>
      </c>
      <c r="AFA145" s="41" t="s">
        <v>1502</v>
      </c>
      <c r="AFB145" s="41" t="s">
        <v>1502</v>
      </c>
      <c r="AFC145" s="41" t="s">
        <v>1502</v>
      </c>
      <c r="AFD145" s="41" t="s">
        <v>1502</v>
      </c>
      <c r="AFE145" s="41" t="s">
        <v>1502</v>
      </c>
      <c r="AFF145" s="41" t="s">
        <v>1502</v>
      </c>
      <c r="AFG145" s="41" t="s">
        <v>1502</v>
      </c>
      <c r="AFH145" s="41" t="s">
        <v>1502</v>
      </c>
      <c r="AFI145" s="41" t="s">
        <v>1502</v>
      </c>
      <c r="AFJ145" s="41" t="s">
        <v>1502</v>
      </c>
      <c r="AFK145" s="41" t="s">
        <v>1502</v>
      </c>
      <c r="AFL145" s="41" t="s">
        <v>1502</v>
      </c>
      <c r="AFM145" s="41" t="s">
        <v>1502</v>
      </c>
      <c r="AFN145" s="41" t="s">
        <v>1502</v>
      </c>
      <c r="AFO145" s="41" t="s">
        <v>1502</v>
      </c>
      <c r="AFP145" s="41" t="s">
        <v>1502</v>
      </c>
      <c r="AFQ145" s="41" t="s">
        <v>1502</v>
      </c>
      <c r="AFR145" s="41" t="s">
        <v>1502</v>
      </c>
      <c r="AFS145" s="41" t="s">
        <v>1502</v>
      </c>
      <c r="AFT145" s="41" t="s">
        <v>1502</v>
      </c>
      <c r="AFU145" s="41" t="s">
        <v>1502</v>
      </c>
      <c r="AFV145" s="41" t="s">
        <v>1502</v>
      </c>
      <c r="AFW145" s="41" t="s">
        <v>1502</v>
      </c>
      <c r="AFX145" s="41" t="s">
        <v>1502</v>
      </c>
      <c r="AFY145" s="41" t="s">
        <v>1502</v>
      </c>
      <c r="AFZ145" s="41" t="s">
        <v>1502</v>
      </c>
      <c r="AGA145" s="41" t="s">
        <v>1502</v>
      </c>
      <c r="AGB145" s="41" t="s">
        <v>1502</v>
      </c>
      <c r="AGC145" s="41" t="s">
        <v>1502</v>
      </c>
      <c r="AGD145" s="41" t="s">
        <v>1502</v>
      </c>
      <c r="AGE145" s="41" t="s">
        <v>1502</v>
      </c>
      <c r="AGF145" s="41" t="s">
        <v>1502</v>
      </c>
      <c r="AGG145" s="41" t="s">
        <v>1502</v>
      </c>
      <c r="AGH145" s="41" t="s">
        <v>1502</v>
      </c>
      <c r="AGI145" s="41" t="s">
        <v>1502</v>
      </c>
      <c r="AGJ145" s="41" t="s">
        <v>1502</v>
      </c>
      <c r="AGK145" s="41" t="s">
        <v>1502</v>
      </c>
      <c r="AGL145" s="41" t="s">
        <v>1502</v>
      </c>
      <c r="AGM145" s="41" t="s">
        <v>1502</v>
      </c>
      <c r="AGN145" s="41" t="s">
        <v>1502</v>
      </c>
      <c r="AGO145" s="41" t="s">
        <v>1502</v>
      </c>
      <c r="AGP145" s="41" t="s">
        <v>1502</v>
      </c>
      <c r="AGQ145" s="41" t="s">
        <v>1502</v>
      </c>
      <c r="AGR145" s="41" t="s">
        <v>1502</v>
      </c>
      <c r="AGS145" s="41" t="s">
        <v>1502</v>
      </c>
      <c r="AGT145" s="41" t="s">
        <v>1502</v>
      </c>
      <c r="AGU145" s="41" t="s">
        <v>1502</v>
      </c>
      <c r="AGV145" s="41" t="s">
        <v>1502</v>
      </c>
      <c r="AGW145" s="41" t="s">
        <v>1502</v>
      </c>
      <c r="AGX145" s="41" t="s">
        <v>1502</v>
      </c>
      <c r="AGY145" s="41" t="s">
        <v>1502</v>
      </c>
      <c r="AGZ145" s="41" t="s">
        <v>1502</v>
      </c>
      <c r="AHA145" s="41" t="s">
        <v>1502</v>
      </c>
      <c r="AHB145" s="41" t="s">
        <v>1502</v>
      </c>
      <c r="AHC145" s="41" t="s">
        <v>1502</v>
      </c>
      <c r="AHD145" s="41" t="s">
        <v>1502</v>
      </c>
      <c r="AHE145" s="41" t="s">
        <v>1502</v>
      </c>
      <c r="AHF145" s="41" t="s">
        <v>1502</v>
      </c>
      <c r="AHG145" s="41" t="s">
        <v>1502</v>
      </c>
      <c r="AHH145" s="41" t="s">
        <v>1502</v>
      </c>
      <c r="AHI145" s="41" t="s">
        <v>1502</v>
      </c>
      <c r="AHJ145" s="41" t="s">
        <v>1502</v>
      </c>
      <c r="AHK145" s="41" t="s">
        <v>1502</v>
      </c>
      <c r="AHL145" s="41" t="s">
        <v>1502</v>
      </c>
      <c r="AHM145" s="41" t="s">
        <v>1502</v>
      </c>
      <c r="AHN145" s="41" t="s">
        <v>1502</v>
      </c>
      <c r="AHO145" s="41" t="s">
        <v>1502</v>
      </c>
      <c r="AHP145" s="41" t="s">
        <v>1502</v>
      </c>
      <c r="AHQ145" s="41" t="s">
        <v>1502</v>
      </c>
      <c r="AHR145" s="41" t="s">
        <v>1502</v>
      </c>
      <c r="AHS145" s="41" t="s">
        <v>1502</v>
      </c>
      <c r="AHT145" s="41" t="s">
        <v>1502</v>
      </c>
      <c r="AHU145" s="41" t="s">
        <v>1502</v>
      </c>
      <c r="AHV145" s="41" t="s">
        <v>1502</v>
      </c>
      <c r="AHW145" s="41" t="s">
        <v>1502</v>
      </c>
      <c r="AHX145" s="41" t="s">
        <v>1502</v>
      </c>
      <c r="AHY145" s="41" t="s">
        <v>1502</v>
      </c>
      <c r="AHZ145" s="41" t="s">
        <v>1502</v>
      </c>
      <c r="AIA145" s="41" t="s">
        <v>1502</v>
      </c>
      <c r="AIB145" s="41" t="s">
        <v>1502</v>
      </c>
      <c r="AIC145" s="41" t="s">
        <v>1502</v>
      </c>
      <c r="AID145" s="41" t="s">
        <v>1502</v>
      </c>
      <c r="AIE145" s="41" t="s">
        <v>1502</v>
      </c>
      <c r="AIF145" s="41" t="s">
        <v>1502</v>
      </c>
      <c r="AIG145" s="41" t="s">
        <v>1502</v>
      </c>
      <c r="AIH145" s="41" t="s">
        <v>1502</v>
      </c>
      <c r="AII145" s="41" t="s">
        <v>1502</v>
      </c>
      <c r="AIJ145" s="41" t="s">
        <v>1502</v>
      </c>
      <c r="AIK145" s="41" t="s">
        <v>1502</v>
      </c>
      <c r="AIL145" s="41" t="s">
        <v>1502</v>
      </c>
      <c r="AIM145" s="41" t="s">
        <v>1502</v>
      </c>
      <c r="AIN145" s="41" t="s">
        <v>1502</v>
      </c>
      <c r="AIO145" s="41" t="s">
        <v>1502</v>
      </c>
      <c r="AIP145" s="41" t="s">
        <v>1502</v>
      </c>
      <c r="AIQ145" s="41" t="s">
        <v>1502</v>
      </c>
      <c r="AIR145" s="41" t="s">
        <v>1502</v>
      </c>
      <c r="AIS145" s="41" t="s">
        <v>1502</v>
      </c>
      <c r="AIT145" s="41" t="s">
        <v>1502</v>
      </c>
      <c r="AIU145" s="41" t="s">
        <v>1502</v>
      </c>
      <c r="AIV145" s="41" t="s">
        <v>1502</v>
      </c>
      <c r="AIW145" s="41" t="s">
        <v>1502</v>
      </c>
      <c r="AIX145" s="41" t="s">
        <v>1502</v>
      </c>
      <c r="AIY145" s="41" t="s">
        <v>1502</v>
      </c>
      <c r="AIZ145" s="41" t="s">
        <v>1502</v>
      </c>
      <c r="AJA145" s="41" t="s">
        <v>1502</v>
      </c>
      <c r="AJB145" s="41" t="s">
        <v>1502</v>
      </c>
      <c r="AJC145" s="41" t="s">
        <v>1502</v>
      </c>
      <c r="AJD145" s="41" t="s">
        <v>1502</v>
      </c>
      <c r="AJE145" s="41" t="s">
        <v>1502</v>
      </c>
      <c r="AJF145" s="41" t="s">
        <v>1502</v>
      </c>
      <c r="AJG145" s="41" t="s">
        <v>1502</v>
      </c>
      <c r="AJH145" s="41" t="s">
        <v>1502</v>
      </c>
      <c r="AJI145" s="41" t="s">
        <v>1502</v>
      </c>
      <c r="AJJ145" s="41" t="s">
        <v>1502</v>
      </c>
      <c r="AJK145" s="41" t="s">
        <v>1502</v>
      </c>
      <c r="AJL145" s="41" t="s">
        <v>1502</v>
      </c>
      <c r="AJM145" s="41" t="s">
        <v>1502</v>
      </c>
      <c r="AJN145" s="41" t="s">
        <v>1502</v>
      </c>
      <c r="AJO145" s="41" t="s">
        <v>1502</v>
      </c>
      <c r="AJP145" s="41" t="s">
        <v>1502</v>
      </c>
      <c r="AJQ145" s="41" t="s">
        <v>1502</v>
      </c>
      <c r="AJR145" s="41" t="s">
        <v>1502</v>
      </c>
      <c r="AJS145" s="41" t="s">
        <v>1502</v>
      </c>
      <c r="AJT145" s="41" t="s">
        <v>1502</v>
      </c>
      <c r="AJU145" s="41" t="s">
        <v>1502</v>
      </c>
      <c r="AJV145" s="41" t="s">
        <v>1502</v>
      </c>
      <c r="AJW145" s="41" t="s">
        <v>1502</v>
      </c>
      <c r="AJX145" s="41" t="s">
        <v>1502</v>
      </c>
      <c r="AJY145" s="41" t="s">
        <v>1502</v>
      </c>
      <c r="AJZ145" s="41" t="s">
        <v>1502</v>
      </c>
      <c r="AKA145" s="41" t="s">
        <v>1502</v>
      </c>
      <c r="AKB145" s="41" t="s">
        <v>1502</v>
      </c>
      <c r="AKC145" s="41" t="s">
        <v>1502</v>
      </c>
      <c r="AKD145" s="41" t="s">
        <v>1502</v>
      </c>
      <c r="AKE145" s="41" t="s">
        <v>1502</v>
      </c>
      <c r="AKF145" s="41" t="s">
        <v>1502</v>
      </c>
      <c r="AKG145" s="41" t="s">
        <v>1502</v>
      </c>
      <c r="AKH145" s="41" t="s">
        <v>1502</v>
      </c>
      <c r="AKI145" s="41" t="s">
        <v>1502</v>
      </c>
      <c r="AKJ145" s="41" t="s">
        <v>1502</v>
      </c>
      <c r="AKK145" s="41" t="s">
        <v>1502</v>
      </c>
      <c r="AKL145" s="41" t="s">
        <v>1502</v>
      </c>
      <c r="AKM145" s="41" t="s">
        <v>1502</v>
      </c>
      <c r="AKN145" s="41" t="s">
        <v>1502</v>
      </c>
      <c r="AKO145" s="41" t="s">
        <v>1502</v>
      </c>
      <c r="AKP145" s="41" t="s">
        <v>1502</v>
      </c>
      <c r="AKQ145" s="41" t="s">
        <v>1502</v>
      </c>
      <c r="AKR145" s="41" t="s">
        <v>1502</v>
      </c>
      <c r="AKS145" s="41" t="s">
        <v>1502</v>
      </c>
      <c r="AKT145" s="41" t="s">
        <v>1502</v>
      </c>
      <c r="AKU145" s="41" t="s">
        <v>1502</v>
      </c>
      <c r="AKV145" s="41" t="s">
        <v>1502</v>
      </c>
      <c r="AKW145" s="41" t="s">
        <v>1502</v>
      </c>
      <c r="AKX145" s="41" t="s">
        <v>1502</v>
      </c>
      <c r="AKY145" s="41" t="s">
        <v>1502</v>
      </c>
      <c r="AKZ145" s="41" t="s">
        <v>1502</v>
      </c>
      <c r="ALA145" s="41" t="s">
        <v>1502</v>
      </c>
      <c r="ALB145" s="41" t="s">
        <v>1502</v>
      </c>
      <c r="ALC145" s="41" t="s">
        <v>1502</v>
      </c>
      <c r="ALD145" s="41" t="s">
        <v>1502</v>
      </c>
      <c r="ALE145" s="41" t="s">
        <v>1502</v>
      </c>
      <c r="ALF145" s="41" t="s">
        <v>1502</v>
      </c>
      <c r="ALG145" s="41" t="s">
        <v>1502</v>
      </c>
      <c r="ALH145" s="41" t="s">
        <v>1502</v>
      </c>
      <c r="ALI145" s="41" t="s">
        <v>1502</v>
      </c>
      <c r="ALJ145" s="41" t="s">
        <v>1502</v>
      </c>
      <c r="ALK145" s="41" t="s">
        <v>1502</v>
      </c>
      <c r="ALL145" s="41" t="s">
        <v>1502</v>
      </c>
      <c r="ALM145" s="41" t="s">
        <v>1502</v>
      </c>
      <c r="ALN145" s="41" t="s">
        <v>1502</v>
      </c>
      <c r="ALO145" s="41" t="s">
        <v>1502</v>
      </c>
      <c r="ALP145" s="41" t="s">
        <v>1502</v>
      </c>
      <c r="ALQ145" s="41" t="s">
        <v>1502</v>
      </c>
      <c r="ALR145" s="41" t="s">
        <v>1502</v>
      </c>
      <c r="ALS145" s="41" t="s">
        <v>1502</v>
      </c>
      <c r="ALT145" s="41" t="s">
        <v>1502</v>
      </c>
      <c r="ALU145" s="41" t="s">
        <v>1502</v>
      </c>
      <c r="ALV145" s="41" t="s">
        <v>1502</v>
      </c>
      <c r="ALW145" s="41" t="s">
        <v>1502</v>
      </c>
      <c r="ALX145" s="41" t="s">
        <v>1502</v>
      </c>
      <c r="ALY145" s="41" t="s">
        <v>1502</v>
      </c>
      <c r="ALZ145" s="41" t="s">
        <v>1502</v>
      </c>
      <c r="AMA145" s="41" t="s">
        <v>1502</v>
      </c>
      <c r="AMB145" s="41" t="s">
        <v>1502</v>
      </c>
      <c r="AMC145" s="41" t="s">
        <v>1502</v>
      </c>
      <c r="AMD145" s="41" t="s">
        <v>1502</v>
      </c>
      <c r="AME145" s="41" t="s">
        <v>1502</v>
      </c>
      <c r="AMF145" s="41" t="s">
        <v>1502</v>
      </c>
      <c r="AMG145" s="41" t="s">
        <v>1502</v>
      </c>
      <c r="AMH145" s="41" t="s">
        <v>1502</v>
      </c>
      <c r="AMI145" s="41" t="s">
        <v>1502</v>
      </c>
      <c r="AMJ145" s="41" t="s">
        <v>1502</v>
      </c>
      <c r="AMK145" s="41" t="s">
        <v>1502</v>
      </c>
      <c r="AML145" s="41" t="s">
        <v>1502</v>
      </c>
      <c r="AMM145" s="41" t="s">
        <v>1502</v>
      </c>
      <c r="AMN145" s="41" t="s">
        <v>1502</v>
      </c>
      <c r="AMO145" s="41" t="s">
        <v>1502</v>
      </c>
      <c r="AMP145" s="41" t="s">
        <v>1502</v>
      </c>
      <c r="AMQ145" s="41" t="s">
        <v>1502</v>
      </c>
      <c r="AMR145" s="41" t="s">
        <v>1502</v>
      </c>
      <c r="AMS145" s="41" t="s">
        <v>1502</v>
      </c>
      <c r="AMT145" s="41" t="s">
        <v>1502</v>
      </c>
      <c r="AMU145" s="41" t="s">
        <v>1502</v>
      </c>
      <c r="AMV145" s="41" t="s">
        <v>1502</v>
      </c>
      <c r="AMW145" s="41" t="s">
        <v>1502</v>
      </c>
      <c r="AMX145" s="41" t="s">
        <v>1502</v>
      </c>
      <c r="AMY145" s="41" t="s">
        <v>1502</v>
      </c>
      <c r="AMZ145" s="41" t="s">
        <v>1502</v>
      </c>
      <c r="ANA145" s="41" t="s">
        <v>1502</v>
      </c>
      <c r="ANB145" s="41" t="s">
        <v>1502</v>
      </c>
      <c r="ANC145" s="41" t="s">
        <v>1502</v>
      </c>
      <c r="AND145" s="41" t="s">
        <v>1502</v>
      </c>
      <c r="ANE145" s="41" t="s">
        <v>1502</v>
      </c>
      <c r="ANF145" s="41" t="s">
        <v>1502</v>
      </c>
      <c r="ANG145" s="41" t="s">
        <v>1502</v>
      </c>
      <c r="ANH145" s="41" t="s">
        <v>1502</v>
      </c>
      <c r="ANI145" s="41" t="s">
        <v>1502</v>
      </c>
      <c r="ANJ145" s="41" t="s">
        <v>1502</v>
      </c>
      <c r="ANK145" s="41" t="s">
        <v>1502</v>
      </c>
      <c r="ANL145" s="41" t="s">
        <v>1502</v>
      </c>
      <c r="ANM145" s="41" t="s">
        <v>1502</v>
      </c>
      <c r="ANN145" s="41" t="s">
        <v>1502</v>
      </c>
      <c r="ANO145" s="41" t="s">
        <v>1502</v>
      </c>
      <c r="ANP145" s="41" t="s">
        <v>1502</v>
      </c>
      <c r="ANQ145" s="41" t="s">
        <v>1502</v>
      </c>
      <c r="ANR145" s="41" t="s">
        <v>1502</v>
      </c>
      <c r="ANS145" s="41" t="s">
        <v>1502</v>
      </c>
      <c r="ANT145" s="41" t="s">
        <v>1502</v>
      </c>
      <c r="ANU145" s="41" t="s">
        <v>1502</v>
      </c>
      <c r="ANV145" s="41" t="s">
        <v>1502</v>
      </c>
      <c r="ANW145" s="41" t="s">
        <v>1502</v>
      </c>
      <c r="ANX145" s="41" t="s">
        <v>1502</v>
      </c>
      <c r="ANY145" s="41" t="s">
        <v>1502</v>
      </c>
      <c r="ANZ145" s="41" t="s">
        <v>1502</v>
      </c>
      <c r="AOA145" s="41" t="s">
        <v>1502</v>
      </c>
      <c r="AOB145" s="41" t="s">
        <v>1502</v>
      </c>
      <c r="AOC145" s="41" t="s">
        <v>1502</v>
      </c>
      <c r="AOD145" s="41" t="s">
        <v>1502</v>
      </c>
      <c r="AOE145" s="41" t="s">
        <v>1502</v>
      </c>
      <c r="AOF145" s="41" t="s">
        <v>1502</v>
      </c>
      <c r="AOG145" s="41" t="s">
        <v>1502</v>
      </c>
      <c r="AOH145" s="41" t="s">
        <v>1502</v>
      </c>
      <c r="AOI145" s="41" t="s">
        <v>1502</v>
      </c>
      <c r="AOJ145" s="41" t="s">
        <v>1502</v>
      </c>
      <c r="AOK145" s="41" t="s">
        <v>1502</v>
      </c>
      <c r="AOL145" s="41" t="s">
        <v>1502</v>
      </c>
      <c r="AOM145" s="41" t="s">
        <v>1502</v>
      </c>
      <c r="AON145" s="41" t="s">
        <v>1502</v>
      </c>
      <c r="AOO145" s="41" t="s">
        <v>1502</v>
      </c>
      <c r="AOP145" s="41" t="s">
        <v>1502</v>
      </c>
      <c r="AOQ145" s="41" t="s">
        <v>1502</v>
      </c>
      <c r="AOR145" s="41" t="s">
        <v>1502</v>
      </c>
      <c r="AOS145" s="41" t="s">
        <v>1502</v>
      </c>
      <c r="AOT145" s="41" t="s">
        <v>1502</v>
      </c>
      <c r="AOU145" s="41" t="s">
        <v>1502</v>
      </c>
      <c r="AOV145" s="41" t="s">
        <v>1502</v>
      </c>
      <c r="AOW145" s="41" t="s">
        <v>1502</v>
      </c>
      <c r="AOX145" s="41" t="s">
        <v>1502</v>
      </c>
      <c r="AOY145" s="41" t="s">
        <v>1502</v>
      </c>
      <c r="AOZ145" s="41" t="s">
        <v>1502</v>
      </c>
      <c r="APA145" s="41" t="s">
        <v>1502</v>
      </c>
      <c r="APB145" s="41" t="s">
        <v>1502</v>
      </c>
      <c r="APC145" s="41" t="s">
        <v>1502</v>
      </c>
      <c r="APD145" s="41" t="s">
        <v>1502</v>
      </c>
      <c r="APE145" s="41" t="s">
        <v>1502</v>
      </c>
      <c r="APF145" s="41" t="s">
        <v>1502</v>
      </c>
      <c r="APG145" s="41" t="s">
        <v>1502</v>
      </c>
      <c r="APH145" s="41" t="s">
        <v>1502</v>
      </c>
      <c r="API145" s="41" t="s">
        <v>1502</v>
      </c>
      <c r="APJ145" s="41" t="s">
        <v>1502</v>
      </c>
      <c r="APK145" s="41" t="s">
        <v>1502</v>
      </c>
      <c r="APL145" s="41" t="s">
        <v>1502</v>
      </c>
      <c r="APM145" s="41" t="s">
        <v>1502</v>
      </c>
      <c r="APN145" s="41" t="s">
        <v>1502</v>
      </c>
      <c r="APO145" s="41" t="s">
        <v>1502</v>
      </c>
      <c r="APP145" s="41" t="s">
        <v>1502</v>
      </c>
      <c r="APQ145" s="41" t="s">
        <v>1502</v>
      </c>
      <c r="APR145" s="41" t="s">
        <v>1502</v>
      </c>
      <c r="APS145" s="41" t="s">
        <v>1502</v>
      </c>
      <c r="APT145" s="41" t="s">
        <v>1502</v>
      </c>
      <c r="APU145" s="41" t="s">
        <v>1502</v>
      </c>
      <c r="APV145" s="41" t="s">
        <v>1502</v>
      </c>
      <c r="APW145" s="41" t="s">
        <v>1502</v>
      </c>
      <c r="APX145" s="41" t="s">
        <v>1502</v>
      </c>
      <c r="APY145" s="41" t="s">
        <v>1502</v>
      </c>
      <c r="APZ145" s="41" t="s">
        <v>1502</v>
      </c>
      <c r="AQA145" s="41" t="s">
        <v>1502</v>
      </c>
      <c r="AQB145" s="41" t="s">
        <v>1502</v>
      </c>
      <c r="AQC145" s="41" t="s">
        <v>1502</v>
      </c>
      <c r="AQD145" s="41" t="s">
        <v>1502</v>
      </c>
      <c r="AQE145" s="41" t="s">
        <v>1502</v>
      </c>
      <c r="AQF145" s="41" t="s">
        <v>1502</v>
      </c>
      <c r="AQG145" s="41" t="s">
        <v>1502</v>
      </c>
      <c r="AQH145" s="41" t="s">
        <v>1502</v>
      </c>
      <c r="AQI145" s="41" t="s">
        <v>1502</v>
      </c>
      <c r="AQJ145" s="41" t="s">
        <v>1502</v>
      </c>
      <c r="AQK145" s="41" t="s">
        <v>1502</v>
      </c>
      <c r="AQL145" s="41" t="s">
        <v>1502</v>
      </c>
      <c r="AQM145" s="41" t="s">
        <v>1502</v>
      </c>
      <c r="AQN145" s="41" t="s">
        <v>1502</v>
      </c>
      <c r="AQO145" s="41" t="s">
        <v>1502</v>
      </c>
      <c r="AQP145" s="41" t="s">
        <v>1502</v>
      </c>
      <c r="AQQ145" s="41" t="s">
        <v>1502</v>
      </c>
      <c r="AQR145" s="41" t="s">
        <v>1502</v>
      </c>
      <c r="AQS145" s="41" t="s">
        <v>1502</v>
      </c>
      <c r="AQT145" s="41" t="s">
        <v>1502</v>
      </c>
      <c r="AQU145" s="41" t="s">
        <v>1502</v>
      </c>
      <c r="AQV145" s="41" t="s">
        <v>1502</v>
      </c>
      <c r="AQW145" s="41" t="s">
        <v>1502</v>
      </c>
      <c r="AQX145" s="41" t="s">
        <v>1502</v>
      </c>
      <c r="AQY145" s="41" t="s">
        <v>1502</v>
      </c>
      <c r="AQZ145" s="41" t="s">
        <v>1502</v>
      </c>
      <c r="ARA145" s="41" t="s">
        <v>1502</v>
      </c>
      <c r="ARB145" s="41" t="s">
        <v>1502</v>
      </c>
      <c r="ARC145" s="41" t="s">
        <v>1502</v>
      </c>
      <c r="ARD145" s="41" t="s">
        <v>1502</v>
      </c>
      <c r="ARE145" s="41" t="s">
        <v>1502</v>
      </c>
      <c r="ARF145" s="41" t="s">
        <v>1502</v>
      </c>
      <c r="ARG145" s="41" t="s">
        <v>1502</v>
      </c>
      <c r="ARH145" s="41" t="s">
        <v>1502</v>
      </c>
      <c r="ARI145" s="41" t="s">
        <v>1502</v>
      </c>
      <c r="ARJ145" s="41" t="s">
        <v>1502</v>
      </c>
      <c r="ARK145" s="41" t="s">
        <v>1502</v>
      </c>
      <c r="ARL145" s="41" t="s">
        <v>1502</v>
      </c>
      <c r="ARM145" s="41" t="s">
        <v>1502</v>
      </c>
      <c r="ARN145" s="41" t="s">
        <v>1502</v>
      </c>
      <c r="ARO145" s="41" t="s">
        <v>1502</v>
      </c>
      <c r="ARP145" s="41" t="s">
        <v>1502</v>
      </c>
      <c r="ARQ145" s="41" t="s">
        <v>1502</v>
      </c>
      <c r="ARR145" s="41" t="s">
        <v>1502</v>
      </c>
      <c r="ARS145" s="41" t="s">
        <v>1502</v>
      </c>
      <c r="ART145" s="41" t="s">
        <v>1502</v>
      </c>
      <c r="ARU145" s="41" t="s">
        <v>1502</v>
      </c>
      <c r="ARV145" s="41" t="s">
        <v>1502</v>
      </c>
      <c r="ARW145" s="41" t="s">
        <v>1502</v>
      </c>
      <c r="ARX145" s="41" t="s">
        <v>1502</v>
      </c>
      <c r="ARY145" s="41" t="s">
        <v>1502</v>
      </c>
      <c r="ARZ145" s="41" t="s">
        <v>1502</v>
      </c>
      <c r="ASA145" s="41" t="s">
        <v>1502</v>
      </c>
      <c r="ASB145" s="41" t="s">
        <v>1502</v>
      </c>
      <c r="ASC145" s="41" t="s">
        <v>1502</v>
      </c>
      <c r="ASD145" s="41" t="s">
        <v>1502</v>
      </c>
      <c r="ASE145" s="41" t="s">
        <v>1502</v>
      </c>
      <c r="ASF145" s="41" t="s">
        <v>1502</v>
      </c>
      <c r="ASG145" s="41" t="s">
        <v>1502</v>
      </c>
      <c r="ASH145" s="41" t="s">
        <v>1502</v>
      </c>
      <c r="ASI145" s="41" t="s">
        <v>1502</v>
      </c>
      <c r="ASJ145" s="41" t="s">
        <v>1502</v>
      </c>
      <c r="ASK145" s="41" t="s">
        <v>1502</v>
      </c>
      <c r="ASL145" s="41" t="s">
        <v>1502</v>
      </c>
      <c r="ASM145" s="41" t="s">
        <v>1502</v>
      </c>
      <c r="ASN145" s="41" t="s">
        <v>1502</v>
      </c>
      <c r="ASO145" s="41" t="s">
        <v>1502</v>
      </c>
      <c r="ASP145" s="41" t="s">
        <v>1502</v>
      </c>
      <c r="ASQ145" s="41" t="s">
        <v>1502</v>
      </c>
      <c r="ASR145" s="41" t="s">
        <v>1502</v>
      </c>
      <c r="ASS145" s="41" t="s">
        <v>1502</v>
      </c>
      <c r="AST145" s="41" t="s">
        <v>1502</v>
      </c>
      <c r="ASU145" s="41" t="s">
        <v>1502</v>
      </c>
      <c r="ASV145" s="41" t="s">
        <v>1502</v>
      </c>
      <c r="ASW145" s="41" t="s">
        <v>1502</v>
      </c>
      <c r="ASX145" s="41" t="s">
        <v>1502</v>
      </c>
      <c r="ASY145" s="41" t="s">
        <v>1502</v>
      </c>
      <c r="ASZ145" s="41" t="s">
        <v>1502</v>
      </c>
      <c r="ATA145" s="41" t="s">
        <v>1502</v>
      </c>
      <c r="ATB145" s="41" t="s">
        <v>1502</v>
      </c>
      <c r="ATC145" s="41" t="s">
        <v>1502</v>
      </c>
      <c r="ATD145" s="41" t="s">
        <v>1502</v>
      </c>
      <c r="ATE145" s="41" t="s">
        <v>1502</v>
      </c>
      <c r="ATF145" s="41" t="s">
        <v>1502</v>
      </c>
      <c r="ATG145" s="41" t="s">
        <v>1502</v>
      </c>
      <c r="ATH145" s="41" t="s">
        <v>1502</v>
      </c>
      <c r="ATI145" s="41" t="s">
        <v>1502</v>
      </c>
      <c r="ATJ145" s="41" t="s">
        <v>1502</v>
      </c>
      <c r="ATK145" s="41" t="s">
        <v>1502</v>
      </c>
      <c r="ATL145" s="41" t="s">
        <v>1502</v>
      </c>
      <c r="ATM145" s="41" t="s">
        <v>1502</v>
      </c>
      <c r="ATN145" s="41" t="s">
        <v>1502</v>
      </c>
      <c r="ATO145" s="41" t="s">
        <v>1502</v>
      </c>
      <c r="ATP145" s="41" t="s">
        <v>1502</v>
      </c>
      <c r="ATQ145" s="41" t="s">
        <v>1502</v>
      </c>
      <c r="ATR145" s="41" t="s">
        <v>1502</v>
      </c>
      <c r="ATS145" s="41" t="s">
        <v>1502</v>
      </c>
      <c r="ATT145" s="41" t="s">
        <v>1502</v>
      </c>
      <c r="ATU145" s="41" t="s">
        <v>1502</v>
      </c>
      <c r="ATV145" s="41" t="s">
        <v>1502</v>
      </c>
      <c r="ATW145" s="41" t="s">
        <v>1502</v>
      </c>
      <c r="ATX145" s="41" t="s">
        <v>1502</v>
      </c>
      <c r="ATY145" s="41" t="s">
        <v>1502</v>
      </c>
      <c r="ATZ145" s="41" t="s">
        <v>1502</v>
      </c>
      <c r="AUA145" s="41" t="s">
        <v>1502</v>
      </c>
      <c r="AUB145" s="41" t="s">
        <v>1502</v>
      </c>
      <c r="AUC145" s="41" t="s">
        <v>1502</v>
      </c>
      <c r="AUD145" s="41" t="s">
        <v>1502</v>
      </c>
      <c r="AUE145" s="41" t="s">
        <v>1502</v>
      </c>
      <c r="AUF145" s="41" t="s">
        <v>1502</v>
      </c>
      <c r="AUG145" s="41" t="s">
        <v>1502</v>
      </c>
      <c r="AUH145" s="41" t="s">
        <v>1502</v>
      </c>
      <c r="AUI145" s="41" t="s">
        <v>1502</v>
      </c>
      <c r="AUJ145" s="41" t="s">
        <v>1502</v>
      </c>
      <c r="AUK145" s="41" t="s">
        <v>1502</v>
      </c>
      <c r="AUL145" s="41" t="s">
        <v>1502</v>
      </c>
      <c r="AUM145" s="41" t="s">
        <v>1502</v>
      </c>
      <c r="AUN145" s="41" t="s">
        <v>1502</v>
      </c>
      <c r="AUO145" s="41" t="s">
        <v>1502</v>
      </c>
      <c r="AUP145" s="41" t="s">
        <v>1502</v>
      </c>
      <c r="AUQ145" s="41" t="s">
        <v>1502</v>
      </c>
      <c r="AUR145" s="41" t="s">
        <v>1502</v>
      </c>
      <c r="AUS145" s="41" t="s">
        <v>1502</v>
      </c>
      <c r="AUT145" s="41" t="s">
        <v>1502</v>
      </c>
      <c r="AUU145" s="41" t="s">
        <v>1502</v>
      </c>
      <c r="AUV145" s="41" t="s">
        <v>1502</v>
      </c>
      <c r="AUW145" s="41" t="s">
        <v>1502</v>
      </c>
      <c r="AUX145" s="41" t="s">
        <v>1502</v>
      </c>
      <c r="AUY145" s="41" t="s">
        <v>1502</v>
      </c>
      <c r="AUZ145" s="41" t="s">
        <v>1502</v>
      </c>
      <c r="AVA145" s="41" t="s">
        <v>1502</v>
      </c>
      <c r="AVB145" s="41" t="s">
        <v>1502</v>
      </c>
      <c r="AVC145" s="41" t="s">
        <v>1502</v>
      </c>
      <c r="AVD145" s="41" t="s">
        <v>1502</v>
      </c>
      <c r="AVE145" s="41" t="s">
        <v>1502</v>
      </c>
      <c r="AVF145" s="41" t="s">
        <v>1502</v>
      </c>
      <c r="AVG145" s="41" t="s">
        <v>1502</v>
      </c>
      <c r="AVH145" s="41" t="s">
        <v>1502</v>
      </c>
      <c r="AVI145" s="41" t="s">
        <v>1502</v>
      </c>
      <c r="AVJ145" s="41" t="s">
        <v>1502</v>
      </c>
      <c r="AVK145" s="41" t="s">
        <v>1502</v>
      </c>
      <c r="AVL145" s="41" t="s">
        <v>1502</v>
      </c>
      <c r="AVM145" s="41" t="s">
        <v>1502</v>
      </c>
      <c r="AVN145" s="41" t="s">
        <v>1502</v>
      </c>
      <c r="AVO145" s="41" t="s">
        <v>1502</v>
      </c>
      <c r="AVP145" s="41" t="s">
        <v>1502</v>
      </c>
      <c r="AVQ145" s="41" t="s">
        <v>1502</v>
      </c>
      <c r="AVR145" s="41" t="s">
        <v>1502</v>
      </c>
      <c r="AVS145" s="41" t="s">
        <v>1502</v>
      </c>
      <c r="AVT145" s="41" t="s">
        <v>1502</v>
      </c>
      <c r="AVU145" s="41" t="s">
        <v>1502</v>
      </c>
      <c r="AVV145" s="41" t="s">
        <v>1502</v>
      </c>
      <c r="AVW145" s="41" t="s">
        <v>1502</v>
      </c>
      <c r="AVX145" s="41" t="s">
        <v>1502</v>
      </c>
      <c r="AVY145" s="41" t="s">
        <v>1502</v>
      </c>
      <c r="AVZ145" s="41" t="s">
        <v>1502</v>
      </c>
      <c r="AWA145" s="41" t="s">
        <v>1502</v>
      </c>
      <c r="AWB145" s="41" t="s">
        <v>1502</v>
      </c>
      <c r="AWC145" s="41" t="s">
        <v>1502</v>
      </c>
      <c r="AWD145" s="41" t="s">
        <v>1502</v>
      </c>
      <c r="AWE145" s="41" t="s">
        <v>1502</v>
      </c>
      <c r="AWF145" s="41" t="s">
        <v>1502</v>
      </c>
      <c r="AWG145" s="41" t="s">
        <v>1502</v>
      </c>
      <c r="AWH145" s="41" t="s">
        <v>1502</v>
      </c>
      <c r="AWI145" s="41" t="s">
        <v>1502</v>
      </c>
      <c r="AWJ145" s="41" t="s">
        <v>1502</v>
      </c>
      <c r="AWK145" s="41" t="s">
        <v>1502</v>
      </c>
      <c r="AWL145" s="41" t="s">
        <v>1502</v>
      </c>
      <c r="AWM145" s="41" t="s">
        <v>1502</v>
      </c>
      <c r="AWN145" s="41" t="s">
        <v>1502</v>
      </c>
      <c r="AWO145" s="41" t="s">
        <v>1502</v>
      </c>
      <c r="AWP145" s="41" t="s">
        <v>1502</v>
      </c>
      <c r="AWQ145" s="41" t="s">
        <v>1502</v>
      </c>
      <c r="AWR145" s="41" t="s">
        <v>1502</v>
      </c>
      <c r="AWS145" s="41" t="s">
        <v>1502</v>
      </c>
      <c r="AWT145" s="41" t="s">
        <v>1502</v>
      </c>
      <c r="AWU145" s="41" t="s">
        <v>1502</v>
      </c>
      <c r="AWV145" s="41" t="s">
        <v>1502</v>
      </c>
      <c r="AWW145" s="41" t="s">
        <v>1502</v>
      </c>
      <c r="AWX145" s="41" t="s">
        <v>1502</v>
      </c>
      <c r="AWY145" s="41" t="s">
        <v>1502</v>
      </c>
      <c r="AWZ145" s="41" t="s">
        <v>1502</v>
      </c>
      <c r="AXA145" s="41" t="s">
        <v>1502</v>
      </c>
      <c r="AXB145" s="41" t="s">
        <v>1502</v>
      </c>
      <c r="AXC145" s="41" t="s">
        <v>1502</v>
      </c>
      <c r="AXD145" s="41" t="s">
        <v>1502</v>
      </c>
      <c r="AXE145" s="41" t="s">
        <v>1502</v>
      </c>
      <c r="AXF145" s="41" t="s">
        <v>1502</v>
      </c>
      <c r="AXG145" s="41" t="s">
        <v>1502</v>
      </c>
      <c r="AXH145" s="41" t="s">
        <v>1502</v>
      </c>
      <c r="AXI145" s="41" t="s">
        <v>1502</v>
      </c>
      <c r="AXJ145" s="41" t="s">
        <v>1502</v>
      </c>
      <c r="AXK145" s="41" t="s">
        <v>1502</v>
      </c>
      <c r="AXL145" s="41" t="s">
        <v>1502</v>
      </c>
      <c r="AXM145" s="41" t="s">
        <v>1502</v>
      </c>
      <c r="AXN145" s="41" t="s">
        <v>1502</v>
      </c>
      <c r="AXO145" s="41" t="s">
        <v>1502</v>
      </c>
      <c r="AXP145" s="41" t="s">
        <v>1502</v>
      </c>
      <c r="AXQ145" s="41" t="s">
        <v>1502</v>
      </c>
      <c r="AXR145" s="41" t="s">
        <v>1502</v>
      </c>
      <c r="AXS145" s="41" t="s">
        <v>1502</v>
      </c>
      <c r="AXT145" s="41" t="s">
        <v>1502</v>
      </c>
      <c r="AXU145" s="41" t="s">
        <v>1502</v>
      </c>
      <c r="AXV145" s="41" t="s">
        <v>1502</v>
      </c>
      <c r="AXW145" s="41" t="s">
        <v>1502</v>
      </c>
      <c r="AXX145" s="41" t="s">
        <v>1502</v>
      </c>
      <c r="AXY145" s="41" t="s">
        <v>1502</v>
      </c>
      <c r="AXZ145" s="41" t="s">
        <v>1502</v>
      </c>
      <c r="AYA145" s="41" t="s">
        <v>1502</v>
      </c>
      <c r="AYB145" s="41" t="s">
        <v>1502</v>
      </c>
      <c r="AYC145" s="41" t="s">
        <v>1502</v>
      </c>
      <c r="AYD145" s="41" t="s">
        <v>1502</v>
      </c>
      <c r="AYE145" s="41" t="s">
        <v>1502</v>
      </c>
      <c r="AYF145" s="41" t="s">
        <v>1502</v>
      </c>
      <c r="AYG145" s="41" t="s">
        <v>1502</v>
      </c>
      <c r="AYH145" s="41" t="s">
        <v>1502</v>
      </c>
      <c r="AYI145" s="41" t="s">
        <v>1502</v>
      </c>
      <c r="AYJ145" s="41" t="s">
        <v>1502</v>
      </c>
      <c r="AYK145" s="41" t="s">
        <v>1502</v>
      </c>
      <c r="AYL145" s="41" t="s">
        <v>1502</v>
      </c>
      <c r="AYM145" s="41" t="s">
        <v>1502</v>
      </c>
      <c r="AYN145" s="41" t="s">
        <v>1502</v>
      </c>
      <c r="AYO145" s="41" t="s">
        <v>1502</v>
      </c>
      <c r="AYP145" s="41" t="s">
        <v>1502</v>
      </c>
      <c r="AYQ145" s="41" t="s">
        <v>1502</v>
      </c>
      <c r="AYR145" s="41" t="s">
        <v>1502</v>
      </c>
      <c r="AYS145" s="41" t="s">
        <v>1502</v>
      </c>
      <c r="AYT145" s="41" t="s">
        <v>1502</v>
      </c>
      <c r="AYU145" s="41" t="s">
        <v>1502</v>
      </c>
      <c r="AYV145" s="41" t="s">
        <v>1502</v>
      </c>
      <c r="AYW145" s="41" t="s">
        <v>1502</v>
      </c>
      <c r="AYX145" s="41" t="s">
        <v>1502</v>
      </c>
      <c r="AYY145" s="41" t="s">
        <v>1502</v>
      </c>
      <c r="AYZ145" s="41" t="s">
        <v>1502</v>
      </c>
      <c r="AZA145" s="41" t="s">
        <v>1502</v>
      </c>
      <c r="AZB145" s="41" t="s">
        <v>1502</v>
      </c>
      <c r="AZC145" s="41" t="s">
        <v>1502</v>
      </c>
      <c r="AZD145" s="41" t="s">
        <v>1502</v>
      </c>
      <c r="AZE145" s="41" t="s">
        <v>1502</v>
      </c>
      <c r="AZF145" s="41" t="s">
        <v>1502</v>
      </c>
      <c r="AZG145" s="41" t="s">
        <v>1502</v>
      </c>
      <c r="AZH145" s="41" t="s">
        <v>1502</v>
      </c>
      <c r="AZI145" s="41" t="s">
        <v>1502</v>
      </c>
      <c r="AZJ145" s="41" t="s">
        <v>1502</v>
      </c>
      <c r="AZK145" s="41" t="s">
        <v>1502</v>
      </c>
      <c r="AZL145" s="41" t="s">
        <v>1502</v>
      </c>
      <c r="AZM145" s="41" t="s">
        <v>1502</v>
      </c>
      <c r="AZN145" s="41" t="s">
        <v>1502</v>
      </c>
      <c r="AZO145" s="41" t="s">
        <v>1502</v>
      </c>
      <c r="AZP145" s="41" t="s">
        <v>1502</v>
      </c>
      <c r="AZQ145" s="41" t="s">
        <v>1502</v>
      </c>
      <c r="AZR145" s="41" t="s">
        <v>1502</v>
      </c>
      <c r="AZS145" s="41" t="s">
        <v>1502</v>
      </c>
      <c r="AZT145" s="41" t="s">
        <v>1502</v>
      </c>
      <c r="AZU145" s="41" t="s">
        <v>1502</v>
      </c>
      <c r="AZV145" s="41" t="s">
        <v>1502</v>
      </c>
      <c r="AZW145" s="41" t="s">
        <v>1502</v>
      </c>
      <c r="AZX145" s="41" t="s">
        <v>1502</v>
      </c>
      <c r="AZY145" s="41" t="s">
        <v>1502</v>
      </c>
      <c r="AZZ145" s="41" t="s">
        <v>1502</v>
      </c>
      <c r="BAA145" s="41" t="s">
        <v>1502</v>
      </c>
      <c r="BAB145" s="41" t="s">
        <v>1502</v>
      </c>
      <c r="BAC145" s="41" t="s">
        <v>1502</v>
      </c>
      <c r="BAD145" s="41" t="s">
        <v>1502</v>
      </c>
      <c r="BAE145" s="41" t="s">
        <v>1502</v>
      </c>
      <c r="BAF145" s="41" t="s">
        <v>1502</v>
      </c>
      <c r="BAG145" s="41" t="s">
        <v>1502</v>
      </c>
      <c r="BAH145" s="41" t="s">
        <v>1502</v>
      </c>
      <c r="BAI145" s="41" t="s">
        <v>1502</v>
      </c>
      <c r="BAJ145" s="41" t="s">
        <v>1502</v>
      </c>
      <c r="BAK145" s="41" t="s">
        <v>1502</v>
      </c>
      <c r="BAL145" s="41" t="s">
        <v>1502</v>
      </c>
      <c r="BAM145" s="41" t="s">
        <v>1502</v>
      </c>
      <c r="BAN145" s="41" t="s">
        <v>1502</v>
      </c>
      <c r="BAO145" s="41" t="s">
        <v>1502</v>
      </c>
      <c r="BAP145" s="41" t="s">
        <v>1502</v>
      </c>
      <c r="BAQ145" s="41" t="s">
        <v>1502</v>
      </c>
      <c r="BAR145" s="41" t="s">
        <v>1502</v>
      </c>
      <c r="BAS145" s="41" t="s">
        <v>1502</v>
      </c>
      <c r="BAT145" s="41" t="s">
        <v>1502</v>
      </c>
      <c r="BAU145" s="41" t="s">
        <v>1502</v>
      </c>
      <c r="BAV145" s="41" t="s">
        <v>1502</v>
      </c>
      <c r="BAW145" s="41" t="s">
        <v>1502</v>
      </c>
      <c r="BAX145" s="41" t="s">
        <v>1502</v>
      </c>
      <c r="BAY145" s="41" t="s">
        <v>1502</v>
      </c>
      <c r="BAZ145" s="41" t="s">
        <v>1502</v>
      </c>
      <c r="BBA145" s="41" t="s">
        <v>1502</v>
      </c>
      <c r="BBB145" s="41" t="s">
        <v>1502</v>
      </c>
      <c r="BBC145" s="41" t="s">
        <v>1502</v>
      </c>
      <c r="BBD145" s="41" t="s">
        <v>1502</v>
      </c>
      <c r="BBE145" s="41" t="s">
        <v>1502</v>
      </c>
      <c r="BBF145" s="41" t="s">
        <v>1502</v>
      </c>
      <c r="BBG145" s="41" t="s">
        <v>1502</v>
      </c>
      <c r="BBH145" s="41" t="s">
        <v>1502</v>
      </c>
      <c r="BBI145" s="41" t="s">
        <v>1502</v>
      </c>
      <c r="BBJ145" s="41" t="s">
        <v>1502</v>
      </c>
      <c r="BBK145" s="41" t="s">
        <v>1502</v>
      </c>
      <c r="BBL145" s="41" t="s">
        <v>1502</v>
      </c>
      <c r="BBM145" s="41" t="s">
        <v>1502</v>
      </c>
      <c r="BBN145" s="41" t="s">
        <v>1502</v>
      </c>
      <c r="BBO145" s="41" t="s">
        <v>1502</v>
      </c>
      <c r="BBP145" s="41" t="s">
        <v>1502</v>
      </c>
      <c r="BBQ145" s="41" t="s">
        <v>1502</v>
      </c>
      <c r="BBR145" s="41" t="s">
        <v>1502</v>
      </c>
      <c r="BBS145" s="41" t="s">
        <v>1502</v>
      </c>
      <c r="BBT145" s="41" t="s">
        <v>1502</v>
      </c>
      <c r="BBU145" s="41" t="s">
        <v>1502</v>
      </c>
      <c r="BBV145" s="41" t="s">
        <v>1502</v>
      </c>
      <c r="BBW145" s="41" t="s">
        <v>1502</v>
      </c>
      <c r="BBX145" s="41" t="s">
        <v>1502</v>
      </c>
      <c r="BBY145" s="41" t="s">
        <v>1502</v>
      </c>
      <c r="BBZ145" s="41" t="s">
        <v>1502</v>
      </c>
      <c r="BCA145" s="41" t="s">
        <v>1502</v>
      </c>
      <c r="BCB145" s="41" t="s">
        <v>1502</v>
      </c>
      <c r="BCC145" s="41" t="s">
        <v>1502</v>
      </c>
      <c r="BCD145" s="41" t="s">
        <v>1502</v>
      </c>
      <c r="BCE145" s="41" t="s">
        <v>1502</v>
      </c>
      <c r="BCF145" s="41" t="s">
        <v>1502</v>
      </c>
      <c r="BCG145" s="41" t="s">
        <v>1502</v>
      </c>
      <c r="BCH145" s="41" t="s">
        <v>1502</v>
      </c>
      <c r="BCI145" s="41" t="s">
        <v>1502</v>
      </c>
      <c r="BCJ145" s="41" t="s">
        <v>1502</v>
      </c>
      <c r="BCK145" s="41" t="s">
        <v>1502</v>
      </c>
      <c r="BCL145" s="41" t="s">
        <v>1502</v>
      </c>
      <c r="BCM145" s="41" t="s">
        <v>1502</v>
      </c>
      <c r="BCN145" s="41" t="s">
        <v>1502</v>
      </c>
      <c r="BCO145" s="41" t="s">
        <v>1502</v>
      </c>
      <c r="BCP145" s="41" t="s">
        <v>1502</v>
      </c>
      <c r="BCQ145" s="41" t="s">
        <v>1502</v>
      </c>
      <c r="BCR145" s="41" t="s">
        <v>1502</v>
      </c>
      <c r="BCS145" s="41" t="s">
        <v>1502</v>
      </c>
      <c r="BCT145" s="41" t="s">
        <v>1502</v>
      </c>
      <c r="BCU145" s="41" t="s">
        <v>1502</v>
      </c>
      <c r="BCV145" s="41" t="s">
        <v>1502</v>
      </c>
      <c r="BCW145" s="41" t="s">
        <v>1502</v>
      </c>
      <c r="BCX145" s="41" t="s">
        <v>1502</v>
      </c>
      <c r="BCY145" s="41" t="s">
        <v>1502</v>
      </c>
      <c r="BCZ145" s="41" t="s">
        <v>1502</v>
      </c>
      <c r="BDA145" s="41" t="s">
        <v>1502</v>
      </c>
      <c r="BDB145" s="41" t="s">
        <v>1502</v>
      </c>
      <c r="BDC145" s="41" t="s">
        <v>1502</v>
      </c>
      <c r="BDD145" s="41" t="s">
        <v>1502</v>
      </c>
      <c r="BDE145" s="41" t="s">
        <v>1502</v>
      </c>
      <c r="BDF145" s="41" t="s">
        <v>1502</v>
      </c>
      <c r="BDG145" s="41" t="s">
        <v>1502</v>
      </c>
      <c r="BDH145" s="41" t="s">
        <v>1502</v>
      </c>
      <c r="BDI145" s="41" t="s">
        <v>1502</v>
      </c>
      <c r="BDJ145" s="41" t="s">
        <v>1502</v>
      </c>
      <c r="BDK145" s="41" t="s">
        <v>1502</v>
      </c>
      <c r="BDL145" s="41" t="s">
        <v>1502</v>
      </c>
      <c r="BDM145" s="41" t="s">
        <v>1502</v>
      </c>
      <c r="BDN145" s="41" t="s">
        <v>1502</v>
      </c>
      <c r="BDO145" s="41" t="s">
        <v>1502</v>
      </c>
      <c r="BDP145" s="41" t="s">
        <v>1502</v>
      </c>
      <c r="BDQ145" s="41" t="s">
        <v>1502</v>
      </c>
      <c r="BDR145" s="41" t="s">
        <v>1502</v>
      </c>
      <c r="BDS145" s="41" t="s">
        <v>1502</v>
      </c>
      <c r="BDT145" s="41" t="s">
        <v>1502</v>
      </c>
      <c r="BDU145" s="41" t="s">
        <v>1502</v>
      </c>
      <c r="BDV145" s="41" t="s">
        <v>1502</v>
      </c>
      <c r="BDW145" s="41" t="s">
        <v>1502</v>
      </c>
      <c r="BDX145" s="41" t="s">
        <v>1502</v>
      </c>
      <c r="BDY145" s="41" t="s">
        <v>1502</v>
      </c>
      <c r="BDZ145" s="41" t="s">
        <v>1502</v>
      </c>
      <c r="BEA145" s="41" t="s">
        <v>1502</v>
      </c>
      <c r="BEB145" s="41" t="s">
        <v>1502</v>
      </c>
      <c r="BEC145" s="41" t="s">
        <v>1502</v>
      </c>
      <c r="BED145" s="41" t="s">
        <v>1502</v>
      </c>
      <c r="BEE145" s="41" t="s">
        <v>1502</v>
      </c>
      <c r="BEF145" s="41" t="s">
        <v>1502</v>
      </c>
      <c r="BEG145" s="41" t="s">
        <v>1502</v>
      </c>
      <c r="BEH145" s="41" t="s">
        <v>1502</v>
      </c>
      <c r="BEI145" s="41" t="s">
        <v>1502</v>
      </c>
      <c r="BEJ145" s="41" t="s">
        <v>1502</v>
      </c>
      <c r="BEK145" s="41" t="s">
        <v>1502</v>
      </c>
      <c r="BEL145" s="41" t="s">
        <v>1502</v>
      </c>
      <c r="BEM145" s="41" t="s">
        <v>1502</v>
      </c>
      <c r="BEN145" s="41" t="s">
        <v>1502</v>
      </c>
      <c r="BEO145" s="41" t="s">
        <v>1502</v>
      </c>
      <c r="BEP145" s="41" t="s">
        <v>1502</v>
      </c>
      <c r="BEQ145" s="41" t="s">
        <v>1502</v>
      </c>
      <c r="BER145" s="41" t="s">
        <v>1502</v>
      </c>
      <c r="BES145" s="41" t="s">
        <v>1502</v>
      </c>
      <c r="BET145" s="41" t="s">
        <v>1502</v>
      </c>
      <c r="BEU145" s="41" t="s">
        <v>1502</v>
      </c>
      <c r="BEV145" s="41" t="s">
        <v>1502</v>
      </c>
      <c r="BEW145" s="41" t="s">
        <v>1502</v>
      </c>
      <c r="BEX145" s="41" t="s">
        <v>1502</v>
      </c>
      <c r="BEY145" s="41" t="s">
        <v>1502</v>
      </c>
      <c r="BEZ145" s="41" t="s">
        <v>1502</v>
      </c>
      <c r="BFA145" s="41" t="s">
        <v>1502</v>
      </c>
      <c r="BFB145" s="41" t="s">
        <v>1502</v>
      </c>
      <c r="BFC145" s="41" t="s">
        <v>1502</v>
      </c>
      <c r="BFD145" s="41" t="s">
        <v>1502</v>
      </c>
      <c r="BFE145" s="41" t="s">
        <v>1502</v>
      </c>
      <c r="BFF145" s="41" t="s">
        <v>1502</v>
      </c>
      <c r="BFG145" s="41" t="s">
        <v>1502</v>
      </c>
      <c r="BFH145" s="41" t="s">
        <v>1502</v>
      </c>
      <c r="BFI145" s="41" t="s">
        <v>1502</v>
      </c>
      <c r="BFJ145" s="41" t="s">
        <v>1502</v>
      </c>
      <c r="BFK145" s="41" t="s">
        <v>1502</v>
      </c>
      <c r="BFL145" s="41" t="s">
        <v>1502</v>
      </c>
      <c r="BFM145" s="41" t="s">
        <v>1502</v>
      </c>
      <c r="BFN145" s="41" t="s">
        <v>1502</v>
      </c>
      <c r="BFO145" s="41" t="s">
        <v>1502</v>
      </c>
      <c r="BFP145" s="41" t="s">
        <v>1502</v>
      </c>
      <c r="BFQ145" s="41" t="s">
        <v>1502</v>
      </c>
      <c r="BFR145" s="41" t="s">
        <v>1502</v>
      </c>
      <c r="BFS145" s="41" t="s">
        <v>1502</v>
      </c>
      <c r="BFT145" s="41" t="s">
        <v>1502</v>
      </c>
      <c r="BFU145" s="41" t="s">
        <v>1502</v>
      </c>
      <c r="BFV145" s="41" t="s">
        <v>1502</v>
      </c>
      <c r="BFW145" s="41" t="s">
        <v>1502</v>
      </c>
      <c r="BFX145" s="41" t="s">
        <v>1502</v>
      </c>
      <c r="BFY145" s="41" t="s">
        <v>1502</v>
      </c>
      <c r="BFZ145" s="41" t="s">
        <v>1502</v>
      </c>
      <c r="BGA145" s="41" t="s">
        <v>1502</v>
      </c>
      <c r="BGB145" s="41" t="s">
        <v>1502</v>
      </c>
      <c r="BGC145" s="41" t="s">
        <v>1502</v>
      </c>
      <c r="BGD145" s="41" t="s">
        <v>1502</v>
      </c>
      <c r="BGE145" s="41" t="s">
        <v>1502</v>
      </c>
      <c r="BGF145" s="41" t="s">
        <v>1502</v>
      </c>
      <c r="BGG145" s="41" t="s">
        <v>1502</v>
      </c>
      <c r="BGH145" s="41" t="s">
        <v>1502</v>
      </c>
      <c r="BGI145" s="41" t="s">
        <v>1502</v>
      </c>
      <c r="BGJ145" s="41" t="s">
        <v>1502</v>
      </c>
      <c r="BGK145" s="41" t="s">
        <v>1502</v>
      </c>
      <c r="BGL145" s="41" t="s">
        <v>1502</v>
      </c>
      <c r="BGM145" s="41" t="s">
        <v>1502</v>
      </c>
      <c r="BGN145" s="41" t="s">
        <v>1502</v>
      </c>
      <c r="BGO145" s="41" t="s">
        <v>1502</v>
      </c>
      <c r="BGP145" s="41" t="s">
        <v>1502</v>
      </c>
      <c r="BGQ145" s="41" t="s">
        <v>1502</v>
      </c>
      <c r="BGR145" s="41" t="s">
        <v>1502</v>
      </c>
      <c r="BGS145" s="41" t="s">
        <v>1502</v>
      </c>
      <c r="BGT145" s="41" t="s">
        <v>1502</v>
      </c>
      <c r="BGU145" s="41" t="s">
        <v>1502</v>
      </c>
      <c r="BGV145" s="41" t="s">
        <v>1502</v>
      </c>
      <c r="BGW145" s="41" t="s">
        <v>1502</v>
      </c>
      <c r="BGX145" s="41" t="s">
        <v>1502</v>
      </c>
      <c r="BGY145" s="41" t="s">
        <v>1502</v>
      </c>
      <c r="BGZ145" s="41" t="s">
        <v>1502</v>
      </c>
      <c r="BHA145" s="41" t="s">
        <v>1502</v>
      </c>
      <c r="BHB145" s="41" t="s">
        <v>1502</v>
      </c>
      <c r="BHC145" s="41" t="s">
        <v>1502</v>
      </c>
      <c r="BHD145" s="41" t="s">
        <v>1502</v>
      </c>
      <c r="BHE145" s="41" t="s">
        <v>1502</v>
      </c>
      <c r="BHF145" s="41" t="s">
        <v>1502</v>
      </c>
      <c r="BHG145" s="41" t="s">
        <v>1502</v>
      </c>
      <c r="BHH145" s="41" t="s">
        <v>1502</v>
      </c>
      <c r="BHI145" s="41" t="s">
        <v>1502</v>
      </c>
      <c r="BHJ145" s="41" t="s">
        <v>1502</v>
      </c>
      <c r="BHK145" s="41" t="s">
        <v>1502</v>
      </c>
      <c r="BHL145" s="41" t="s">
        <v>1502</v>
      </c>
      <c r="BHM145" s="41" t="s">
        <v>1502</v>
      </c>
      <c r="BHN145" s="41" t="s">
        <v>1502</v>
      </c>
      <c r="BHO145" s="41" t="s">
        <v>1502</v>
      </c>
      <c r="BHP145" s="41" t="s">
        <v>1502</v>
      </c>
      <c r="BHQ145" s="41" t="s">
        <v>1502</v>
      </c>
      <c r="BHR145" s="41" t="s">
        <v>1502</v>
      </c>
      <c r="BHS145" s="41" t="s">
        <v>1502</v>
      </c>
      <c r="BHT145" s="41" t="s">
        <v>1502</v>
      </c>
      <c r="BHU145" s="41" t="s">
        <v>1502</v>
      </c>
      <c r="BHV145" s="41" t="s">
        <v>1502</v>
      </c>
      <c r="BHW145" s="41" t="s">
        <v>1502</v>
      </c>
      <c r="BHX145" s="41" t="s">
        <v>1502</v>
      </c>
      <c r="BHY145" s="41" t="s">
        <v>1502</v>
      </c>
      <c r="BHZ145" s="41" t="s">
        <v>1502</v>
      </c>
      <c r="BIA145" s="41" t="s">
        <v>1502</v>
      </c>
      <c r="BIB145" s="41" t="s">
        <v>1502</v>
      </c>
      <c r="BIC145" s="41" t="s">
        <v>1502</v>
      </c>
      <c r="BID145" s="41" t="s">
        <v>1502</v>
      </c>
      <c r="BIE145" s="41" t="s">
        <v>1502</v>
      </c>
      <c r="BIF145" s="41" t="s">
        <v>1502</v>
      </c>
      <c r="BIG145" s="41" t="s">
        <v>1502</v>
      </c>
      <c r="BIH145" s="41" t="s">
        <v>1502</v>
      </c>
      <c r="BII145" s="41" t="s">
        <v>1502</v>
      </c>
      <c r="BIJ145" s="41" t="s">
        <v>1502</v>
      </c>
      <c r="BIK145" s="41" t="s">
        <v>1502</v>
      </c>
      <c r="BIL145" s="41" t="s">
        <v>1502</v>
      </c>
      <c r="BIM145" s="41" t="s">
        <v>1502</v>
      </c>
      <c r="BIN145" s="41" t="s">
        <v>1502</v>
      </c>
      <c r="BIO145" s="41" t="s">
        <v>1502</v>
      </c>
      <c r="BIP145" s="41" t="s">
        <v>1502</v>
      </c>
      <c r="BIQ145" s="41" t="s">
        <v>1502</v>
      </c>
      <c r="BIR145" s="41" t="s">
        <v>1502</v>
      </c>
      <c r="BIS145" s="41" t="s">
        <v>1502</v>
      </c>
      <c r="BIT145" s="41" t="s">
        <v>1502</v>
      </c>
      <c r="BIU145" s="41" t="s">
        <v>1502</v>
      </c>
      <c r="BIV145" s="41" t="s">
        <v>1502</v>
      </c>
      <c r="BIW145" s="41" t="s">
        <v>1502</v>
      </c>
      <c r="BIX145" s="41" t="s">
        <v>1502</v>
      </c>
      <c r="BIY145" s="41" t="s">
        <v>1502</v>
      </c>
      <c r="BIZ145" s="41" t="s">
        <v>1502</v>
      </c>
      <c r="BJA145" s="41" t="s">
        <v>1502</v>
      </c>
      <c r="BJB145" s="41" t="s">
        <v>1502</v>
      </c>
      <c r="BJC145" s="41" t="s">
        <v>1502</v>
      </c>
      <c r="BJD145" s="41" t="s">
        <v>1502</v>
      </c>
      <c r="BJE145" s="41" t="s">
        <v>1502</v>
      </c>
      <c r="BJF145" s="41" t="s">
        <v>1502</v>
      </c>
      <c r="BJG145" s="41" t="s">
        <v>1502</v>
      </c>
      <c r="BJH145" s="41" t="s">
        <v>1502</v>
      </c>
      <c r="BJI145" s="41" t="s">
        <v>1502</v>
      </c>
      <c r="BJJ145" s="41" t="s">
        <v>1502</v>
      </c>
      <c r="BJK145" s="41" t="s">
        <v>1502</v>
      </c>
      <c r="BJL145" s="41" t="s">
        <v>1502</v>
      </c>
      <c r="BJM145" s="41" t="s">
        <v>1502</v>
      </c>
      <c r="BJN145" s="41" t="s">
        <v>1502</v>
      </c>
      <c r="BJO145" s="41" t="s">
        <v>1502</v>
      </c>
      <c r="BJP145" s="41" t="s">
        <v>1502</v>
      </c>
      <c r="BJQ145" s="41" t="s">
        <v>1502</v>
      </c>
      <c r="BJR145" s="41" t="s">
        <v>1502</v>
      </c>
      <c r="BJS145" s="41" t="s">
        <v>1502</v>
      </c>
      <c r="BJT145" s="41" t="s">
        <v>1502</v>
      </c>
      <c r="BJU145" s="41" t="s">
        <v>1502</v>
      </c>
      <c r="BJV145" s="41" t="s">
        <v>1502</v>
      </c>
      <c r="BJW145" s="41" t="s">
        <v>1502</v>
      </c>
      <c r="BJX145" s="41" t="s">
        <v>1502</v>
      </c>
      <c r="BJY145" s="41" t="s">
        <v>1502</v>
      </c>
      <c r="BJZ145" s="41" t="s">
        <v>1502</v>
      </c>
      <c r="BKA145" s="41" t="s">
        <v>1502</v>
      </c>
      <c r="BKB145" s="41" t="s">
        <v>1502</v>
      </c>
      <c r="BKC145" s="41" t="s">
        <v>1502</v>
      </c>
      <c r="BKD145" s="41" t="s">
        <v>1502</v>
      </c>
      <c r="BKE145" s="41" t="s">
        <v>1502</v>
      </c>
      <c r="BKF145" s="41" t="s">
        <v>1502</v>
      </c>
      <c r="BKG145" s="41" t="s">
        <v>1502</v>
      </c>
      <c r="BKH145" s="41" t="s">
        <v>1502</v>
      </c>
      <c r="BKI145" s="41" t="s">
        <v>1502</v>
      </c>
      <c r="BKJ145" s="41" t="s">
        <v>1502</v>
      </c>
      <c r="BKK145" s="41" t="s">
        <v>1502</v>
      </c>
      <c r="BKL145" s="41" t="s">
        <v>1502</v>
      </c>
      <c r="BKM145" s="41" t="s">
        <v>1502</v>
      </c>
      <c r="BKN145" s="41" t="s">
        <v>1502</v>
      </c>
      <c r="BKO145" s="41" t="s">
        <v>1502</v>
      </c>
      <c r="BKP145" s="41" t="s">
        <v>1502</v>
      </c>
      <c r="BKQ145" s="41" t="s">
        <v>1502</v>
      </c>
      <c r="BKR145" s="41" t="s">
        <v>1502</v>
      </c>
      <c r="BKS145" s="41" t="s">
        <v>1502</v>
      </c>
      <c r="BKT145" s="41" t="s">
        <v>1502</v>
      </c>
      <c r="BKU145" s="41" t="s">
        <v>1502</v>
      </c>
      <c r="BKV145" s="41" t="s">
        <v>1502</v>
      </c>
      <c r="BKW145" s="41" t="s">
        <v>1502</v>
      </c>
      <c r="BKX145" s="41" t="s">
        <v>1502</v>
      </c>
      <c r="BKY145" s="41" t="s">
        <v>1502</v>
      </c>
      <c r="BKZ145" s="41" t="s">
        <v>1502</v>
      </c>
      <c r="BLA145" s="41" t="s">
        <v>1502</v>
      </c>
      <c r="BLB145" s="41" t="s">
        <v>1502</v>
      </c>
      <c r="BLC145" s="41" t="s">
        <v>1502</v>
      </c>
      <c r="BLD145" s="41" t="s">
        <v>1502</v>
      </c>
      <c r="BLE145" s="41" t="s">
        <v>1502</v>
      </c>
      <c r="BLF145" s="41" t="s">
        <v>1502</v>
      </c>
      <c r="BLG145" s="41" t="s">
        <v>1502</v>
      </c>
      <c r="BLH145" s="41" t="s">
        <v>1502</v>
      </c>
      <c r="BLI145" s="41" t="s">
        <v>1502</v>
      </c>
      <c r="BLJ145" s="41" t="s">
        <v>1502</v>
      </c>
      <c r="BLK145" s="41" t="s">
        <v>1502</v>
      </c>
      <c r="BLL145" s="41" t="s">
        <v>1502</v>
      </c>
      <c r="BLM145" s="41" t="s">
        <v>1502</v>
      </c>
      <c r="BLN145" s="41" t="s">
        <v>1502</v>
      </c>
      <c r="BLO145" s="41" t="s">
        <v>1502</v>
      </c>
      <c r="BLP145" s="41" t="s">
        <v>1502</v>
      </c>
      <c r="BLQ145" s="41" t="s">
        <v>1502</v>
      </c>
      <c r="BLR145" s="41" t="s">
        <v>1502</v>
      </c>
      <c r="BLS145" s="41" t="s">
        <v>1502</v>
      </c>
      <c r="BLT145" s="41" t="s">
        <v>1502</v>
      </c>
      <c r="BLU145" s="41" t="s">
        <v>1502</v>
      </c>
      <c r="BLV145" s="41" t="s">
        <v>1502</v>
      </c>
      <c r="BLW145" s="41" t="s">
        <v>1502</v>
      </c>
      <c r="BLX145" s="41" t="s">
        <v>1502</v>
      </c>
      <c r="BLY145" s="41" t="s">
        <v>1502</v>
      </c>
      <c r="BLZ145" s="41" t="s">
        <v>1502</v>
      </c>
      <c r="BMA145" s="41" t="s">
        <v>1502</v>
      </c>
      <c r="BMB145" s="41" t="s">
        <v>1502</v>
      </c>
      <c r="BMC145" s="41" t="s">
        <v>1502</v>
      </c>
      <c r="BMD145" s="41" t="s">
        <v>1502</v>
      </c>
      <c r="BME145" s="41" t="s">
        <v>1502</v>
      </c>
      <c r="BMF145" s="41" t="s">
        <v>1502</v>
      </c>
      <c r="BMG145" s="41" t="s">
        <v>1502</v>
      </c>
      <c r="BMH145" s="41" t="s">
        <v>1502</v>
      </c>
      <c r="BMI145" s="41" t="s">
        <v>1502</v>
      </c>
      <c r="BMJ145" s="41" t="s">
        <v>1502</v>
      </c>
      <c r="BMK145" s="41" t="s">
        <v>1502</v>
      </c>
      <c r="BML145" s="41" t="s">
        <v>1502</v>
      </c>
      <c r="BMM145" s="41" t="s">
        <v>1502</v>
      </c>
      <c r="BMN145" s="41" t="s">
        <v>1502</v>
      </c>
      <c r="BMO145" s="41" t="s">
        <v>1502</v>
      </c>
      <c r="BMP145" s="41" t="s">
        <v>1502</v>
      </c>
      <c r="BMQ145" s="41" t="s">
        <v>1502</v>
      </c>
      <c r="BMR145" s="41" t="s">
        <v>1502</v>
      </c>
      <c r="BMS145" s="41" t="s">
        <v>1502</v>
      </c>
      <c r="BMT145" s="41" t="s">
        <v>1502</v>
      </c>
      <c r="BMU145" s="41" t="s">
        <v>1502</v>
      </c>
      <c r="BMV145" s="41" t="s">
        <v>1502</v>
      </c>
      <c r="BMW145" s="41" t="s">
        <v>1502</v>
      </c>
      <c r="BMX145" s="41" t="s">
        <v>1502</v>
      </c>
      <c r="BMY145" s="41" t="s">
        <v>1502</v>
      </c>
      <c r="BMZ145" s="41" t="s">
        <v>1502</v>
      </c>
      <c r="BNA145" s="41" t="s">
        <v>1502</v>
      </c>
      <c r="BNB145" s="41" t="s">
        <v>1502</v>
      </c>
      <c r="BNC145" s="41" t="s">
        <v>1502</v>
      </c>
      <c r="BND145" s="41" t="s">
        <v>1502</v>
      </c>
      <c r="BNE145" s="41" t="s">
        <v>1502</v>
      </c>
      <c r="BNF145" s="41" t="s">
        <v>1502</v>
      </c>
      <c r="BNG145" s="41" t="s">
        <v>1502</v>
      </c>
      <c r="BNH145" s="41" t="s">
        <v>1502</v>
      </c>
      <c r="BNI145" s="41" t="s">
        <v>1502</v>
      </c>
      <c r="BNJ145" s="41" t="s">
        <v>1502</v>
      </c>
      <c r="BNK145" s="41" t="s">
        <v>1502</v>
      </c>
      <c r="BNL145" s="41" t="s">
        <v>1502</v>
      </c>
      <c r="BNM145" s="41" t="s">
        <v>1502</v>
      </c>
      <c r="BNN145" s="41" t="s">
        <v>1502</v>
      </c>
      <c r="BNO145" s="41" t="s">
        <v>1502</v>
      </c>
      <c r="BNP145" s="41" t="s">
        <v>1502</v>
      </c>
      <c r="BNQ145" s="41" t="s">
        <v>1502</v>
      </c>
      <c r="BNR145" s="41" t="s">
        <v>1502</v>
      </c>
      <c r="BNS145" s="41" t="s">
        <v>1502</v>
      </c>
      <c r="BNT145" s="41" t="s">
        <v>1502</v>
      </c>
      <c r="BNU145" s="41" t="s">
        <v>1502</v>
      </c>
      <c r="BNV145" s="41" t="s">
        <v>1502</v>
      </c>
      <c r="BNW145" s="41" t="s">
        <v>1502</v>
      </c>
      <c r="BNX145" s="41" t="s">
        <v>1502</v>
      </c>
      <c r="BNY145" s="41" t="s">
        <v>1502</v>
      </c>
      <c r="BNZ145" s="41" t="s">
        <v>1502</v>
      </c>
      <c r="BOA145" s="41" t="s">
        <v>1502</v>
      </c>
      <c r="BOB145" s="41" t="s">
        <v>1502</v>
      </c>
      <c r="BOC145" s="41" t="s">
        <v>1502</v>
      </c>
      <c r="BOD145" s="41" t="s">
        <v>1502</v>
      </c>
      <c r="BOE145" s="41" t="s">
        <v>1502</v>
      </c>
      <c r="BOF145" s="41" t="s">
        <v>1502</v>
      </c>
      <c r="BOG145" s="41" t="s">
        <v>1502</v>
      </c>
      <c r="BOH145" s="41" t="s">
        <v>1502</v>
      </c>
      <c r="BOI145" s="41" t="s">
        <v>1502</v>
      </c>
      <c r="BOJ145" s="41" t="s">
        <v>1502</v>
      </c>
      <c r="BOK145" s="41" t="s">
        <v>1502</v>
      </c>
      <c r="BOL145" s="41" t="s">
        <v>1502</v>
      </c>
      <c r="BOM145" s="41" t="s">
        <v>1502</v>
      </c>
      <c r="BON145" s="41" t="s">
        <v>1502</v>
      </c>
      <c r="BOO145" s="41" t="s">
        <v>1502</v>
      </c>
      <c r="BOP145" s="41" t="s">
        <v>1502</v>
      </c>
      <c r="BOQ145" s="41" t="s">
        <v>1502</v>
      </c>
      <c r="BOR145" s="41" t="s">
        <v>1502</v>
      </c>
      <c r="BOS145" s="41" t="s">
        <v>1502</v>
      </c>
      <c r="BOT145" s="41" t="s">
        <v>1502</v>
      </c>
      <c r="BOU145" s="41" t="s">
        <v>1502</v>
      </c>
      <c r="BOV145" s="41" t="s">
        <v>1502</v>
      </c>
      <c r="BOW145" s="41" t="s">
        <v>1502</v>
      </c>
      <c r="BOX145" s="41" t="s">
        <v>1502</v>
      </c>
      <c r="BOY145" s="41" t="s">
        <v>1502</v>
      </c>
      <c r="BOZ145" s="41" t="s">
        <v>1502</v>
      </c>
      <c r="BPA145" s="41" t="s">
        <v>1502</v>
      </c>
      <c r="BPB145" s="41" t="s">
        <v>1502</v>
      </c>
      <c r="BPC145" s="41" t="s">
        <v>1502</v>
      </c>
      <c r="BPD145" s="41" t="s">
        <v>1502</v>
      </c>
      <c r="BPE145" s="41" t="s">
        <v>1502</v>
      </c>
      <c r="BPF145" s="41" t="s">
        <v>1502</v>
      </c>
      <c r="BPG145" s="41" t="s">
        <v>1502</v>
      </c>
      <c r="BPH145" s="41" t="s">
        <v>1502</v>
      </c>
      <c r="BPI145" s="41" t="s">
        <v>1502</v>
      </c>
      <c r="BPJ145" s="41" t="s">
        <v>1502</v>
      </c>
      <c r="BPK145" s="41" t="s">
        <v>1502</v>
      </c>
      <c r="BPL145" s="41" t="s">
        <v>1502</v>
      </c>
      <c r="BPM145" s="41" t="s">
        <v>1502</v>
      </c>
      <c r="BPN145" s="41" t="s">
        <v>1502</v>
      </c>
      <c r="BPO145" s="41" t="s">
        <v>1502</v>
      </c>
      <c r="BPP145" s="41" t="s">
        <v>1502</v>
      </c>
      <c r="BPQ145" s="41" t="s">
        <v>1502</v>
      </c>
      <c r="BPR145" s="41" t="s">
        <v>1502</v>
      </c>
      <c r="BPS145" s="41" t="s">
        <v>1502</v>
      </c>
      <c r="BPT145" s="41" t="s">
        <v>1502</v>
      </c>
      <c r="BPU145" s="41" t="s">
        <v>1502</v>
      </c>
      <c r="BPV145" s="41" t="s">
        <v>1502</v>
      </c>
      <c r="BPW145" s="41" t="s">
        <v>1502</v>
      </c>
      <c r="BPX145" s="41" t="s">
        <v>1502</v>
      </c>
      <c r="BPY145" s="41" t="s">
        <v>1502</v>
      </c>
      <c r="BPZ145" s="41" t="s">
        <v>1502</v>
      </c>
      <c r="BQA145" s="41" t="s">
        <v>1502</v>
      </c>
      <c r="BQB145" s="41" t="s">
        <v>1502</v>
      </c>
      <c r="BQC145" s="41" t="s">
        <v>1502</v>
      </c>
      <c r="BQD145" s="41" t="s">
        <v>1502</v>
      </c>
      <c r="BQE145" s="41" t="s">
        <v>1502</v>
      </c>
      <c r="BQF145" s="41" t="s">
        <v>1502</v>
      </c>
      <c r="BQG145" s="41" t="s">
        <v>1502</v>
      </c>
      <c r="BQH145" s="41" t="s">
        <v>1502</v>
      </c>
      <c r="BQI145" s="41" t="s">
        <v>1502</v>
      </c>
      <c r="BQJ145" s="41" t="s">
        <v>1502</v>
      </c>
      <c r="BQK145" s="41" t="s">
        <v>1502</v>
      </c>
      <c r="BQL145" s="41" t="s">
        <v>1502</v>
      </c>
      <c r="BQM145" s="41" t="s">
        <v>1502</v>
      </c>
      <c r="BQN145" s="41" t="s">
        <v>1502</v>
      </c>
      <c r="BQO145" s="41" t="s">
        <v>1502</v>
      </c>
      <c r="BQP145" s="41" t="s">
        <v>1502</v>
      </c>
      <c r="BQQ145" s="41" t="s">
        <v>1502</v>
      </c>
      <c r="BQR145" s="41" t="s">
        <v>1502</v>
      </c>
      <c r="BQS145" s="41" t="s">
        <v>1502</v>
      </c>
      <c r="BQT145" s="41" t="s">
        <v>1502</v>
      </c>
      <c r="BQU145" s="41" t="s">
        <v>1502</v>
      </c>
      <c r="BQV145" s="41" t="s">
        <v>1502</v>
      </c>
      <c r="BQW145" s="41" t="s">
        <v>1502</v>
      </c>
      <c r="BQX145" s="41" t="s">
        <v>1502</v>
      </c>
      <c r="BQY145" s="41" t="s">
        <v>1502</v>
      </c>
      <c r="BQZ145" s="41" t="s">
        <v>1502</v>
      </c>
      <c r="BRA145" s="41" t="s">
        <v>1502</v>
      </c>
      <c r="BRB145" s="41" t="s">
        <v>1502</v>
      </c>
      <c r="BRC145" s="41" t="s">
        <v>1502</v>
      </c>
      <c r="BRD145" s="41" t="s">
        <v>1502</v>
      </c>
      <c r="BRE145" s="41" t="s">
        <v>1502</v>
      </c>
      <c r="BRF145" s="41" t="s">
        <v>1502</v>
      </c>
      <c r="BRG145" s="41" t="s">
        <v>1502</v>
      </c>
      <c r="BRH145" s="41" t="s">
        <v>1502</v>
      </c>
      <c r="BRI145" s="41" t="s">
        <v>1502</v>
      </c>
      <c r="BRJ145" s="41" t="s">
        <v>1502</v>
      </c>
      <c r="BRK145" s="41" t="s">
        <v>1502</v>
      </c>
      <c r="BRL145" s="41" t="s">
        <v>1502</v>
      </c>
      <c r="BRM145" s="41" t="s">
        <v>1502</v>
      </c>
      <c r="BRN145" s="41" t="s">
        <v>1502</v>
      </c>
      <c r="BRO145" s="41" t="s">
        <v>1502</v>
      </c>
      <c r="BRP145" s="41" t="s">
        <v>1502</v>
      </c>
      <c r="BRQ145" s="41" t="s">
        <v>1502</v>
      </c>
      <c r="BRR145" s="41" t="s">
        <v>1502</v>
      </c>
      <c r="BRS145" s="41" t="s">
        <v>1502</v>
      </c>
      <c r="BRT145" s="41" t="s">
        <v>1502</v>
      </c>
      <c r="BRU145" s="41" t="s">
        <v>1502</v>
      </c>
      <c r="BRV145" s="41" t="s">
        <v>1502</v>
      </c>
      <c r="BRW145" s="41" t="s">
        <v>1502</v>
      </c>
      <c r="BRX145" s="41" t="s">
        <v>1502</v>
      </c>
      <c r="BRY145" s="41" t="s">
        <v>1502</v>
      </c>
      <c r="BRZ145" s="41" t="s">
        <v>1502</v>
      </c>
      <c r="BSA145" s="41" t="s">
        <v>1502</v>
      </c>
      <c r="BSB145" s="41" t="s">
        <v>1502</v>
      </c>
      <c r="BSC145" s="41" t="s">
        <v>1502</v>
      </c>
      <c r="BSD145" s="41" t="s">
        <v>1502</v>
      </c>
      <c r="BSE145" s="41" t="s">
        <v>1502</v>
      </c>
      <c r="BSF145" s="41" t="s">
        <v>1502</v>
      </c>
      <c r="BSG145" s="41" t="s">
        <v>1502</v>
      </c>
      <c r="BSH145" s="41" t="s">
        <v>1502</v>
      </c>
      <c r="BSI145" s="41" t="s">
        <v>1502</v>
      </c>
      <c r="BSJ145" s="41" t="s">
        <v>1502</v>
      </c>
      <c r="BSK145" s="41" t="s">
        <v>1502</v>
      </c>
      <c r="BSL145" s="41" t="s">
        <v>1502</v>
      </c>
      <c r="BSM145" s="41" t="s">
        <v>1502</v>
      </c>
      <c r="BSN145" s="41" t="s">
        <v>1502</v>
      </c>
      <c r="BSO145" s="41" t="s">
        <v>1502</v>
      </c>
      <c r="BSP145" s="41" t="s">
        <v>1502</v>
      </c>
      <c r="BSQ145" s="41" t="s">
        <v>1502</v>
      </c>
      <c r="BSR145" s="41" t="s">
        <v>1502</v>
      </c>
      <c r="BSS145" s="41" t="s">
        <v>1502</v>
      </c>
      <c r="BST145" s="41" t="s">
        <v>1502</v>
      </c>
      <c r="BSU145" s="41" t="s">
        <v>1502</v>
      </c>
      <c r="BSV145" s="41" t="s">
        <v>1502</v>
      </c>
      <c r="BSW145" s="41" t="s">
        <v>1502</v>
      </c>
      <c r="BSX145" s="41" t="s">
        <v>1502</v>
      </c>
      <c r="BSY145" s="41" t="s">
        <v>1502</v>
      </c>
      <c r="BSZ145" s="41" t="s">
        <v>1502</v>
      </c>
      <c r="BTA145" s="41" t="s">
        <v>1502</v>
      </c>
      <c r="BTB145" s="41" t="s">
        <v>1502</v>
      </c>
      <c r="BTC145" s="41" t="s">
        <v>1502</v>
      </c>
      <c r="BTD145" s="41" t="s">
        <v>1502</v>
      </c>
      <c r="BTE145" s="41" t="s">
        <v>1502</v>
      </c>
      <c r="BTF145" s="41" t="s">
        <v>1502</v>
      </c>
      <c r="BTG145" s="41" t="s">
        <v>1502</v>
      </c>
      <c r="BTH145" s="41" t="s">
        <v>1502</v>
      </c>
      <c r="BTI145" s="41" t="s">
        <v>1502</v>
      </c>
      <c r="BTJ145" s="41" t="s">
        <v>1502</v>
      </c>
      <c r="BTK145" s="41" t="s">
        <v>1502</v>
      </c>
      <c r="BTL145" s="41" t="s">
        <v>1502</v>
      </c>
      <c r="BTM145" s="41" t="s">
        <v>1502</v>
      </c>
      <c r="BTN145" s="41" t="s">
        <v>1502</v>
      </c>
      <c r="BTO145" s="41" t="s">
        <v>1502</v>
      </c>
      <c r="BTP145" s="41" t="s">
        <v>1502</v>
      </c>
      <c r="BTQ145" s="41" t="s">
        <v>1502</v>
      </c>
      <c r="BTR145" s="41" t="s">
        <v>1502</v>
      </c>
      <c r="BTS145" s="41" t="s">
        <v>1502</v>
      </c>
      <c r="BTT145" s="41" t="s">
        <v>1502</v>
      </c>
      <c r="BTU145" s="41" t="s">
        <v>1502</v>
      </c>
      <c r="BTV145" s="41" t="s">
        <v>1502</v>
      </c>
      <c r="BTW145" s="41" t="s">
        <v>1502</v>
      </c>
      <c r="BTX145" s="41" t="s">
        <v>1502</v>
      </c>
      <c r="BTY145" s="41" t="s">
        <v>1502</v>
      </c>
      <c r="BTZ145" s="41" t="s">
        <v>1502</v>
      </c>
      <c r="BUA145" s="41" t="s">
        <v>1502</v>
      </c>
      <c r="BUB145" s="41" t="s">
        <v>1502</v>
      </c>
      <c r="BUC145" s="41" t="s">
        <v>1502</v>
      </c>
      <c r="BUD145" s="41" t="s">
        <v>1502</v>
      </c>
      <c r="BUE145" s="41" t="s">
        <v>1502</v>
      </c>
      <c r="BUF145" s="41" t="s">
        <v>1502</v>
      </c>
      <c r="BUG145" s="41" t="s">
        <v>1502</v>
      </c>
      <c r="BUH145" s="41" t="s">
        <v>1502</v>
      </c>
      <c r="BUI145" s="41" t="s">
        <v>1502</v>
      </c>
      <c r="BUJ145" s="41" t="s">
        <v>1502</v>
      </c>
      <c r="BUK145" s="41" t="s">
        <v>1502</v>
      </c>
      <c r="BUL145" s="41" t="s">
        <v>1502</v>
      </c>
      <c r="BUM145" s="41" t="s">
        <v>1502</v>
      </c>
      <c r="BUN145" s="41" t="s">
        <v>1502</v>
      </c>
      <c r="BUO145" s="41" t="s">
        <v>1502</v>
      </c>
      <c r="BUP145" s="41" t="s">
        <v>1502</v>
      </c>
      <c r="BUQ145" s="41" t="s">
        <v>1502</v>
      </c>
      <c r="BUR145" s="41" t="s">
        <v>1502</v>
      </c>
      <c r="BUS145" s="41" t="s">
        <v>1502</v>
      </c>
      <c r="BUT145" s="41" t="s">
        <v>1502</v>
      </c>
      <c r="BUU145" s="41" t="s">
        <v>1502</v>
      </c>
      <c r="BUV145" s="41" t="s">
        <v>1502</v>
      </c>
      <c r="BUW145" s="41" t="s">
        <v>1502</v>
      </c>
      <c r="BUX145" s="41" t="s">
        <v>1502</v>
      </c>
      <c r="BUY145" s="41" t="s">
        <v>1502</v>
      </c>
      <c r="BUZ145" s="41" t="s">
        <v>1502</v>
      </c>
      <c r="BVA145" s="41" t="s">
        <v>1502</v>
      </c>
      <c r="BVB145" s="41" t="s">
        <v>1502</v>
      </c>
      <c r="BVC145" s="41" t="s">
        <v>1502</v>
      </c>
      <c r="BVD145" s="41" t="s">
        <v>1502</v>
      </c>
      <c r="BVE145" s="41" t="s">
        <v>1502</v>
      </c>
      <c r="BVF145" s="41" t="s">
        <v>1502</v>
      </c>
      <c r="BVG145" s="41" t="s">
        <v>1502</v>
      </c>
      <c r="BVH145" s="41" t="s">
        <v>1502</v>
      </c>
      <c r="BVI145" s="41" t="s">
        <v>1502</v>
      </c>
      <c r="BVJ145" s="41" t="s">
        <v>1502</v>
      </c>
      <c r="BVK145" s="41" t="s">
        <v>1502</v>
      </c>
      <c r="BVL145" s="41" t="s">
        <v>1502</v>
      </c>
      <c r="BVM145" s="41" t="s">
        <v>1502</v>
      </c>
      <c r="BVN145" s="41" t="s">
        <v>1502</v>
      </c>
      <c r="BVO145" s="41" t="s">
        <v>1502</v>
      </c>
      <c r="BVP145" s="41" t="s">
        <v>1502</v>
      </c>
      <c r="BVQ145" s="41" t="s">
        <v>1502</v>
      </c>
      <c r="BVR145" s="41" t="s">
        <v>1502</v>
      </c>
      <c r="BVS145" s="41" t="s">
        <v>1502</v>
      </c>
      <c r="BVT145" s="41" t="s">
        <v>1502</v>
      </c>
      <c r="BVU145" s="41" t="s">
        <v>1502</v>
      </c>
      <c r="BVV145" s="41" t="s">
        <v>1502</v>
      </c>
      <c r="BVW145" s="41" t="s">
        <v>1502</v>
      </c>
      <c r="BVX145" s="41" t="s">
        <v>1502</v>
      </c>
      <c r="BVY145" s="41" t="s">
        <v>1502</v>
      </c>
      <c r="BVZ145" s="41" t="s">
        <v>1502</v>
      </c>
      <c r="BWA145" s="41" t="s">
        <v>1502</v>
      </c>
      <c r="BWB145" s="41" t="s">
        <v>1502</v>
      </c>
      <c r="BWC145" s="41" t="s">
        <v>1502</v>
      </c>
      <c r="BWD145" s="41" t="s">
        <v>1502</v>
      </c>
      <c r="BWE145" s="41" t="s">
        <v>1502</v>
      </c>
      <c r="BWF145" s="41" t="s">
        <v>1502</v>
      </c>
      <c r="BWG145" s="41" t="s">
        <v>1502</v>
      </c>
      <c r="BWH145" s="41" t="s">
        <v>1502</v>
      </c>
      <c r="BWI145" s="41" t="s">
        <v>1502</v>
      </c>
      <c r="BWJ145" s="41" t="s">
        <v>1502</v>
      </c>
      <c r="BWK145" s="41" t="s">
        <v>1502</v>
      </c>
      <c r="BWL145" s="41" t="s">
        <v>1502</v>
      </c>
      <c r="BWM145" s="41" t="s">
        <v>1502</v>
      </c>
      <c r="BWN145" s="41" t="s">
        <v>1502</v>
      </c>
      <c r="BWO145" s="41" t="s">
        <v>1502</v>
      </c>
      <c r="BWP145" s="41" t="s">
        <v>1502</v>
      </c>
      <c r="BWQ145" s="41" t="s">
        <v>1502</v>
      </c>
      <c r="BWR145" s="41" t="s">
        <v>1502</v>
      </c>
      <c r="BWS145" s="41" t="s">
        <v>1502</v>
      </c>
      <c r="BWT145" s="41" t="s">
        <v>1502</v>
      </c>
      <c r="BWU145" s="41" t="s">
        <v>1502</v>
      </c>
      <c r="BWV145" s="41" t="s">
        <v>1502</v>
      </c>
      <c r="BWW145" s="41" t="s">
        <v>1502</v>
      </c>
      <c r="BWX145" s="41" t="s">
        <v>1502</v>
      </c>
      <c r="BWY145" s="41" t="s">
        <v>1502</v>
      </c>
      <c r="BWZ145" s="41" t="s">
        <v>1502</v>
      </c>
      <c r="BXA145" s="41"/>
      <c r="BXB145" s="41"/>
      <c r="BXC145" s="41"/>
      <c r="BXD145" s="41"/>
      <c r="BXE145" s="41"/>
      <c r="BXF145" s="41"/>
      <c r="BXG145" s="41"/>
      <c r="BXH145" s="41"/>
      <c r="BXI145" s="41"/>
      <c r="BXJ145" s="41"/>
      <c r="BXK145" s="41"/>
      <c r="BXL145" s="41"/>
      <c r="BXM145" s="41"/>
      <c r="BXN145" s="41"/>
      <c r="BXO145" s="41"/>
      <c r="BXP145" s="41"/>
      <c r="BXQ145" s="41"/>
      <c r="BXR145" s="41"/>
      <c r="BXS145" s="41"/>
      <c r="BXT145" s="41"/>
      <c r="BXU145" s="41"/>
      <c r="BXV145" s="41"/>
      <c r="BXW145" s="41"/>
      <c r="BXX145" s="41"/>
      <c r="BXY145" s="41"/>
      <c r="BXZ145" s="41"/>
      <c r="BYA145" s="41"/>
      <c r="BYB145" s="41"/>
      <c r="BYC145" s="41"/>
      <c r="BYD145" s="41"/>
      <c r="BYE145" s="41"/>
      <c r="BYF145" s="41"/>
      <c r="BYG145" s="41"/>
      <c r="BYH145" s="41"/>
      <c r="BYI145" s="41"/>
      <c r="BYJ145" s="41"/>
      <c r="BYK145" s="41"/>
      <c r="BYL145" s="41"/>
      <c r="BYM145" s="41"/>
      <c r="BYN145" s="41"/>
      <c r="BYO145" s="41"/>
      <c r="BYP145" s="41"/>
      <c r="BYQ145" s="41"/>
      <c r="BYR145" s="41"/>
      <c r="BYS145" s="41"/>
      <c r="BYT145" s="41"/>
      <c r="BYU145" s="41"/>
      <c r="BYV145" s="41"/>
      <c r="BYW145" s="41"/>
      <c r="BYX145" s="41"/>
      <c r="BYY145" s="41"/>
      <c r="BYZ145" s="41"/>
      <c r="BZA145" s="41"/>
      <c r="BZB145" s="41"/>
      <c r="BZC145" s="41"/>
      <c r="BZD145" s="41"/>
      <c r="BZE145" s="41"/>
      <c r="BZF145" s="41"/>
      <c r="BZG145" s="41"/>
      <c r="BZH145" s="41"/>
      <c r="BZI145" s="41"/>
      <c r="BZJ145" s="41"/>
      <c r="BZK145" s="41"/>
      <c r="BZL145" s="41"/>
      <c r="BZM145" s="41"/>
      <c r="BZN145" s="41"/>
      <c r="BZO145" s="41"/>
      <c r="BZP145" s="41"/>
      <c r="BZQ145" s="41"/>
      <c r="BZR145" s="41"/>
      <c r="BZS145" s="41"/>
      <c r="BZT145" s="41"/>
      <c r="BZU145" s="41"/>
      <c r="BZV145" s="41"/>
      <c r="BZW145" s="41"/>
      <c r="BZX145" s="41"/>
      <c r="BZY145" s="41"/>
      <c r="BZZ145" s="41"/>
      <c r="CAA145" s="41"/>
      <c r="CAB145" s="41"/>
      <c r="CAC145" s="41"/>
      <c r="CAD145" s="41"/>
      <c r="CAE145" s="41"/>
      <c r="CAF145" s="41"/>
      <c r="CAG145" s="41"/>
      <c r="CAH145" s="41"/>
      <c r="CAI145" s="41"/>
      <c r="CAJ145" s="41"/>
      <c r="CAK145" s="41"/>
      <c r="CAL145" s="41"/>
      <c r="CAM145" s="41"/>
      <c r="CAN145" s="41"/>
      <c r="CAO145" s="41"/>
      <c r="CAP145" s="41"/>
      <c r="CAQ145" s="41"/>
      <c r="CAR145" s="41"/>
      <c r="CAS145" s="41"/>
      <c r="CAT145" s="41"/>
      <c r="CAU145" s="41"/>
      <c r="CAV145" s="41"/>
      <c r="CAW145" s="41"/>
      <c r="CAX145" s="41"/>
      <c r="CAY145" s="41"/>
      <c r="CAZ145" s="41"/>
      <c r="CBA145" s="41"/>
      <c r="CBB145" s="41"/>
      <c r="CBC145" s="41"/>
      <c r="CBD145" s="41"/>
      <c r="CBE145" s="41"/>
      <c r="CBF145" s="41"/>
      <c r="CBG145" s="41"/>
      <c r="CBH145" s="41"/>
      <c r="CBI145" s="41"/>
      <c r="CBJ145" s="41"/>
      <c r="CBK145" s="41"/>
      <c r="CBL145" s="41"/>
      <c r="CBM145" s="41"/>
      <c r="CBN145" s="41"/>
      <c r="CBO145" s="41"/>
      <c r="CBP145" s="41"/>
      <c r="CBQ145" s="41"/>
      <c r="CBR145" s="41"/>
      <c r="CBS145" s="41"/>
      <c r="CBT145" s="41"/>
      <c r="CBU145" s="41"/>
      <c r="CBV145" s="41"/>
      <c r="CBW145" s="41"/>
      <c r="CBX145" s="41"/>
      <c r="CBY145" s="41"/>
      <c r="CBZ145" s="41"/>
      <c r="CCA145" s="41"/>
      <c r="CCB145" s="41"/>
      <c r="CCC145" s="41"/>
      <c r="CCD145" s="41"/>
      <c r="CCE145" s="41"/>
      <c r="CCF145" s="41"/>
      <c r="CCG145" s="41"/>
      <c r="CCH145" s="41"/>
      <c r="CCI145" s="41"/>
      <c r="CCJ145" s="41"/>
      <c r="CCK145" s="41"/>
      <c r="CCL145" s="41"/>
      <c r="CCM145" s="41"/>
      <c r="CCN145" s="41"/>
      <c r="CCO145" s="41"/>
      <c r="CCP145" s="41"/>
      <c r="CCQ145" s="41"/>
      <c r="CCR145" s="41"/>
      <c r="CCS145" s="41"/>
      <c r="CCT145" s="41"/>
      <c r="CCU145" s="41"/>
      <c r="CCV145" s="41"/>
      <c r="CCW145" s="41"/>
      <c r="CCX145" s="41"/>
      <c r="CCY145" s="41"/>
      <c r="CCZ145" s="41"/>
    </row>
    <row r="146" ht="17.25" customHeight="1">
      <c r="A146" s="687">
        <f t="shared" si="3"/>
        <v>117</v>
      </c>
      <c r="B146" t="s">
        <v>1503</v>
      </c>
      <c r="C146" t="s">
        <v>1504</v>
      </c>
      <c r="D146" s="212" t="s">
        <v>1505</v>
      </c>
      <c r="E146" s="1007">
        <v>37.9128769</v>
      </c>
      <c r="F146" s="1007">
        <v>-122.0409498</v>
      </c>
      <c r="G146" s="212" t="s">
        <v>1274</v>
      </c>
      <c r="H146" s="212"/>
      <c r="I146" s="212" t="s">
        <v>1225</v>
      </c>
      <c r="J146" s="1021">
        <f t="shared" si="1"/>
        <v>33.67226264</v>
      </c>
      <c r="K146" s="1022">
        <f t="shared" si="2"/>
        <v>0.01002150674</v>
      </c>
      <c r="L146" s="1024"/>
      <c r="M146" s="1025"/>
    </row>
    <row r="147" ht="17.25" customHeight="1">
      <c r="A147" s="687">
        <f t="shared" si="3"/>
        <v>118</v>
      </c>
      <c r="B147" t="s">
        <v>1506</v>
      </c>
      <c r="C147" t="s">
        <v>1507</v>
      </c>
      <c r="D147" s="212">
        <v>9.166882E9</v>
      </c>
      <c r="E147" s="1027">
        <v>38.4699104</v>
      </c>
      <c r="F147" s="1027">
        <v>-121.4216412</v>
      </c>
      <c r="G147" s="1021"/>
      <c r="H147" s="1022"/>
      <c r="I147" s="1023"/>
      <c r="J147" s="1021">
        <f t="shared" si="1"/>
        <v>73.61691405</v>
      </c>
      <c r="K147" s="1022">
        <f t="shared" si="2"/>
        <v>0.02190979585</v>
      </c>
      <c r="L147" s="1021"/>
      <c r="M147" s="1022"/>
    </row>
    <row r="148" ht="17.25" customHeight="1">
      <c r="A148" s="687">
        <f t="shared" si="3"/>
        <v>119</v>
      </c>
      <c r="B148" t="s">
        <v>1508</v>
      </c>
      <c r="C148" t="s">
        <v>1509</v>
      </c>
      <c r="D148" s="212">
        <v>6.268511011E9</v>
      </c>
      <c r="E148" s="1007">
        <v>34.0655652</v>
      </c>
      <c r="F148" s="1007">
        <v>-117.9859943</v>
      </c>
      <c r="G148" s="212"/>
      <c r="H148" s="212"/>
      <c r="I148" s="212"/>
      <c r="J148" s="1021">
        <f t="shared" si="1"/>
        <v>377.4430589</v>
      </c>
      <c r="K148" s="1022">
        <f t="shared" si="2"/>
        <v>0.1123342437</v>
      </c>
      <c r="L148" s="1021"/>
      <c r="M148" s="1022"/>
    </row>
    <row r="149" ht="17.25" customHeight="1">
      <c r="A149" s="687">
        <f t="shared" si="3"/>
        <v>120</v>
      </c>
      <c r="B149" t="s">
        <v>1510</v>
      </c>
      <c r="C149" t="s">
        <v>1511</v>
      </c>
      <c r="D149" s="212">
        <v>5.624616007E9</v>
      </c>
      <c r="E149" s="1007">
        <v>33.9191528</v>
      </c>
      <c r="F149" s="1007">
        <v>-118.1288176</v>
      </c>
      <c r="G149" s="212"/>
      <c r="H149" s="212"/>
      <c r="I149" s="212"/>
      <c r="J149" s="1021">
        <f t="shared" si="1"/>
        <v>379.6245033</v>
      </c>
      <c r="K149" s="1022">
        <f t="shared" si="2"/>
        <v>0.1129834831</v>
      </c>
      <c r="L149" s="1021"/>
      <c r="M149" s="1022"/>
    </row>
    <row r="150" ht="17.25" customHeight="1">
      <c r="A150" s="687">
        <f t="shared" si="3"/>
        <v>121</v>
      </c>
      <c r="B150" t="s">
        <v>1512</v>
      </c>
      <c r="C150" t="s">
        <v>1513</v>
      </c>
      <c r="D150" s="1026">
        <v>5.5944845E9</v>
      </c>
      <c r="E150" s="1027">
        <v>36.8424331</v>
      </c>
      <c r="F150" s="1027">
        <v>-119.780467</v>
      </c>
      <c r="G150" s="1026"/>
      <c r="H150" s="1026"/>
      <c r="I150" s="1026"/>
      <c r="J150" s="1021">
        <f t="shared" si="1"/>
        <v>176.9659394</v>
      </c>
      <c r="K150" s="1022">
        <f t="shared" si="2"/>
        <v>0.05266843436</v>
      </c>
      <c r="L150" s="1024"/>
      <c r="M150" s="1025"/>
    </row>
    <row r="151" ht="17.25" customHeight="1">
      <c r="A151" s="687">
        <f t="shared" si="3"/>
        <v>122</v>
      </c>
      <c r="B151" t="s">
        <v>1514</v>
      </c>
      <c r="C151" t="s">
        <v>1515</v>
      </c>
      <c r="D151" s="212">
        <v>3.237834011E9</v>
      </c>
      <c r="E151" s="1007">
        <v>34.0983524</v>
      </c>
      <c r="F151" s="1007">
        <v>-118.2948016</v>
      </c>
      <c r="G151" s="212"/>
      <c r="H151" s="212"/>
      <c r="I151" s="212"/>
      <c r="J151" s="1021">
        <f t="shared" si="1"/>
        <v>364.0066012</v>
      </c>
      <c r="K151" s="1022">
        <f t="shared" si="2"/>
        <v>0.108335298</v>
      </c>
      <c r="L151" s="1021"/>
      <c r="M151" s="1022"/>
    </row>
    <row r="152" ht="17.25" customHeight="1">
      <c r="A152" s="687">
        <f t="shared" si="3"/>
        <v>123</v>
      </c>
      <c r="B152" t="s">
        <v>1516</v>
      </c>
      <c r="C152" t="s">
        <v>1517</v>
      </c>
      <c r="D152" s="212">
        <v>7.142794E9</v>
      </c>
      <c r="E152" s="1007">
        <v>33.8520823</v>
      </c>
      <c r="F152" s="1007">
        <v>-117.8441325</v>
      </c>
      <c r="G152" s="212"/>
      <c r="H152" s="212"/>
      <c r="I152" s="212"/>
      <c r="J152" s="1021">
        <f t="shared" si="1"/>
        <v>393.8771184</v>
      </c>
      <c r="K152" s="1022">
        <f t="shared" si="2"/>
        <v>0.1172253329</v>
      </c>
      <c r="L152" s="1024"/>
      <c r="M152" s="1025"/>
    </row>
    <row r="153" ht="17.25" customHeight="1">
      <c r="A153" s="687">
        <f t="shared" si="3"/>
        <v>124</v>
      </c>
      <c r="B153" t="s">
        <v>1518</v>
      </c>
      <c r="C153" t="s">
        <v>1519</v>
      </c>
      <c r="D153" s="212">
        <v>8.183753333E9</v>
      </c>
      <c r="E153" s="1007">
        <v>34.2187902</v>
      </c>
      <c r="F153" s="1007">
        <v>-118.4300562</v>
      </c>
      <c r="G153" s="212"/>
      <c r="H153" s="212"/>
      <c r="I153" s="212"/>
      <c r="J153" s="1021">
        <f t="shared" si="1"/>
        <v>352.6338905</v>
      </c>
      <c r="K153" s="1022">
        <f t="shared" si="2"/>
        <v>0.1049505627</v>
      </c>
      <c r="L153" s="1024"/>
      <c r="M153" s="1025"/>
    </row>
    <row r="154" ht="17.25" customHeight="1">
      <c r="A154" s="687">
        <f t="shared" si="3"/>
        <v>125</v>
      </c>
      <c r="B154" t="s">
        <v>1520</v>
      </c>
      <c r="C154" t="s">
        <v>1521</v>
      </c>
      <c r="D154" s="212">
        <v>6.502992E9</v>
      </c>
      <c r="E154" s="1027">
        <v>37.4893313</v>
      </c>
      <c r="F154" s="1027">
        <v>-122.223976</v>
      </c>
      <c r="G154" s="1021"/>
      <c r="H154" s="1022"/>
      <c r="I154" s="1023"/>
      <c r="J154" s="1021">
        <f t="shared" si="1"/>
        <v>42.91294831</v>
      </c>
      <c r="K154" s="1022">
        <f t="shared" si="2"/>
        <v>0.01277171081</v>
      </c>
      <c r="L154" s="1021"/>
      <c r="M154" s="1022"/>
    </row>
    <row r="155" ht="17.25" customHeight="1">
      <c r="A155" s="687">
        <f t="shared" si="3"/>
        <v>126</v>
      </c>
      <c r="B155" t="s">
        <v>1522</v>
      </c>
      <c r="C155" t="s">
        <v>1523</v>
      </c>
      <c r="D155" s="212">
        <v>9.167844E9</v>
      </c>
      <c r="E155" s="1007">
        <v>38.7454773</v>
      </c>
      <c r="F155" s="1007">
        <v>-121.2487405</v>
      </c>
      <c r="G155" s="212"/>
      <c r="H155" s="212"/>
      <c r="I155" s="212"/>
      <c r="J155" s="1021">
        <f t="shared" si="1"/>
        <v>91.12507868</v>
      </c>
      <c r="K155" s="1022">
        <f t="shared" si="2"/>
        <v>0.02712055913</v>
      </c>
      <c r="L155" s="1021"/>
      <c r="M155" s="1022"/>
    </row>
    <row r="156" ht="17.25" customHeight="1">
      <c r="A156" s="687">
        <f t="shared" si="3"/>
        <v>127</v>
      </c>
      <c r="B156" t="s">
        <v>1524</v>
      </c>
      <c r="C156" t="s">
        <v>1525</v>
      </c>
      <c r="D156" s="1026">
        <v>9.169735E9</v>
      </c>
      <c r="E156" s="1027">
        <v>38.6015925</v>
      </c>
      <c r="F156" s="1027">
        <v>-121.3931543</v>
      </c>
      <c r="G156" s="1026"/>
      <c r="H156" s="1026"/>
      <c r="I156" s="1026"/>
      <c r="J156" s="1021">
        <f t="shared" si="1"/>
        <v>79.23600141</v>
      </c>
      <c r="K156" s="1022">
        <f t="shared" si="2"/>
        <v>0.02358214328</v>
      </c>
      <c r="L156" s="1021"/>
      <c r="M156" s="1022"/>
    </row>
    <row r="157" ht="17.25" customHeight="1">
      <c r="A157" s="687">
        <f t="shared" si="3"/>
        <v>128</v>
      </c>
      <c r="B157" t="s">
        <v>1526</v>
      </c>
      <c r="C157" t="s">
        <v>1527</v>
      </c>
      <c r="D157" s="1026">
        <v>4.158332646E9</v>
      </c>
      <c r="E157" s="1027">
        <v>37.7824588</v>
      </c>
      <c r="F157" s="1027">
        <v>-122.4430966</v>
      </c>
      <c r="G157" s="1026"/>
      <c r="H157" s="1026"/>
      <c r="I157" s="1026"/>
      <c r="J157" s="1021">
        <f t="shared" si="1"/>
        <v>19.37570488</v>
      </c>
      <c r="K157" s="1022">
        <f t="shared" si="2"/>
        <v>0.005766578833</v>
      </c>
      <c r="L157" s="1021"/>
      <c r="M157" s="1022"/>
    </row>
    <row r="158" ht="17.25" customHeight="1">
      <c r="A158" s="687">
        <f t="shared" si="3"/>
        <v>129</v>
      </c>
      <c r="B158" s="1031" t="s">
        <v>1528</v>
      </c>
      <c r="C158" s="1032" t="s">
        <v>1529</v>
      </c>
      <c r="D158" s="1008" t="s">
        <v>1530</v>
      </c>
      <c r="E158" s="943">
        <v>38.0043292999999</v>
      </c>
      <c r="F158" s="943">
        <v>-122.5546467</v>
      </c>
      <c r="G158" s="1033" t="s">
        <v>1531</v>
      </c>
      <c r="H158" s="1033"/>
      <c r="I158" s="1033" t="s">
        <v>1281</v>
      </c>
      <c r="J158" s="1021">
        <f t="shared" si="1"/>
        <v>4.972487687</v>
      </c>
      <c r="K158" s="1022" t="str">
        <f t="shared" si="2"/>
        <v/>
      </c>
      <c r="L158" s="1021"/>
      <c r="M158" s="1022"/>
    </row>
    <row r="159" ht="17.25" customHeight="1">
      <c r="A159" s="687">
        <f t="shared" si="3"/>
        <v>130</v>
      </c>
      <c r="B159" t="s">
        <v>1532</v>
      </c>
      <c r="C159" t="s">
        <v>1533</v>
      </c>
      <c r="D159" s="212">
        <v>3.105176441E9</v>
      </c>
      <c r="E159" s="1007">
        <v>33.7886388</v>
      </c>
      <c r="F159" s="1007">
        <v>-118.2957912</v>
      </c>
      <c r="G159" s="212"/>
      <c r="H159" s="212"/>
      <c r="I159" s="212"/>
      <c r="J159" s="1021">
        <f t="shared" si="1"/>
        <v>380.4824093</v>
      </c>
      <c r="K159" s="1022">
        <f t="shared" si="2"/>
        <v>0.1132388123</v>
      </c>
      <c r="L159" s="1021"/>
      <c r="M159" s="1022"/>
    </row>
    <row r="160" ht="17.25" customHeight="1">
      <c r="A160" s="687">
        <f t="shared" si="3"/>
        <v>131</v>
      </c>
      <c r="B160" t="s">
        <v>1534</v>
      </c>
      <c r="C160" t="s">
        <v>1535</v>
      </c>
      <c r="D160" s="212">
        <v>6.5074232E9</v>
      </c>
      <c r="E160" s="1007">
        <v>37.6587814</v>
      </c>
      <c r="F160" s="1007">
        <v>-122.4385597</v>
      </c>
      <c r="G160" s="212"/>
      <c r="H160" s="212"/>
      <c r="I160" s="212"/>
      <c r="J160" s="1021">
        <f t="shared" si="1"/>
        <v>26.96008191</v>
      </c>
      <c r="K160" s="1022">
        <f t="shared" si="2"/>
        <v>0.008023833902</v>
      </c>
      <c r="L160" s="1024"/>
      <c r="M160" s="1025"/>
    </row>
    <row r="161" ht="17.25" customHeight="1">
      <c r="A161" s="687">
        <f t="shared" si="3"/>
        <v>132</v>
      </c>
      <c r="B161" t="s">
        <v>1536</v>
      </c>
      <c r="C161" t="s">
        <v>1537</v>
      </c>
      <c r="D161" s="212" t="s">
        <v>1538</v>
      </c>
      <c r="E161" s="1007">
        <v>38.3882169</v>
      </c>
      <c r="F161" s="1007">
        <v>-121.9387685</v>
      </c>
      <c r="G161" s="212" t="s">
        <v>1274</v>
      </c>
      <c r="H161" s="212"/>
      <c r="I161" s="212" t="s">
        <v>1225</v>
      </c>
      <c r="J161" s="1021">
        <f t="shared" si="1"/>
        <v>46.36370985</v>
      </c>
      <c r="K161" s="1022">
        <f t="shared" si="2"/>
        <v>0.01379872317</v>
      </c>
      <c r="L161" s="1021"/>
      <c r="M161" s="1022"/>
    </row>
    <row r="162" ht="17.25" customHeight="1">
      <c r="A162" s="687">
        <f t="shared" si="3"/>
        <v>133</v>
      </c>
      <c r="B162" t="s">
        <v>1539</v>
      </c>
      <c r="C162" t="s">
        <v>1540</v>
      </c>
      <c r="D162" s="1026">
        <v>9.252954E9</v>
      </c>
      <c r="E162" s="1027">
        <v>37.8924348</v>
      </c>
      <c r="F162" s="1027">
        <v>-122.058953</v>
      </c>
      <c r="G162" s="1026"/>
      <c r="H162" s="1026"/>
      <c r="I162" s="1026"/>
      <c r="J162" s="1021">
        <f t="shared" si="1"/>
        <v>33.04363513</v>
      </c>
      <c r="K162" s="1022">
        <f t="shared" si="2"/>
        <v>0.009834415216</v>
      </c>
      <c r="L162" s="1021"/>
      <c r="M162" s="1022"/>
    </row>
    <row r="163" ht="17.25" customHeight="1">
      <c r="A163" s="687">
        <f t="shared" si="3"/>
        <v>134</v>
      </c>
      <c r="B163" s="1017" t="s">
        <v>1541</v>
      </c>
      <c r="C163" s="926" t="s">
        <v>1542</v>
      </c>
      <c r="D163" s="1019">
        <v>2.138572201E9</v>
      </c>
      <c r="E163" s="1020">
        <v>34.0383728</v>
      </c>
      <c r="F163" s="1020">
        <v>-118.3750021</v>
      </c>
      <c r="G163" s="1021"/>
      <c r="H163" s="1022"/>
      <c r="I163" s="1023"/>
      <c r="J163" s="1021">
        <f t="shared" si="1"/>
        <v>364.2060885</v>
      </c>
      <c r="K163" s="1022">
        <f t="shared" si="2"/>
        <v>0.1083946692</v>
      </c>
      <c r="L163" s="1021"/>
      <c r="M163" s="1022"/>
    </row>
    <row r="164" ht="17.25" customHeight="1">
      <c r="A164" s="687">
        <f t="shared" si="3"/>
        <v>135</v>
      </c>
      <c r="B164" t="s">
        <v>1543</v>
      </c>
      <c r="C164" t="s">
        <v>1544</v>
      </c>
      <c r="D164" s="212">
        <v>8.1871938E9</v>
      </c>
      <c r="E164" s="1027">
        <v>34.1709445</v>
      </c>
      <c r="F164" s="1027">
        <v>-118.5896036</v>
      </c>
      <c r="G164" s="1021"/>
      <c r="H164" s="1022"/>
      <c r="I164" s="1023"/>
      <c r="J164" s="1021">
        <f t="shared" si="1"/>
        <v>349.2987124</v>
      </c>
      <c r="K164" s="1022">
        <f t="shared" si="2"/>
        <v>0.1039579501</v>
      </c>
      <c r="L164" s="1021"/>
      <c r="M164" s="1022"/>
    </row>
    <row r="165" ht="17.25" customHeight="1">
      <c r="A165" s="687">
        <f t="shared" si="3"/>
        <v>136</v>
      </c>
      <c r="B165" t="s">
        <v>1545</v>
      </c>
      <c r="C165" t="s">
        <v>1546</v>
      </c>
      <c r="D165" s="1026">
        <v>6.195285E9</v>
      </c>
      <c r="E165" s="1027">
        <v>32.7916133</v>
      </c>
      <c r="F165" s="1027">
        <v>-117.0954049</v>
      </c>
      <c r="G165" s="1026"/>
      <c r="H165" s="1026"/>
      <c r="I165" s="1026"/>
      <c r="J165" s="1021">
        <f t="shared" si="1"/>
        <v>477.8568965</v>
      </c>
      <c r="K165" s="1022">
        <f t="shared" si="2"/>
        <v>0.1422193144</v>
      </c>
      <c r="L165" s="1021"/>
      <c r="M165" s="1022"/>
    </row>
    <row r="166" ht="17.25" customHeight="1">
      <c r="A166" s="687">
        <f t="shared" si="3"/>
        <v>137</v>
      </c>
      <c r="B166" s="1017" t="s">
        <v>1547</v>
      </c>
      <c r="C166" s="1018" t="s">
        <v>1548</v>
      </c>
      <c r="D166" s="1019">
        <v>7.076511E9</v>
      </c>
      <c r="E166" s="1020">
        <v>38.1276699999999</v>
      </c>
      <c r="F166" s="1020">
        <v>-122.2484432</v>
      </c>
      <c r="G166" s="1021"/>
      <c r="H166" s="1022"/>
      <c r="I166" s="1023"/>
      <c r="J166" s="1021">
        <f t="shared" si="1"/>
        <v>23.02606628</v>
      </c>
      <c r="K166" s="1022">
        <f t="shared" si="2"/>
        <v>0.006852995917</v>
      </c>
      <c r="L166" s="1021"/>
      <c r="M166" s="1022"/>
    </row>
    <row r="167" ht="17.25" customHeight="1">
      <c r="A167" s="687">
        <f t="shared" si="3"/>
        <v>138</v>
      </c>
      <c r="B167" t="s">
        <v>1549</v>
      </c>
      <c r="C167" t="s">
        <v>1550</v>
      </c>
      <c r="D167" s="212">
        <v>9.0942755E9</v>
      </c>
      <c r="E167" s="1007">
        <v>34.0727772</v>
      </c>
      <c r="F167" s="1007">
        <v>-117.4356108</v>
      </c>
      <c r="G167" s="212"/>
      <c r="H167" s="212"/>
      <c r="I167" s="212"/>
      <c r="J167" s="1021">
        <f t="shared" si="1"/>
        <v>398.9695379</v>
      </c>
      <c r="K167" s="1022">
        <f t="shared" si="2"/>
        <v>0.1187409339</v>
      </c>
      <c r="L167" s="1024"/>
      <c r="M167" s="1025"/>
    </row>
    <row r="168" ht="17.25" customHeight="1">
      <c r="A168" s="687">
        <f t="shared" si="3"/>
        <v>139</v>
      </c>
      <c r="B168" t="s">
        <v>1551</v>
      </c>
      <c r="C168" t="s">
        <v>1552</v>
      </c>
      <c r="D168" s="1026">
        <v>2.0982537E9</v>
      </c>
      <c r="E168" s="1027">
        <v>37.7982558</v>
      </c>
      <c r="F168" s="1027">
        <v>-121.2462723</v>
      </c>
      <c r="G168" s="1026"/>
      <c r="H168" s="1026"/>
      <c r="I168" s="1026"/>
      <c r="J168" s="1021">
        <f t="shared" si="1"/>
        <v>77.78218081</v>
      </c>
      <c r="K168" s="1022">
        <f t="shared" si="2"/>
        <v>0.02314945858</v>
      </c>
      <c r="L168" s="1024"/>
      <c r="M168" s="1025"/>
    </row>
    <row r="169" ht="17.25" customHeight="1">
      <c r="A169" s="687">
        <f t="shared" si="3"/>
        <v>140</v>
      </c>
      <c r="B169" t="s">
        <v>1553</v>
      </c>
      <c r="C169" t="s">
        <v>1554</v>
      </c>
      <c r="D169" s="1026">
        <v>9.512516E9</v>
      </c>
      <c r="E169" s="1027">
        <v>33.897404</v>
      </c>
      <c r="F169" s="1027">
        <v>-117.186026</v>
      </c>
      <c r="G169" s="1026"/>
      <c r="H169" s="1026"/>
      <c r="I169" s="1026"/>
      <c r="J169" s="1021">
        <f t="shared" si="1"/>
        <v>417.7002329</v>
      </c>
      <c r="K169" s="1022">
        <f t="shared" si="2"/>
        <v>0.1243155455</v>
      </c>
      <c r="L169" s="1021"/>
      <c r="M169" s="1022"/>
    </row>
    <row r="170" ht="17.25" customHeight="1">
      <c r="A170" s="687">
        <f t="shared" si="3"/>
        <v>141</v>
      </c>
      <c r="B170" t="s">
        <v>1555</v>
      </c>
      <c r="C170" t="s">
        <v>1556</v>
      </c>
      <c r="D170" s="212">
        <v>4.089727E9</v>
      </c>
      <c r="E170" s="1007">
        <v>37.2398041</v>
      </c>
      <c r="F170" s="1007">
        <v>-121.8002512</v>
      </c>
      <c r="G170" s="212"/>
      <c r="H170" s="212"/>
      <c r="I170" s="212"/>
      <c r="J170" s="1021">
        <f t="shared" si="1"/>
        <v>70.72047564</v>
      </c>
      <c r="K170" s="1022">
        <f t="shared" si="2"/>
        <v>0.02104776061</v>
      </c>
      <c r="L170" s="1021"/>
      <c r="M170" s="1022"/>
    </row>
    <row r="171" ht="17.25" customHeight="1">
      <c r="A171" s="687">
        <f t="shared" si="3"/>
        <v>142</v>
      </c>
      <c r="B171" t="s">
        <v>1557</v>
      </c>
      <c r="C171" t="s">
        <v>1558</v>
      </c>
      <c r="D171" s="212">
        <v>4.0823664E9</v>
      </c>
      <c r="E171" s="1007">
        <v>37.3362374</v>
      </c>
      <c r="F171" s="1007">
        <v>-121.998538</v>
      </c>
      <c r="G171" s="212"/>
      <c r="H171" s="212"/>
      <c r="I171" s="212"/>
      <c r="J171" s="1021">
        <f t="shared" si="1"/>
        <v>58.67898713</v>
      </c>
      <c r="K171" s="1022">
        <f t="shared" si="2"/>
        <v>0.01746398426</v>
      </c>
      <c r="L171" s="1021"/>
      <c r="M171" s="1022"/>
    </row>
    <row r="172" ht="17.25" customHeight="1">
      <c r="A172" s="687">
        <f t="shared" si="3"/>
        <v>143</v>
      </c>
      <c r="B172" t="s">
        <v>1559</v>
      </c>
      <c r="C172" t="s">
        <v>1560</v>
      </c>
      <c r="D172" s="212">
        <v>7.075714E9</v>
      </c>
      <c r="E172" s="1007">
        <v>38.4715941</v>
      </c>
      <c r="F172" s="1007">
        <v>-122.7267519</v>
      </c>
      <c r="G172" s="212"/>
      <c r="H172" s="212"/>
      <c r="I172" s="212"/>
      <c r="J172" s="1021">
        <f t="shared" si="1"/>
        <v>32.0498324</v>
      </c>
      <c r="K172" s="1022">
        <f t="shared" si="2"/>
        <v>0.009538640596</v>
      </c>
      <c r="L172" s="1021"/>
      <c r="M172" s="1022"/>
    </row>
    <row r="173" ht="17.25" customHeight="1">
      <c r="A173" s="687">
        <f t="shared" si="3"/>
        <v>144</v>
      </c>
      <c r="B173" s="1017" t="s">
        <v>1561</v>
      </c>
      <c r="C173" s="1018" t="s">
        <v>1562</v>
      </c>
      <c r="D173" s="1019">
        <v>9.513532E9</v>
      </c>
      <c r="E173" s="1020">
        <v>33.9049187</v>
      </c>
      <c r="F173" s="1020">
        <v>-117.4693433</v>
      </c>
      <c r="G173" s="1021"/>
      <c r="H173" s="1022"/>
      <c r="I173" s="1023"/>
      <c r="J173" s="1021">
        <f t="shared" si="1"/>
        <v>405.8607707</v>
      </c>
      <c r="K173" s="1022">
        <f t="shared" si="2"/>
        <v>0.120791896</v>
      </c>
      <c r="L173" s="1024"/>
      <c r="M173" s="1025"/>
    </row>
    <row r="174" ht="17.25" customHeight="1">
      <c r="A174" s="687">
        <f t="shared" si="3"/>
        <v>145</v>
      </c>
      <c r="B174" t="s">
        <v>1563</v>
      </c>
      <c r="C174" t="s">
        <v>1507</v>
      </c>
      <c r="D174" s="212" t="s">
        <v>1564</v>
      </c>
      <c r="E174" s="1027">
        <v>38.4699104</v>
      </c>
      <c r="F174" s="1027">
        <v>-121.4216412</v>
      </c>
      <c r="G174" s="1021" t="s">
        <v>1274</v>
      </c>
      <c r="H174" s="1022"/>
      <c r="I174" s="1023" t="s">
        <v>1225</v>
      </c>
      <c r="J174" s="1021">
        <f t="shared" si="1"/>
        <v>73.61691405</v>
      </c>
      <c r="K174" s="1022">
        <f t="shared" si="2"/>
        <v>0.02190979585</v>
      </c>
      <c r="L174" s="1024"/>
      <c r="M174" s="1025"/>
    </row>
    <row r="175" ht="17.25" customHeight="1">
      <c r="A175" s="687">
        <f t="shared" si="3"/>
        <v>146</v>
      </c>
      <c r="B175" t="s">
        <v>1565</v>
      </c>
      <c r="C175" t="s">
        <v>1566</v>
      </c>
      <c r="D175" s="1026">
        <v>5.596242E9</v>
      </c>
      <c r="E175" s="1027">
        <v>36.328572</v>
      </c>
      <c r="F175" s="1027">
        <v>-119.2949582</v>
      </c>
      <c r="G175" s="1026" t="s">
        <v>1238</v>
      </c>
      <c r="H175" s="1026"/>
      <c r="I175" s="1026" t="s">
        <v>1225</v>
      </c>
      <c r="J175" s="1021">
        <f t="shared" si="1"/>
        <v>218.3397772</v>
      </c>
      <c r="K175" s="1022">
        <f t="shared" si="2"/>
        <v>0.06498207655</v>
      </c>
      <c r="L175" s="1021"/>
      <c r="M175" s="1022"/>
    </row>
    <row r="176" ht="17.25" customHeight="1">
      <c r="A176" s="687">
        <f t="shared" si="3"/>
        <v>147</v>
      </c>
      <c r="B176" t="s">
        <v>1567</v>
      </c>
      <c r="C176" t="s">
        <v>1568</v>
      </c>
      <c r="D176" s="1026">
        <v>3.234428656E9</v>
      </c>
      <c r="E176" s="1027">
        <v>34.0619942999999</v>
      </c>
      <c r="F176" s="1027">
        <v>-118.2012607</v>
      </c>
      <c r="G176" s="1026"/>
      <c r="H176" s="1026"/>
      <c r="I176" s="1026"/>
      <c r="J176" s="1021">
        <f t="shared" si="1"/>
        <v>369.418722</v>
      </c>
      <c r="K176" s="1022">
        <f t="shared" si="2"/>
        <v>0.1099460482</v>
      </c>
      <c r="L176" s="1024"/>
      <c r="M176" s="1025"/>
    </row>
    <row r="177" ht="17.25" customHeight="1">
      <c r="A177" s="687">
        <f t="shared" si="3"/>
        <v>148</v>
      </c>
      <c r="B177" t="s">
        <v>1569</v>
      </c>
      <c r="C177" t="s">
        <v>1570</v>
      </c>
      <c r="D177" s="212" t="s">
        <v>1571</v>
      </c>
      <c r="E177" s="1007">
        <v>35.3829347</v>
      </c>
      <c r="F177" s="1007">
        <v>-118.9705331</v>
      </c>
      <c r="G177" s="212" t="s">
        <v>1233</v>
      </c>
      <c r="H177" s="212"/>
      <c r="I177" s="212" t="s">
        <v>1225</v>
      </c>
      <c r="J177" s="1021">
        <f t="shared" si="1"/>
        <v>273.1802613</v>
      </c>
      <c r="K177" s="1022">
        <f t="shared" si="2"/>
        <v>0.0813036492</v>
      </c>
      <c r="L177" s="1021"/>
      <c r="M177" s="1022"/>
    </row>
    <row r="178" ht="17.25" customHeight="1">
      <c r="A178" s="687">
        <f t="shared" si="3"/>
        <v>149</v>
      </c>
      <c r="B178" t="s">
        <v>1572</v>
      </c>
      <c r="C178" t="s">
        <v>1573</v>
      </c>
      <c r="D178" s="1026">
        <v>7.603792681E9</v>
      </c>
      <c r="E178" s="1020">
        <v>35.6351365</v>
      </c>
      <c r="F178" s="1020">
        <v>-118.4073602</v>
      </c>
      <c r="G178" s="1021"/>
      <c r="H178" s="1022"/>
      <c r="I178" s="1023"/>
      <c r="J178" s="1021">
        <f t="shared" si="1"/>
        <v>286.5501162</v>
      </c>
      <c r="K178" s="1022">
        <f t="shared" si="2"/>
        <v>0.08528277269</v>
      </c>
      <c r="L178" s="1024"/>
      <c r="M178" s="1025"/>
    </row>
    <row r="179" ht="17.25" customHeight="1">
      <c r="A179" s="687">
        <f t="shared" si="3"/>
        <v>150</v>
      </c>
      <c r="B179" t="s">
        <v>1574</v>
      </c>
      <c r="C179" t="s">
        <v>1575</v>
      </c>
      <c r="D179" s="212">
        <v>7.1467074E9</v>
      </c>
      <c r="E179" s="1007">
        <v>33.847533</v>
      </c>
      <c r="F179" s="1007">
        <v>-118.038414</v>
      </c>
      <c r="G179" s="212"/>
      <c r="H179" s="212"/>
      <c r="I179" s="212"/>
      <c r="J179" s="1021">
        <f t="shared" si="1"/>
        <v>386.7691594</v>
      </c>
      <c r="K179" s="1022">
        <f t="shared" si="2"/>
        <v>0.1151098689</v>
      </c>
      <c r="L179" s="1021"/>
      <c r="M179" s="1022"/>
    </row>
    <row r="180" ht="17.25" customHeight="1">
      <c r="A180" s="687">
        <f t="shared" si="3"/>
        <v>151</v>
      </c>
      <c r="B180" t="s">
        <v>1576</v>
      </c>
      <c r="C180" t="s">
        <v>1577</v>
      </c>
      <c r="D180" s="212" t="s">
        <v>1578</v>
      </c>
      <c r="E180" s="1027">
        <v>34.1356365</v>
      </c>
      <c r="F180" s="1027">
        <v>-114.2847937</v>
      </c>
      <c r="G180" s="1021" t="s">
        <v>1247</v>
      </c>
      <c r="H180" s="1022"/>
      <c r="I180" s="1023" t="s">
        <v>1225</v>
      </c>
      <c r="J180" s="1021">
        <f t="shared" si="1"/>
        <v>538.8937801</v>
      </c>
      <c r="K180" s="1022">
        <f t="shared" si="2"/>
        <v>0.1603850536</v>
      </c>
      <c r="L180" s="1021"/>
      <c r="M180" s="1022"/>
    </row>
    <row r="181" ht="17.25" customHeight="1">
      <c r="A181" s="687">
        <f t="shared" si="3"/>
        <v>152</v>
      </c>
      <c r="B181" t="s">
        <v>1579</v>
      </c>
      <c r="C181" t="s">
        <v>1580</v>
      </c>
      <c r="D181" s="212" t="s">
        <v>1581</v>
      </c>
      <c r="E181" s="1007">
        <v>34.0580905</v>
      </c>
      <c r="F181" s="1007">
        <v>-118.2086799</v>
      </c>
      <c r="G181" s="212" t="s">
        <v>1230</v>
      </c>
      <c r="H181" s="212" t="s">
        <v>1225</v>
      </c>
      <c r="I181" s="212" t="s">
        <v>1225</v>
      </c>
      <c r="J181" s="1021">
        <f t="shared" si="1"/>
        <v>369.3436965</v>
      </c>
      <c r="K181" s="1022">
        <f t="shared" si="2"/>
        <v>0.1099237192</v>
      </c>
      <c r="L181" s="1021"/>
      <c r="M181" s="1022"/>
    </row>
    <row r="182" ht="17.25" customHeight="1">
      <c r="A182" s="687">
        <f t="shared" si="3"/>
        <v>153</v>
      </c>
      <c r="B182" t="s">
        <v>1582</v>
      </c>
      <c r="C182" t="s">
        <v>1465</v>
      </c>
      <c r="D182" s="1026">
        <v>3.102222101E9</v>
      </c>
      <c r="E182" s="1027">
        <v>33.8308433</v>
      </c>
      <c r="F182" s="1027">
        <v>-118.2924099</v>
      </c>
      <c r="G182" s="1026"/>
      <c r="H182" s="1026"/>
      <c r="I182" s="1026"/>
      <c r="J182" s="1021">
        <f t="shared" si="1"/>
        <v>378.3253128</v>
      </c>
      <c r="K182" s="1022">
        <f t="shared" si="2"/>
        <v>0.1125968193</v>
      </c>
      <c r="L182" s="1021"/>
      <c r="M182" s="1022"/>
    </row>
    <row r="183" ht="17.25" customHeight="1">
      <c r="A183" s="687">
        <f t="shared" si="3"/>
        <v>154</v>
      </c>
      <c r="B183" t="s">
        <v>1583</v>
      </c>
      <c r="C183" t="s">
        <v>1584</v>
      </c>
      <c r="D183" s="1026">
        <v>8.183641555E9</v>
      </c>
      <c r="E183" s="1027">
        <v>34.3259915</v>
      </c>
      <c r="F183" s="1027">
        <v>-118.4458492</v>
      </c>
      <c r="G183" s="1026"/>
      <c r="H183" s="1026"/>
      <c r="I183" s="1026"/>
      <c r="J183" s="1021">
        <f t="shared" si="1"/>
        <v>346.4440174</v>
      </c>
      <c r="K183" s="1022">
        <f t="shared" si="2"/>
        <v>0.1031083385</v>
      </c>
      <c r="L183" s="1021"/>
      <c r="M183" s="1022"/>
    </row>
    <row r="184" ht="17.25" customHeight="1">
      <c r="A184" s="687">
        <f t="shared" si="3"/>
        <v>155</v>
      </c>
      <c r="B184" s="1017" t="s">
        <v>1585</v>
      </c>
      <c r="C184" s="926" t="s">
        <v>1586</v>
      </c>
      <c r="D184" s="1019">
        <v>5.624017022E9</v>
      </c>
      <c r="E184" s="1020">
        <v>33.9293317</v>
      </c>
      <c r="F184" s="1020">
        <v>-118.1585885</v>
      </c>
      <c r="G184" s="1021"/>
      <c r="H184" s="1022"/>
      <c r="I184" s="1023"/>
      <c r="J184" s="1021">
        <f t="shared" si="1"/>
        <v>377.9791984</v>
      </c>
      <c r="K184" s="1022">
        <f t="shared" si="2"/>
        <v>0.112493809</v>
      </c>
      <c r="L184" s="1024"/>
      <c r="M184" s="1025"/>
    </row>
    <row r="185" ht="17.25" customHeight="1">
      <c r="A185" s="687">
        <f t="shared" si="3"/>
        <v>156</v>
      </c>
      <c r="B185" t="s">
        <v>1587</v>
      </c>
      <c r="C185" t="s">
        <v>1588</v>
      </c>
      <c r="D185" s="1026">
        <v>3.2322628E9</v>
      </c>
      <c r="E185" s="1027">
        <v>34.0579666</v>
      </c>
      <c r="F185" s="1027">
        <v>-118.2087984</v>
      </c>
      <c r="G185" s="1026"/>
      <c r="H185" s="1026"/>
      <c r="I185" s="1026"/>
      <c r="J185" s="1021">
        <f t="shared" si="1"/>
        <v>369.3457216</v>
      </c>
      <c r="K185" s="1022">
        <f t="shared" si="2"/>
        <v>0.1099243219</v>
      </c>
      <c r="L185" s="1024"/>
      <c r="M185" s="1025"/>
    </row>
    <row r="186" ht="17.25" customHeight="1">
      <c r="A186" s="687">
        <f t="shared" si="3"/>
        <v>157</v>
      </c>
      <c r="B186" t="s">
        <v>1589</v>
      </c>
      <c r="C186" t="s">
        <v>1590</v>
      </c>
      <c r="D186" s="212">
        <v>4.1575923E9</v>
      </c>
      <c r="E186" s="1007">
        <v>37.7488896</v>
      </c>
      <c r="F186" s="1007">
        <v>-122.457074</v>
      </c>
      <c r="G186" s="212"/>
      <c r="H186" s="212"/>
      <c r="I186" s="212"/>
      <c r="J186" s="1021">
        <f t="shared" si="1"/>
        <v>20.94194432</v>
      </c>
      <c r="K186" s="1022">
        <f t="shared" si="2"/>
        <v>0.006232721523</v>
      </c>
      <c r="L186" s="1021"/>
      <c r="M186" s="1022"/>
    </row>
    <row r="187" ht="17.25" customHeight="1">
      <c r="A187" s="687">
        <f t="shared" si="3"/>
        <v>158</v>
      </c>
      <c r="B187" t="s">
        <v>1591</v>
      </c>
      <c r="C187" t="s">
        <v>1592</v>
      </c>
      <c r="D187" s="212" t="s">
        <v>1593</v>
      </c>
      <c r="E187" s="1007">
        <v>42.1811057</v>
      </c>
      <c r="F187" s="1007">
        <v>-120.3525652</v>
      </c>
      <c r="G187" s="212" t="s">
        <v>1247</v>
      </c>
      <c r="H187" s="212"/>
      <c r="I187" s="212" t="s">
        <v>1225</v>
      </c>
      <c r="J187" s="1021">
        <f t="shared" si="1"/>
        <v>312.8185238</v>
      </c>
      <c r="K187" s="1022">
        <f t="shared" si="2"/>
        <v>0.09310075114</v>
      </c>
      <c r="L187" s="1021"/>
      <c r="M187" s="1022"/>
    </row>
    <row r="188" ht="17.25" customHeight="1">
      <c r="A188" s="687">
        <f t="shared" si="3"/>
        <v>159</v>
      </c>
      <c r="B188" s="1017" t="s">
        <v>1594</v>
      </c>
      <c r="C188" s="1018" t="s">
        <v>1595</v>
      </c>
      <c r="D188" s="1019">
        <v>5.626026751E9</v>
      </c>
      <c r="E188" s="1020">
        <v>33.8596883</v>
      </c>
      <c r="F188" s="1020">
        <v>-118.1482913</v>
      </c>
      <c r="G188" s="1021"/>
      <c r="H188" s="1022"/>
      <c r="I188" s="1023"/>
      <c r="J188" s="1021">
        <f t="shared" si="1"/>
        <v>382.0453811</v>
      </c>
      <c r="K188" s="1022">
        <f t="shared" si="2"/>
        <v>0.1137039825</v>
      </c>
      <c r="L188" s="1024"/>
      <c r="M188" s="1025"/>
    </row>
    <row r="189" ht="17.25" customHeight="1">
      <c r="A189" s="687">
        <f t="shared" si="3"/>
        <v>160</v>
      </c>
      <c r="B189" t="s">
        <v>1596</v>
      </c>
      <c r="C189" t="s">
        <v>1597</v>
      </c>
      <c r="D189" s="212">
        <v>9.095588E9</v>
      </c>
      <c r="E189" s="1007">
        <v>34.0494519</v>
      </c>
      <c r="F189" s="1007">
        <v>-117.2641774</v>
      </c>
      <c r="G189" s="212"/>
      <c r="H189" s="212"/>
      <c r="I189" s="212"/>
      <c r="J189" s="1021">
        <f t="shared" si="1"/>
        <v>407.1428241</v>
      </c>
      <c r="K189" s="1022">
        <f t="shared" si="2"/>
        <v>0.1211734596</v>
      </c>
      <c r="L189" s="1021"/>
      <c r="M189" s="1022"/>
    </row>
    <row r="190" ht="17.25" customHeight="1">
      <c r="A190" s="687">
        <f t="shared" si="3"/>
        <v>161</v>
      </c>
      <c r="B190" s="1017" t="s">
        <v>1598</v>
      </c>
      <c r="C190" s="1018" t="s">
        <v>1599</v>
      </c>
      <c r="D190" s="1019" t="s">
        <v>1600</v>
      </c>
      <c r="E190" s="1020">
        <v>34.04945190000001</v>
      </c>
      <c r="F190" s="1020">
        <v>-117.2641774</v>
      </c>
      <c r="G190" s="1021" t="s">
        <v>1230</v>
      </c>
      <c r="H190" s="1022"/>
      <c r="I190" s="1023" t="s">
        <v>1225</v>
      </c>
      <c r="J190" s="1021">
        <f t="shared" si="1"/>
        <v>407.1428241</v>
      </c>
      <c r="K190" s="1022">
        <f t="shared" si="2"/>
        <v>0.1211734596</v>
      </c>
      <c r="L190" s="1024"/>
      <c r="M190" s="1025"/>
    </row>
    <row r="191" ht="17.25" customHeight="1">
      <c r="A191" s="687">
        <f t="shared" si="3"/>
        <v>162</v>
      </c>
      <c r="B191" s="1017" t="s">
        <v>1601</v>
      </c>
      <c r="C191" s="1018" t="s">
        <v>1602</v>
      </c>
      <c r="D191" s="1019">
        <v>9.512904E9</v>
      </c>
      <c r="E191" s="1020">
        <v>33.6145875</v>
      </c>
      <c r="F191" s="1020">
        <v>-117.1691492</v>
      </c>
      <c r="G191" s="1021"/>
      <c r="H191" s="1022"/>
      <c r="I191" s="1023"/>
      <c r="J191" s="1021">
        <f t="shared" si="1"/>
        <v>432.3296078</v>
      </c>
      <c r="K191" s="1022">
        <f t="shared" si="2"/>
        <v>0.1286695261</v>
      </c>
      <c r="L191" s="1024"/>
      <c r="M191" s="1025"/>
    </row>
    <row r="192" ht="17.25" customHeight="1">
      <c r="A192" s="687">
        <f t="shared" si="3"/>
        <v>163</v>
      </c>
      <c r="B192" t="s">
        <v>1603</v>
      </c>
      <c r="C192" t="s">
        <v>1604</v>
      </c>
      <c r="D192" s="212">
        <v>8.0573733E9</v>
      </c>
      <c r="E192" s="1027">
        <v>34.6411375</v>
      </c>
      <c r="F192" s="1027">
        <v>-120.4395191</v>
      </c>
      <c r="G192" s="1021"/>
      <c r="H192" s="1022"/>
      <c r="I192" s="1023"/>
      <c r="J192" s="1021">
        <f t="shared" si="1"/>
        <v>263.6294207</v>
      </c>
      <c r="K192" s="1022">
        <f t="shared" si="2"/>
        <v>0.0784611371</v>
      </c>
      <c r="L192" s="1021"/>
      <c r="M192" s="1022"/>
    </row>
    <row r="193" ht="17.25" customHeight="1">
      <c r="A193" s="687">
        <f t="shared" si="3"/>
        <v>164</v>
      </c>
      <c r="B193" t="s">
        <v>1605</v>
      </c>
      <c r="C193" t="s">
        <v>1606</v>
      </c>
      <c r="D193" s="212" t="s">
        <v>1607</v>
      </c>
      <c r="E193" s="1007">
        <v>33.808494</v>
      </c>
      <c r="F193" s="1007">
        <v>-118.1859641</v>
      </c>
      <c r="G193" s="212" t="s">
        <v>1274</v>
      </c>
      <c r="H193" s="212"/>
      <c r="I193" s="212" t="s">
        <v>1225</v>
      </c>
      <c r="J193" s="1021">
        <f t="shared" si="1"/>
        <v>383.3899187</v>
      </c>
      <c r="K193" s="1022">
        <f t="shared" si="2"/>
        <v>0.1141041425</v>
      </c>
      <c r="L193" s="1021"/>
      <c r="M193" s="1022"/>
    </row>
    <row r="194" ht="17.25" customHeight="1">
      <c r="A194" s="687">
        <f t="shared" si="3"/>
        <v>165</v>
      </c>
      <c r="B194" t="s">
        <v>1608</v>
      </c>
      <c r="C194" t="s">
        <v>1609</v>
      </c>
      <c r="D194" s="212">
        <v>5.62799322E9</v>
      </c>
      <c r="E194" s="1027">
        <v>33.8045254</v>
      </c>
      <c r="F194" s="1027">
        <v>-118.0669994</v>
      </c>
      <c r="G194" s="1021"/>
      <c r="H194" s="1022"/>
      <c r="I194" s="1023"/>
      <c r="J194" s="1021">
        <f t="shared" si="1"/>
        <v>387.9761813</v>
      </c>
      <c r="K194" s="1022">
        <f t="shared" si="2"/>
        <v>0.1154691016</v>
      </c>
      <c r="L194" s="1021"/>
      <c r="M194" s="1022"/>
    </row>
    <row r="195" ht="17.25" customHeight="1">
      <c r="A195" s="687">
        <f t="shared" si="3"/>
        <v>166</v>
      </c>
      <c r="B195" t="s">
        <v>1610</v>
      </c>
      <c r="C195" t="s">
        <v>1611</v>
      </c>
      <c r="D195" s="1026">
        <v>3.232670477E9</v>
      </c>
      <c r="E195" s="1027">
        <v>34.0193498</v>
      </c>
      <c r="F195" s="1027">
        <v>-118.1865467</v>
      </c>
      <c r="G195" s="1026"/>
      <c r="H195" s="1026"/>
      <c r="I195" s="1026"/>
      <c r="J195" s="1021">
        <f t="shared" si="1"/>
        <v>372.2024293</v>
      </c>
      <c r="K195" s="1022">
        <f t="shared" si="2"/>
        <v>0.1107745325</v>
      </c>
      <c r="L195" s="1024"/>
      <c r="M195" s="1025"/>
    </row>
    <row r="196" ht="17.25" customHeight="1">
      <c r="A196" s="687">
        <f t="shared" si="3"/>
        <v>167</v>
      </c>
      <c r="B196" s="1017" t="s">
        <v>1612</v>
      </c>
      <c r="C196" s="1018" t="s">
        <v>1613</v>
      </c>
      <c r="D196" s="1019" t="s">
        <v>1614</v>
      </c>
      <c r="E196" s="1020">
        <v>34.2067796</v>
      </c>
      <c r="F196" s="1020">
        <v>-118.8830898</v>
      </c>
      <c r="G196" s="1021" t="s">
        <v>1274</v>
      </c>
      <c r="H196" s="1022"/>
      <c r="I196" s="1023" t="s">
        <v>1225</v>
      </c>
      <c r="J196" s="1021">
        <f t="shared" si="1"/>
        <v>336.9117038</v>
      </c>
      <c r="K196" s="1022">
        <f t="shared" si="2"/>
        <v>0.1002713404</v>
      </c>
      <c r="L196" s="1021"/>
      <c r="M196" s="1022"/>
    </row>
    <row r="197" ht="17.25" customHeight="1">
      <c r="A197" s="687">
        <f t="shared" si="3"/>
        <v>168</v>
      </c>
      <c r="B197" t="s">
        <v>1615</v>
      </c>
      <c r="C197" t="s">
        <v>1616</v>
      </c>
      <c r="D197" s="212">
        <v>7.078223621E9</v>
      </c>
      <c r="E197" s="1007">
        <v>40.8963361</v>
      </c>
      <c r="F197" s="1007">
        <v>-124.0916707</v>
      </c>
      <c r="G197" s="212"/>
      <c r="H197" s="212"/>
      <c r="I197" s="212"/>
      <c r="J197" s="1021">
        <f t="shared" si="1"/>
        <v>213.9040508</v>
      </c>
      <c r="K197" s="1022">
        <f t="shared" si="2"/>
        <v>0.06366191989</v>
      </c>
      <c r="L197" s="1021"/>
      <c r="M197" s="1022"/>
    </row>
    <row r="198" ht="17.25" customHeight="1">
      <c r="A198" s="687">
        <f t="shared" si="3"/>
        <v>169</v>
      </c>
      <c r="B198" t="s">
        <v>1617</v>
      </c>
      <c r="C198" t="s">
        <v>1618</v>
      </c>
      <c r="D198" s="1026">
        <v>5.596755555E9</v>
      </c>
      <c r="E198" s="1027">
        <v>36.9438927</v>
      </c>
      <c r="F198" s="1027">
        <v>-120.0446677</v>
      </c>
      <c r="G198" s="1026"/>
      <c r="H198" s="1026"/>
      <c r="I198" s="1026"/>
      <c r="J198" s="1021">
        <f t="shared" si="1"/>
        <v>160.7646426</v>
      </c>
      <c r="K198" s="1022">
        <f t="shared" si="2"/>
        <v>0.04784661981</v>
      </c>
      <c r="L198" s="1021"/>
      <c r="M198" s="1022"/>
    </row>
    <row r="199" ht="17.25" customHeight="1">
      <c r="A199" s="687">
        <f t="shared" si="3"/>
        <v>170</v>
      </c>
      <c r="B199" t="s">
        <v>1619</v>
      </c>
      <c r="C199" t="s">
        <v>1620</v>
      </c>
      <c r="D199" s="212">
        <v>7.609343311E9</v>
      </c>
      <c r="E199" s="1007">
        <v>37.644062</v>
      </c>
      <c r="F199" s="1007">
        <v>-118.9635391</v>
      </c>
      <c r="G199" s="212"/>
      <c r="H199" s="212"/>
      <c r="I199" s="212"/>
      <c r="J199" s="1021">
        <f t="shared" si="1"/>
        <v>202.7628646</v>
      </c>
      <c r="K199" s="1022">
        <f t="shared" si="2"/>
        <v>0.06034609065</v>
      </c>
      <c r="L199" s="1021"/>
      <c r="M199" s="1022"/>
    </row>
    <row r="200" ht="17.25" customHeight="1">
      <c r="A200" s="687">
        <f t="shared" si="3"/>
        <v>171</v>
      </c>
      <c r="B200" t="s">
        <v>1621</v>
      </c>
      <c r="C200" t="s">
        <v>1622</v>
      </c>
      <c r="D200" s="212">
        <v>8.0573931E9</v>
      </c>
      <c r="E200" s="1027">
        <v>34.9509201</v>
      </c>
      <c r="F200" s="1027">
        <v>-120.4131853</v>
      </c>
      <c r="G200" s="1021"/>
      <c r="H200" s="1022"/>
      <c r="I200" s="1023"/>
      <c r="J200" s="1021">
        <f t="shared" si="1"/>
        <v>245.4915626</v>
      </c>
      <c r="K200" s="1022">
        <f t="shared" si="2"/>
        <v>0.07306296505</v>
      </c>
      <c r="L200" s="1021"/>
      <c r="M200" s="1022"/>
    </row>
    <row r="201" ht="17.25" customHeight="1">
      <c r="A201" s="687">
        <f t="shared" si="3"/>
        <v>172</v>
      </c>
      <c r="B201" t="s">
        <v>1623</v>
      </c>
      <c r="C201" t="s">
        <v>1624</v>
      </c>
      <c r="D201" s="212">
        <v>8.054894261E9</v>
      </c>
      <c r="E201" s="1007">
        <v>35.1136376</v>
      </c>
      <c r="F201" s="1007">
        <v>-120.5907722</v>
      </c>
      <c r="G201" s="212"/>
      <c r="H201" s="212"/>
      <c r="I201" s="212"/>
      <c r="J201" s="1021">
        <f t="shared" si="1"/>
        <v>230.7445216</v>
      </c>
      <c r="K201" s="1022">
        <f t="shared" si="2"/>
        <v>0.06867396476</v>
      </c>
      <c r="L201" s="1024"/>
      <c r="M201" s="1025"/>
    </row>
    <row r="202" ht="17.25" customHeight="1">
      <c r="A202" s="687">
        <f t="shared" si="3"/>
        <v>173</v>
      </c>
      <c r="B202" t="s">
        <v>1625</v>
      </c>
      <c r="C202" t="s">
        <v>1626</v>
      </c>
      <c r="D202" s="212" t="s">
        <v>1627</v>
      </c>
      <c r="E202" s="1027">
        <v>37.9473748</v>
      </c>
      <c r="F202" s="1027">
        <v>-122.5360106</v>
      </c>
      <c r="G202" s="1021" t="s">
        <v>1238</v>
      </c>
      <c r="H202" s="1022"/>
      <c r="I202" s="1023" t="s">
        <v>1281</v>
      </c>
      <c r="J202" s="1021">
        <f t="shared" si="1"/>
        <v>7.476679607</v>
      </c>
      <c r="K202" s="1022" t="str">
        <f t="shared" si="2"/>
        <v/>
      </c>
      <c r="L202" s="1021"/>
      <c r="M202" s="1022"/>
    </row>
    <row r="203" ht="17.25" customHeight="1">
      <c r="A203" s="687">
        <f t="shared" si="3"/>
        <v>174</v>
      </c>
      <c r="B203" t="s">
        <v>1628</v>
      </c>
      <c r="C203" t="s">
        <v>1629</v>
      </c>
      <c r="D203" s="1026" t="s">
        <v>1630</v>
      </c>
      <c r="E203" s="1027">
        <v>38.72467</v>
      </c>
      <c r="F203" s="1027">
        <v>-120.7916501</v>
      </c>
      <c r="G203" s="1026" t="s">
        <v>1238</v>
      </c>
      <c r="H203" s="1026"/>
      <c r="I203" s="1026" t="s">
        <v>1281</v>
      </c>
      <c r="J203" s="1021">
        <f t="shared" si="1"/>
        <v>111.9423847</v>
      </c>
      <c r="K203" s="1022" t="str">
        <f t="shared" si="2"/>
        <v/>
      </c>
      <c r="L203" s="1024"/>
      <c r="M203" s="1025"/>
    </row>
    <row r="204" ht="17.25" customHeight="1">
      <c r="A204" s="687">
        <f t="shared" si="3"/>
        <v>175</v>
      </c>
      <c r="B204" t="s">
        <v>1631</v>
      </c>
      <c r="C204" t="s">
        <v>1632</v>
      </c>
      <c r="D204" s="212">
        <v>4.248356808E9</v>
      </c>
      <c r="E204" s="1007">
        <v>33.9231768</v>
      </c>
      <c r="F204" s="1007">
        <v>-118.2437996</v>
      </c>
      <c r="G204" s="212"/>
      <c r="H204" s="212"/>
      <c r="I204" s="212"/>
      <c r="J204" s="1021">
        <f t="shared" si="1"/>
        <v>375.1534739</v>
      </c>
      <c r="K204" s="1022">
        <f t="shared" si="2"/>
        <v>0.1116528196</v>
      </c>
      <c r="L204" s="1021"/>
      <c r="M204" s="1022"/>
    </row>
    <row r="205" ht="17.25" customHeight="1">
      <c r="A205" s="687">
        <f t="shared" si="3"/>
        <v>176</v>
      </c>
      <c r="B205" t="s">
        <v>1633</v>
      </c>
      <c r="C205" t="s">
        <v>1634</v>
      </c>
      <c r="D205" s="212">
        <v>5.303365511E9</v>
      </c>
      <c r="E205" s="1007">
        <v>41.0237722</v>
      </c>
      <c r="F205" s="1007">
        <v>-121.423551</v>
      </c>
      <c r="G205" s="212"/>
      <c r="H205" s="212"/>
      <c r="I205" s="212"/>
      <c r="J205" s="1021">
        <f t="shared" si="1"/>
        <v>218.2458473</v>
      </c>
      <c r="K205" s="1022">
        <f t="shared" si="2"/>
        <v>0.06495412122</v>
      </c>
      <c r="L205" s="1021"/>
      <c r="M205" s="1022"/>
    </row>
    <row r="206" ht="17.25" customHeight="1">
      <c r="A206" s="687">
        <f t="shared" si="3"/>
        <v>177</v>
      </c>
      <c r="B206" t="s">
        <v>1635</v>
      </c>
      <c r="C206" t="s">
        <v>1636</v>
      </c>
      <c r="D206" s="1026">
        <v>2.098260591E9</v>
      </c>
      <c r="E206" s="1027">
        <v>37.0640934</v>
      </c>
      <c r="F206" s="1027">
        <v>-120.8591356</v>
      </c>
      <c r="G206" s="1026"/>
      <c r="H206" s="1026"/>
      <c r="I206" s="1026"/>
      <c r="J206" s="1021">
        <f t="shared" si="1"/>
        <v>117.9125979</v>
      </c>
      <c r="K206" s="1022">
        <f t="shared" si="2"/>
        <v>0.03509303508</v>
      </c>
      <c r="L206" s="1021"/>
      <c r="M206" s="1022"/>
    </row>
    <row r="207" ht="17.25" customHeight="1">
      <c r="A207" s="687">
        <f t="shared" si="3"/>
        <v>178</v>
      </c>
      <c r="B207" t="s">
        <v>1637</v>
      </c>
      <c r="C207" t="s">
        <v>1638</v>
      </c>
      <c r="D207" s="1026">
        <v>3.1053242E9</v>
      </c>
      <c r="E207" s="1027">
        <v>33.8929929</v>
      </c>
      <c r="F207" s="1027">
        <v>-118.2950049</v>
      </c>
      <c r="G207" s="1026"/>
      <c r="H207" s="1026"/>
      <c r="I207" s="1026"/>
      <c r="J207" s="1021">
        <f t="shared" si="1"/>
        <v>374.8917898</v>
      </c>
      <c r="K207" s="1022">
        <f t="shared" si="2"/>
        <v>0.1115749374</v>
      </c>
      <c r="L207" s="1021"/>
      <c r="M207" s="1022"/>
    </row>
    <row r="208" ht="17.25" customHeight="1">
      <c r="A208" s="687">
        <f t="shared" si="3"/>
        <v>179</v>
      </c>
      <c r="B208" t="s">
        <v>1639</v>
      </c>
      <c r="C208" t="s">
        <v>1640</v>
      </c>
      <c r="D208" s="212" t="s">
        <v>1641</v>
      </c>
      <c r="E208" s="1007">
        <v>37.6686472</v>
      </c>
      <c r="F208" s="1007">
        <v>-120.9746362</v>
      </c>
      <c r="G208" s="212" t="s">
        <v>1274</v>
      </c>
      <c r="H208" s="212"/>
      <c r="I208" s="212" t="s">
        <v>1225</v>
      </c>
      <c r="J208" s="1021">
        <f t="shared" si="1"/>
        <v>94.31246683</v>
      </c>
      <c r="K208" s="1022">
        <f t="shared" si="2"/>
        <v>0.02806918656</v>
      </c>
      <c r="L208" s="1021"/>
      <c r="M208" s="1022"/>
    </row>
    <row r="209" ht="17.25" customHeight="1">
      <c r="A209" s="687">
        <f t="shared" si="3"/>
        <v>180</v>
      </c>
      <c r="B209" t="s">
        <v>1642</v>
      </c>
      <c r="C209" t="s">
        <v>1643</v>
      </c>
      <c r="D209" s="212">
        <v>9.4983745E9</v>
      </c>
      <c r="E209" s="1007">
        <v>33.6093252</v>
      </c>
      <c r="F209" s="1007">
        <v>-117.7089298</v>
      </c>
      <c r="G209" s="212"/>
      <c r="H209" s="212"/>
      <c r="I209" s="212"/>
      <c r="J209" s="1021">
        <f t="shared" si="1"/>
        <v>411.6444318</v>
      </c>
      <c r="K209" s="1022">
        <f t="shared" si="2"/>
        <v>0.1225132238</v>
      </c>
      <c r="L209" s="1021"/>
      <c r="M209" s="1022"/>
    </row>
    <row r="210" ht="17.25" customHeight="1">
      <c r="A210" s="687">
        <f t="shared" si="3"/>
        <v>181</v>
      </c>
      <c r="B210" s="1017" t="s">
        <v>1644</v>
      </c>
      <c r="C210" s="1018" t="s">
        <v>1645</v>
      </c>
      <c r="D210" s="1019">
        <v>7.079611234E9</v>
      </c>
      <c r="E210" s="1020">
        <v>39.4313778</v>
      </c>
      <c r="F210" s="1020">
        <v>-123.800388</v>
      </c>
      <c r="G210" s="1021"/>
      <c r="H210" s="1022"/>
      <c r="I210" s="1023"/>
      <c r="J210" s="1021">
        <f t="shared" si="1"/>
        <v>116.2591714</v>
      </c>
      <c r="K210" s="1022">
        <f t="shared" si="2"/>
        <v>0.03460094386</v>
      </c>
      <c r="L210" s="1021"/>
      <c r="M210" s="1022"/>
    </row>
    <row r="211" ht="17.25" customHeight="1">
      <c r="A211" s="687">
        <f t="shared" si="3"/>
        <v>182</v>
      </c>
      <c r="B211" t="s">
        <v>1646</v>
      </c>
      <c r="C211" t="s">
        <v>1647</v>
      </c>
      <c r="D211" s="212">
        <v>9.516798888E9</v>
      </c>
      <c r="E211" s="1027">
        <v>33.7189772</v>
      </c>
      <c r="F211" s="1027">
        <v>-117.1681518</v>
      </c>
      <c r="G211" s="1021"/>
      <c r="H211" s="1022"/>
      <c r="I211" s="1023"/>
      <c r="J211" s="1021">
        <f t="shared" si="1"/>
        <v>427.174125</v>
      </c>
      <c r="K211" s="1022">
        <f t="shared" si="2"/>
        <v>0.1271351562</v>
      </c>
      <c r="L211" s="1021"/>
      <c r="M211" s="1022"/>
    </row>
    <row r="212" ht="17.25" customHeight="1">
      <c r="A212" s="687">
        <f t="shared" si="3"/>
        <v>183</v>
      </c>
      <c r="B212" t="s">
        <v>1648</v>
      </c>
      <c r="C212" t="s">
        <v>1649</v>
      </c>
      <c r="D212" s="1026">
        <v>6.5032485E9</v>
      </c>
      <c r="E212" s="1027">
        <v>37.4615512</v>
      </c>
      <c r="F212" s="1027">
        <v>-122.1590463</v>
      </c>
      <c r="G212" s="1026"/>
      <c r="H212" s="1026"/>
      <c r="I212" s="1026"/>
      <c r="J212" s="1021">
        <f t="shared" si="1"/>
        <v>46.48517748</v>
      </c>
      <c r="K212" s="1022">
        <f t="shared" si="2"/>
        <v>0.01383487425</v>
      </c>
      <c r="L212" s="1021"/>
      <c r="M212" s="1022"/>
    </row>
    <row r="213" ht="17.25" customHeight="1">
      <c r="A213" s="687">
        <f t="shared" si="3"/>
        <v>184</v>
      </c>
      <c r="B213" s="1017" t="s">
        <v>1650</v>
      </c>
      <c r="C213" s="1018" t="s">
        <v>1651</v>
      </c>
      <c r="D213" s="1019">
        <v>9.164534453E9</v>
      </c>
      <c r="E213" s="1020">
        <v>38.569837</v>
      </c>
      <c r="F213" s="1020">
        <v>-121.452588</v>
      </c>
      <c r="G213" s="1021"/>
      <c r="H213" s="1022"/>
      <c r="I213" s="1023"/>
      <c r="J213" s="1021">
        <f t="shared" si="1"/>
        <v>75.35219873</v>
      </c>
      <c r="K213" s="1022">
        <f t="shared" si="2"/>
        <v>0.02242624962</v>
      </c>
      <c r="L213" s="1021"/>
      <c r="M213" s="1022"/>
    </row>
    <row r="214" ht="17.25" customHeight="1">
      <c r="A214" s="687">
        <f t="shared" si="3"/>
        <v>185</v>
      </c>
      <c r="B214" t="s">
        <v>1652</v>
      </c>
      <c r="C214" t="s">
        <v>1653</v>
      </c>
      <c r="D214" s="212">
        <v>6.616325E9</v>
      </c>
      <c r="E214" s="1007">
        <v>35.3727847</v>
      </c>
      <c r="F214" s="1007">
        <v>-119.0276426</v>
      </c>
      <c r="G214" s="212"/>
      <c r="H214" s="212"/>
      <c r="I214" s="212"/>
      <c r="J214" s="1021">
        <f t="shared" si="1"/>
        <v>271.3072843</v>
      </c>
      <c r="K214" s="1022">
        <f t="shared" si="2"/>
        <v>0.08074621556</v>
      </c>
      <c r="L214" s="1021"/>
      <c r="M214" s="1022"/>
    </row>
    <row r="215" ht="17.25" customHeight="1">
      <c r="A215" s="687">
        <f t="shared" si="3"/>
        <v>186</v>
      </c>
      <c r="B215" t="s">
        <v>1654</v>
      </c>
      <c r="C215" t="s">
        <v>1655</v>
      </c>
      <c r="D215" s="1026">
        <v>9.1698374E9</v>
      </c>
      <c r="E215" s="1027">
        <v>38.670333</v>
      </c>
      <c r="F215" s="1027">
        <v>-121.1458461</v>
      </c>
      <c r="G215" s="1026"/>
      <c r="H215" s="1026"/>
      <c r="I215" s="1026"/>
      <c r="J215" s="1021">
        <f t="shared" si="1"/>
        <v>93.20348634</v>
      </c>
      <c r="K215" s="1022">
        <f t="shared" si="2"/>
        <v>0.02773913284</v>
      </c>
      <c r="L215" s="1021"/>
      <c r="M215" s="1022"/>
    </row>
    <row r="216" ht="17.25" customHeight="1">
      <c r="A216" s="687">
        <f t="shared" si="3"/>
        <v>187</v>
      </c>
      <c r="B216" t="s">
        <v>1656</v>
      </c>
      <c r="C216" t="s">
        <v>1657</v>
      </c>
      <c r="D216" s="212">
        <v>2.095645E9</v>
      </c>
      <c r="E216" s="1007">
        <v>37.3401411</v>
      </c>
      <c r="F216" s="1007">
        <v>-120.4671866</v>
      </c>
      <c r="G216" s="212"/>
      <c r="H216" s="212"/>
      <c r="I216" s="212"/>
      <c r="J216" s="1021">
        <f t="shared" si="1"/>
        <v>127.9988365</v>
      </c>
      <c r="K216" s="1022">
        <f t="shared" si="2"/>
        <v>0.03809489182</v>
      </c>
      <c r="L216" s="1021"/>
      <c r="M216" s="1022"/>
    </row>
    <row r="217" ht="17.25" customHeight="1">
      <c r="A217" s="687">
        <f t="shared" si="3"/>
        <v>188</v>
      </c>
      <c r="B217" t="s">
        <v>1658</v>
      </c>
      <c r="C217" t="s">
        <v>1659</v>
      </c>
      <c r="D217" s="212">
        <v>5.309266111E9</v>
      </c>
      <c r="E217" s="1007">
        <v>41.3187005</v>
      </c>
      <c r="F217" s="1007">
        <v>-122.3209208</v>
      </c>
      <c r="G217" s="212"/>
      <c r="H217" s="212"/>
      <c r="I217" s="212"/>
      <c r="J217" s="1021">
        <f t="shared" si="1"/>
        <v>229.3338281</v>
      </c>
      <c r="K217" s="1022">
        <f t="shared" si="2"/>
        <v>0.06825411552</v>
      </c>
      <c r="L217" s="1021"/>
      <c r="M217" s="1022"/>
    </row>
    <row r="218" ht="17.25" customHeight="1">
      <c r="A218" s="687">
        <f t="shared" si="3"/>
        <v>189</v>
      </c>
      <c r="B218" t="s">
        <v>1660</v>
      </c>
      <c r="C218" t="s">
        <v>1661</v>
      </c>
      <c r="D218" s="212">
        <v>5.302256102E9</v>
      </c>
      <c r="E218" s="1027">
        <v>40.5719533</v>
      </c>
      <c r="F218" s="1027">
        <v>-122.3952328</v>
      </c>
      <c r="G218" s="1021"/>
      <c r="H218" s="1022"/>
      <c r="I218" s="1023"/>
      <c r="J218" s="1021">
        <f t="shared" si="1"/>
        <v>177.5339211</v>
      </c>
      <c r="K218" s="1022">
        <f t="shared" si="2"/>
        <v>0.05283747652</v>
      </c>
      <c r="L218" s="1021"/>
      <c r="M218" s="1022"/>
    </row>
    <row r="219" ht="17.25" customHeight="1">
      <c r="A219" s="687">
        <f t="shared" si="3"/>
        <v>190</v>
      </c>
      <c r="B219" t="s">
        <v>1662</v>
      </c>
      <c r="C219" t="s">
        <v>1663</v>
      </c>
      <c r="D219" s="212">
        <v>9.165375E9</v>
      </c>
      <c r="E219" s="1007">
        <v>38.6693027</v>
      </c>
      <c r="F219" s="1007">
        <v>-121.3139776</v>
      </c>
      <c r="G219" s="212"/>
      <c r="H219" s="212"/>
      <c r="I219" s="212"/>
      <c r="J219" s="1021">
        <f t="shared" si="1"/>
        <v>85.32066284</v>
      </c>
      <c r="K219" s="1022">
        <f t="shared" si="2"/>
        <v>0.02539305442</v>
      </c>
      <c r="L219" s="1021"/>
      <c r="M219" s="1022"/>
    </row>
    <row r="220" ht="17.25" customHeight="1">
      <c r="A220" s="687">
        <f t="shared" si="3"/>
        <v>191</v>
      </c>
      <c r="B220" t="s">
        <v>1664</v>
      </c>
      <c r="C220" t="s">
        <v>1665</v>
      </c>
      <c r="D220" s="212">
        <v>9.16423601E9</v>
      </c>
      <c r="E220" s="1007">
        <v>38.463412</v>
      </c>
      <c r="F220" s="1007">
        <v>-121.4169329</v>
      </c>
      <c r="G220" s="212"/>
      <c r="H220" s="212"/>
      <c r="I220" s="212"/>
      <c r="J220" s="1021">
        <f t="shared" si="1"/>
        <v>73.65929898</v>
      </c>
      <c r="K220" s="1022">
        <f t="shared" si="2"/>
        <v>0.02192241041</v>
      </c>
      <c r="L220" s="1021"/>
      <c r="M220" s="1022"/>
    </row>
    <row r="221" ht="17.25" customHeight="1">
      <c r="A221" s="687">
        <f t="shared" si="3"/>
        <v>192</v>
      </c>
      <c r="B221" t="s">
        <v>1666</v>
      </c>
      <c r="C221" t="s">
        <v>1667</v>
      </c>
      <c r="D221" s="1026">
        <v>6.264454441E9</v>
      </c>
      <c r="E221" s="1027">
        <v>34.1344486</v>
      </c>
      <c r="F221" s="1027">
        <v>-118.0416623</v>
      </c>
      <c r="G221" s="1026"/>
      <c r="H221" s="1026"/>
      <c r="I221" s="1026"/>
      <c r="J221" s="1021">
        <f t="shared" si="1"/>
        <v>371.7698871</v>
      </c>
      <c r="K221" s="1022">
        <f t="shared" si="2"/>
        <v>0.1106457997</v>
      </c>
      <c r="L221" s="1021"/>
      <c r="M221" s="1022"/>
    </row>
    <row r="222" ht="17.25" customHeight="1">
      <c r="A222" s="687">
        <f t="shared" si="3"/>
        <v>193</v>
      </c>
      <c r="B222" t="s">
        <v>1668</v>
      </c>
      <c r="C222" t="s">
        <v>1669</v>
      </c>
      <c r="D222" s="212">
        <v>6.50696527E9</v>
      </c>
      <c r="E222" s="1007">
        <v>37.5923598</v>
      </c>
      <c r="F222" s="1007">
        <v>-122.3824811</v>
      </c>
      <c r="G222" s="212"/>
      <c r="H222" s="212"/>
      <c r="I222" s="212"/>
      <c r="J222" s="1021">
        <f t="shared" si="1"/>
        <v>32.42953468</v>
      </c>
      <c r="K222" s="1022">
        <f t="shared" si="2"/>
        <v>0.009651647227</v>
      </c>
      <c r="L222" s="1021"/>
      <c r="M222" s="1022"/>
    </row>
    <row r="223" ht="17.25" customHeight="1">
      <c r="A223" s="687">
        <f t="shared" si="3"/>
        <v>194</v>
      </c>
      <c r="B223" t="s">
        <v>1670</v>
      </c>
      <c r="C223" t="s">
        <v>1671</v>
      </c>
      <c r="D223" s="1026">
        <v>3.23930104E9</v>
      </c>
      <c r="E223" s="1027">
        <v>34.05731</v>
      </c>
      <c r="F223" s="1027">
        <v>-118.3623112</v>
      </c>
      <c r="G223" s="1026"/>
      <c r="H223" s="1026"/>
      <c r="I223" s="1026"/>
      <c r="J223" s="1021">
        <f t="shared" si="1"/>
        <v>363.6667143</v>
      </c>
      <c r="K223" s="1022">
        <f t="shared" si="2"/>
        <v>0.1082341412</v>
      </c>
      <c r="L223" s="1021"/>
      <c r="M223" s="1022"/>
    </row>
    <row r="224" ht="17.25" customHeight="1">
      <c r="A224" s="687">
        <f t="shared" si="3"/>
        <v>195</v>
      </c>
      <c r="B224" t="s">
        <v>1672</v>
      </c>
      <c r="C224" t="s">
        <v>1673</v>
      </c>
      <c r="D224" s="1026">
        <v>8.1890431E9</v>
      </c>
      <c r="E224" s="1027">
        <v>34.2202962</v>
      </c>
      <c r="F224" s="1027">
        <v>-118.456665</v>
      </c>
      <c r="G224" s="1026"/>
      <c r="H224" s="1026"/>
      <c r="I224" s="1026"/>
      <c r="J224" s="1021">
        <f t="shared" si="1"/>
        <v>351.5632414</v>
      </c>
      <c r="K224" s="1022">
        <f t="shared" si="2"/>
        <v>0.1046319171</v>
      </c>
      <c r="L224" s="1021"/>
      <c r="M224" s="1022"/>
    </row>
    <row r="225" ht="17.25" customHeight="1">
      <c r="A225" s="687">
        <f t="shared" si="3"/>
        <v>196</v>
      </c>
      <c r="B225" t="s">
        <v>1674</v>
      </c>
      <c r="C225" t="s">
        <v>1675</v>
      </c>
      <c r="D225" s="212" t="s">
        <v>1676</v>
      </c>
      <c r="E225" s="1007">
        <v>33.5619204</v>
      </c>
      <c r="F225" s="1007">
        <v>-117.665092</v>
      </c>
      <c r="G225" s="212" t="s">
        <v>1274</v>
      </c>
      <c r="H225" s="212"/>
      <c r="I225" s="212" t="s">
        <v>1225</v>
      </c>
      <c r="J225" s="1021">
        <f t="shared" si="1"/>
        <v>415.7811177</v>
      </c>
      <c r="K225" s="1022">
        <f t="shared" si="2"/>
        <v>0.1237443803</v>
      </c>
      <c r="L225" s="1024"/>
      <c r="M225" s="1025"/>
    </row>
    <row r="226" ht="17.25" customHeight="1">
      <c r="A226" s="687">
        <f t="shared" si="3"/>
        <v>197</v>
      </c>
      <c r="B226" t="s">
        <v>1677</v>
      </c>
      <c r="C226" t="s">
        <v>1678</v>
      </c>
      <c r="D226" s="212">
        <v>5.302335131E9</v>
      </c>
      <c r="E226" s="1007">
        <v>41.47963</v>
      </c>
      <c r="F226" s="1007">
        <v>-120.5454258</v>
      </c>
      <c r="G226" s="212"/>
      <c r="H226" s="212"/>
      <c r="I226" s="212"/>
      <c r="J226" s="1021">
        <f t="shared" si="1"/>
        <v>264.5438789</v>
      </c>
      <c r="K226" s="1022">
        <f t="shared" si="2"/>
        <v>0.0787332973</v>
      </c>
      <c r="L226" s="1021"/>
      <c r="M226" s="1022"/>
    </row>
    <row r="227" ht="17.25" customHeight="1">
      <c r="A227" s="687">
        <f t="shared" si="3"/>
        <v>198</v>
      </c>
      <c r="B227" s="1017" t="s">
        <v>1679</v>
      </c>
      <c r="C227" s="926" t="s">
        <v>1680</v>
      </c>
      <c r="D227" s="1019">
        <v>9.0962583E9</v>
      </c>
      <c r="E227" s="1020">
        <v>34.0787364</v>
      </c>
      <c r="F227" s="1020">
        <v>-117.6960075</v>
      </c>
      <c r="G227" s="1021"/>
      <c r="H227" s="1022"/>
      <c r="I227" s="1023"/>
      <c r="J227" s="1021">
        <f t="shared" si="1"/>
        <v>388.1636462</v>
      </c>
      <c r="K227" s="1022">
        <f t="shared" si="2"/>
        <v>0.1155248947</v>
      </c>
      <c r="L227" s="1021"/>
      <c r="M227" s="1022"/>
      <c r="Q227" s="41" t="s">
        <v>1186</v>
      </c>
      <c r="R227" s="41" t="s">
        <v>1201</v>
      </c>
      <c r="S227" s="41" t="s">
        <v>1219</v>
      </c>
      <c r="T227" s="41" t="s">
        <v>1220</v>
      </c>
      <c r="U227" s="41" t="s">
        <v>1681</v>
      </c>
      <c r="V227" s="41" t="s">
        <v>1217</v>
      </c>
      <c r="W227" s="41" t="s">
        <v>1218</v>
      </c>
      <c r="X227" s="41" t="s">
        <v>1682</v>
      </c>
      <c r="Y227" s="41" t="s">
        <v>1683</v>
      </c>
      <c r="Z227" s="41" t="s">
        <v>1237</v>
      </c>
      <c r="AA227" s="41">
        <v>39.1382</v>
      </c>
      <c r="AB227" s="41">
        <v>-121.5942</v>
      </c>
      <c r="AC227" s="41" t="s">
        <v>1684</v>
      </c>
      <c r="AD227" s="1034">
        <v>0.7465277777777778</v>
      </c>
      <c r="AE227" s="41">
        <v>430.16</v>
      </c>
      <c r="AF227" s="1034">
        <v>0.27569444444444446</v>
      </c>
      <c r="AG227" s="41" t="s">
        <v>1238</v>
      </c>
      <c r="AI227" s="41" t="s">
        <v>1685</v>
      </c>
      <c r="AJ227" s="41" t="s">
        <v>1273</v>
      </c>
      <c r="AK227" s="41">
        <v>34.6885</v>
      </c>
      <c r="AL227" s="41">
        <v>-118.1585</v>
      </c>
      <c r="AM227" s="41" t="s">
        <v>1686</v>
      </c>
      <c r="AN227" s="1034">
        <v>0.725</v>
      </c>
      <c r="AO227" s="41">
        <v>83.8</v>
      </c>
      <c r="AP227" s="1034">
        <v>0.059027777777777776</v>
      </c>
      <c r="AQ227" s="41" t="s">
        <v>1233</v>
      </c>
      <c r="AS227" s="41" t="s">
        <v>1687</v>
      </c>
      <c r="AT227" s="41" t="s">
        <v>1277</v>
      </c>
      <c r="AU227" s="41">
        <v>34.0741</v>
      </c>
      <c r="AV227" s="41">
        <v>-117.3511</v>
      </c>
      <c r="AW227" s="41" t="s">
        <v>1688</v>
      </c>
      <c r="AX227" s="1034">
        <v>0.7173611111111111</v>
      </c>
      <c r="AY227" s="41">
        <v>124.37</v>
      </c>
      <c r="AZ227" s="1034">
        <v>0.09375</v>
      </c>
      <c r="BA227" s="41" t="s">
        <v>1233</v>
      </c>
      <c r="BB227" s="41" t="s">
        <v>1225</v>
      </c>
      <c r="BC227" s="41" t="s">
        <v>1689</v>
      </c>
      <c r="BD227" s="41" t="s">
        <v>1690</v>
      </c>
      <c r="BE227" s="41" t="s">
        <v>1298</v>
      </c>
      <c r="BF227" s="41">
        <v>38.9122</v>
      </c>
      <c r="BG227" s="41">
        <v>-119.9966</v>
      </c>
      <c r="BH227" s="41" t="s">
        <v>1691</v>
      </c>
      <c r="BI227" s="1034">
        <v>0.7222222222222222</v>
      </c>
      <c r="BJ227" s="41">
        <v>317.55</v>
      </c>
      <c r="BK227" s="1034">
        <v>0.23125</v>
      </c>
      <c r="BL227" s="41" t="s">
        <v>1238</v>
      </c>
      <c r="BN227" s="41" t="s">
        <v>1692</v>
      </c>
      <c r="BO227" s="41" t="s">
        <v>1321</v>
      </c>
      <c r="BP227" s="41">
        <v>34.0752</v>
      </c>
      <c r="BQ227" s="41">
        <v>-118.3802</v>
      </c>
      <c r="BR227" s="41" t="s">
        <v>1693</v>
      </c>
      <c r="BS227" s="1034">
        <v>0.7340277777777777</v>
      </c>
      <c r="BT227" s="41">
        <v>152.18</v>
      </c>
      <c r="BU227" s="1034">
        <v>0.10833333333333334</v>
      </c>
      <c r="BV227" s="41" t="s">
        <v>1230</v>
      </c>
      <c r="BX227" s="41" t="s">
        <v>1694</v>
      </c>
      <c r="BY227" s="41" t="s">
        <v>1358</v>
      </c>
      <c r="BZ227" s="41">
        <v>36.7429</v>
      </c>
      <c r="CA227" s="41">
        <v>-119.7844</v>
      </c>
      <c r="CB227" s="41" t="s">
        <v>1695</v>
      </c>
      <c r="CC227" s="1034">
        <v>0.7347222222222223</v>
      </c>
      <c r="CD227" s="41">
        <v>221.95</v>
      </c>
      <c r="CE227" s="1034">
        <v>0.1451388888888889</v>
      </c>
      <c r="CF227" s="41" t="s">
        <v>1230</v>
      </c>
      <c r="CG227" s="41" t="s">
        <v>1225</v>
      </c>
      <c r="CH227" s="41" t="s">
        <v>1696</v>
      </c>
      <c r="CI227" s="41" t="s">
        <v>1697</v>
      </c>
      <c r="CJ227" s="41" t="s">
        <v>1372</v>
      </c>
      <c r="CK227" s="41">
        <v>34.0375</v>
      </c>
      <c r="CL227" s="41">
        <v>-118.2661</v>
      </c>
      <c r="CM227" s="41" t="s">
        <v>1698</v>
      </c>
      <c r="CN227" s="1034">
        <v>0.7326388888888888</v>
      </c>
      <c r="CO227" s="41">
        <v>156.27</v>
      </c>
      <c r="CP227" s="1034">
        <v>0.10833333333333334</v>
      </c>
      <c r="CQ227" s="41" t="s">
        <v>1233</v>
      </c>
      <c r="CS227" s="41" t="s">
        <v>1699</v>
      </c>
      <c r="CT227" s="41" t="s">
        <v>1375</v>
      </c>
      <c r="CU227" s="41">
        <v>34.9509</v>
      </c>
      <c r="CV227" s="41">
        <v>-120.4132</v>
      </c>
      <c r="CW227" s="41" t="s">
        <v>1700</v>
      </c>
      <c r="CX227" s="1034">
        <v>0.7597222222222222</v>
      </c>
      <c r="CY227" s="41">
        <v>218.34</v>
      </c>
      <c r="CZ227" s="1034">
        <v>0.16041666666666668</v>
      </c>
      <c r="DA227" s="41" t="s">
        <v>1238</v>
      </c>
      <c r="DC227" s="41" t="s">
        <v>1701</v>
      </c>
      <c r="DD227" s="41" t="s">
        <v>1378</v>
      </c>
      <c r="DE227" s="41">
        <v>41.3187</v>
      </c>
      <c r="DF227" s="41">
        <v>-122.3209</v>
      </c>
      <c r="DG227" s="41" t="s">
        <v>1702</v>
      </c>
      <c r="DH227" s="1034">
        <v>0.7444444444444445</v>
      </c>
      <c r="DI227" s="41">
        <v>609.85</v>
      </c>
      <c r="DJ227" s="1034">
        <v>0.3909722222222222</v>
      </c>
      <c r="DK227" s="41" t="s">
        <v>1238</v>
      </c>
      <c r="DM227" s="41" t="s">
        <v>1703</v>
      </c>
      <c r="DN227" s="41" t="s">
        <v>1381</v>
      </c>
      <c r="DO227" s="41">
        <v>40.572</v>
      </c>
      <c r="DP227" s="41">
        <v>-122.3952</v>
      </c>
      <c r="DQ227" s="41" t="s">
        <v>1704</v>
      </c>
      <c r="DR227" s="1034">
        <v>0.75</v>
      </c>
      <c r="DS227" s="41">
        <v>552.37</v>
      </c>
      <c r="DT227" s="1034">
        <v>0.35347222222222224</v>
      </c>
      <c r="DU227" s="41" t="s">
        <v>1233</v>
      </c>
      <c r="DW227" s="41" t="s">
        <v>1705</v>
      </c>
      <c r="DX227" s="41" t="s">
        <v>1384</v>
      </c>
      <c r="DY227" s="41">
        <v>38.6693</v>
      </c>
      <c r="DZ227" s="41">
        <v>-121.314</v>
      </c>
      <c r="EA227" s="41" t="s">
        <v>1706</v>
      </c>
      <c r="EB227" s="1034">
        <v>0.7451388888888889</v>
      </c>
      <c r="EC227" s="41">
        <v>400.34</v>
      </c>
      <c r="ED227" s="1034">
        <v>0.2590277777777778</v>
      </c>
      <c r="EE227" s="41" t="s">
        <v>1233</v>
      </c>
      <c r="EG227" s="41" t="s">
        <v>1707</v>
      </c>
      <c r="EH227" s="41" t="s">
        <v>1708</v>
      </c>
      <c r="EI227" s="41">
        <v>34.2208</v>
      </c>
      <c r="EJ227" s="41">
        <v>-118.5331</v>
      </c>
      <c r="EK227" s="41" t="s">
        <v>1709</v>
      </c>
      <c r="EL227" s="1034">
        <v>0.7354166666666667</v>
      </c>
      <c r="EM227" s="41">
        <v>138.28</v>
      </c>
      <c r="EN227" s="1034">
        <v>0.09375</v>
      </c>
      <c r="EO227" s="41" t="s">
        <v>1233</v>
      </c>
      <c r="EQ227" s="41" t="s">
        <v>1710</v>
      </c>
      <c r="ER227" s="41" t="s">
        <v>1390</v>
      </c>
      <c r="ES227" s="41">
        <v>40.1486</v>
      </c>
      <c r="ET227" s="41">
        <v>-122.219</v>
      </c>
      <c r="EU227" s="41" t="s">
        <v>1711</v>
      </c>
      <c r="EV227" s="1034">
        <v>0.75</v>
      </c>
      <c r="EW227" s="41">
        <v>518.05</v>
      </c>
      <c r="EX227" s="1034">
        <v>0.3284722222222222</v>
      </c>
      <c r="EY227" s="41" t="s">
        <v>1238</v>
      </c>
      <c r="FA227" s="41" t="s">
        <v>1712</v>
      </c>
      <c r="FB227" s="41" t="s">
        <v>1393</v>
      </c>
      <c r="FC227" s="41">
        <v>33.78</v>
      </c>
      <c r="FD227" s="41">
        <v>-118.186</v>
      </c>
      <c r="FE227" s="41" t="s">
        <v>1713</v>
      </c>
      <c r="FF227" s="1034">
        <v>0.7333333333333333</v>
      </c>
      <c r="FG227" s="41">
        <v>175.6</v>
      </c>
      <c r="FH227" s="1034">
        <v>0.12013888888888889</v>
      </c>
      <c r="FI227" s="41" t="s">
        <v>1233</v>
      </c>
      <c r="FK227" s="41" t="s">
        <v>1714</v>
      </c>
      <c r="FL227" s="41" t="s">
        <v>1398</v>
      </c>
      <c r="FM227" s="41">
        <v>37.6658</v>
      </c>
      <c r="FN227" s="41">
        <v>-120.9973</v>
      </c>
      <c r="FO227" s="41" t="s">
        <v>1715</v>
      </c>
      <c r="FP227" s="1034">
        <v>0.7472222222222222</v>
      </c>
      <c r="FQ227" s="41">
        <v>318.0</v>
      </c>
      <c r="FR227" s="1034">
        <v>0.20694444444444443</v>
      </c>
      <c r="FS227" s="41" t="s">
        <v>1233</v>
      </c>
      <c r="FU227" s="41" t="s">
        <v>1716</v>
      </c>
      <c r="FV227" s="41" t="s">
        <v>1421</v>
      </c>
      <c r="FW227" s="41">
        <v>39.7426</v>
      </c>
      <c r="FX227" s="41">
        <v>-121.8497</v>
      </c>
      <c r="FY227" s="41" t="s">
        <v>1717</v>
      </c>
      <c r="FZ227" s="1034">
        <v>0.7465277777777778</v>
      </c>
      <c r="GA227" s="41">
        <v>476.54</v>
      </c>
      <c r="GB227" s="1034">
        <v>0.3138888888888889</v>
      </c>
      <c r="GC227" s="41" t="s">
        <v>1233</v>
      </c>
      <c r="GE227" s="41" t="s">
        <v>1718</v>
      </c>
      <c r="GF227" s="41" t="s">
        <v>1466</v>
      </c>
      <c r="GG227" s="41">
        <v>33.8308</v>
      </c>
      <c r="GH227" s="41">
        <v>-118.2926</v>
      </c>
      <c r="GI227" s="41" t="s">
        <v>1719</v>
      </c>
      <c r="GJ227" s="1034">
        <v>0.7347222222222223</v>
      </c>
      <c r="GK227" s="41">
        <v>167.74</v>
      </c>
      <c r="GL227" s="1034">
        <v>0.1125</v>
      </c>
      <c r="GM227" s="41" t="s">
        <v>1230</v>
      </c>
      <c r="GO227" s="41" t="s">
        <v>1720</v>
      </c>
      <c r="GP227" s="41" t="s">
        <v>1478</v>
      </c>
      <c r="GQ227" s="41">
        <v>34.3979</v>
      </c>
      <c r="GR227" s="41">
        <v>-118.5539</v>
      </c>
      <c r="GS227" s="41" t="s">
        <v>1721</v>
      </c>
      <c r="GT227" s="1034">
        <v>0.7340277777777777</v>
      </c>
      <c r="GU227" s="41">
        <v>132.97</v>
      </c>
      <c r="GV227" s="1034">
        <v>0.08888888888888889</v>
      </c>
      <c r="GW227" s="41" t="s">
        <v>1233</v>
      </c>
      <c r="GY227" s="41" t="s">
        <v>1722</v>
      </c>
      <c r="GZ227" s="41" t="s">
        <v>1483</v>
      </c>
      <c r="HA227" s="41">
        <v>37.7986</v>
      </c>
      <c r="HB227" s="41">
        <v>-122.2317</v>
      </c>
      <c r="HC227" s="41" t="s">
        <v>1723</v>
      </c>
      <c r="HD227" s="1034">
        <v>0.7666666666666667</v>
      </c>
      <c r="HE227" s="41">
        <v>383.14</v>
      </c>
      <c r="HF227" s="1034">
        <v>0.24722222222222223</v>
      </c>
      <c r="HG227" s="41" t="s">
        <v>1230</v>
      </c>
      <c r="HI227" s="41" t="s">
        <v>1724</v>
      </c>
      <c r="HJ227" s="41" t="s">
        <v>1492</v>
      </c>
      <c r="HK227" s="41">
        <v>34.1339</v>
      </c>
      <c r="HL227" s="41">
        <v>-118.1521</v>
      </c>
      <c r="HM227" s="41" t="s">
        <v>1725</v>
      </c>
      <c r="HN227" s="1034">
        <v>0.7298611111111111</v>
      </c>
      <c r="HO227" s="41">
        <v>154.06</v>
      </c>
      <c r="HP227" s="1034">
        <v>0.10138888888888889</v>
      </c>
      <c r="HQ227" s="41" t="s">
        <v>1233</v>
      </c>
      <c r="HS227" s="41" t="s">
        <v>1726</v>
      </c>
      <c r="HT227" s="41" t="s">
        <v>1495</v>
      </c>
      <c r="HU227" s="41">
        <v>33.5917</v>
      </c>
      <c r="HV227" s="41">
        <v>-117.2377</v>
      </c>
      <c r="HW227" s="41" t="s">
        <v>1727</v>
      </c>
      <c r="HX227" s="1034">
        <v>0.7194444444444444</v>
      </c>
      <c r="HY227" s="41">
        <v>163.15</v>
      </c>
      <c r="HZ227" s="1034">
        <v>0.11736111111111111</v>
      </c>
      <c r="IA227" s="41" t="s">
        <v>1233</v>
      </c>
      <c r="IC227" s="41" t="s">
        <v>1728</v>
      </c>
      <c r="ID227" s="41" t="s">
        <v>1505</v>
      </c>
      <c r="IE227" s="41">
        <v>37.9129</v>
      </c>
      <c r="IF227" s="41">
        <v>-122.0409</v>
      </c>
      <c r="IG227" s="41" t="s">
        <v>1729</v>
      </c>
      <c r="IH227" s="1034">
        <v>0.7625</v>
      </c>
      <c r="II227" s="41">
        <v>379.66</v>
      </c>
      <c r="IJ227" s="1034">
        <v>0.2465277777777778</v>
      </c>
      <c r="IK227" s="41" t="s">
        <v>1233</v>
      </c>
      <c r="IM227" s="41" t="s">
        <v>1730</v>
      </c>
      <c r="IN227" s="41" t="s">
        <v>1538</v>
      </c>
      <c r="IO227" s="41">
        <v>38.3882</v>
      </c>
      <c r="IP227" s="41">
        <v>-121.9388</v>
      </c>
      <c r="IQ227" s="41" t="s">
        <v>1731</v>
      </c>
      <c r="IR227" s="1034">
        <v>0.7576388888888889</v>
      </c>
      <c r="IS227" s="41">
        <v>416.89</v>
      </c>
      <c r="IT227" s="1034">
        <v>0.2673611111111111</v>
      </c>
      <c r="IU227" s="41" t="s">
        <v>1233</v>
      </c>
      <c r="IW227" s="41" t="s">
        <v>1732</v>
      </c>
      <c r="IX227" s="41" t="s">
        <v>1564</v>
      </c>
      <c r="IY227" s="41">
        <v>38.4699</v>
      </c>
      <c r="IZ227" s="41">
        <v>-121.4216</v>
      </c>
      <c r="JA227" s="41" t="s">
        <v>1733</v>
      </c>
      <c r="JB227" s="1034">
        <v>0.7486111111111111</v>
      </c>
      <c r="JC227" s="41">
        <v>379.97</v>
      </c>
      <c r="JD227" s="1034">
        <v>0.24583333333333332</v>
      </c>
      <c r="JE227" s="41" t="s">
        <v>1233</v>
      </c>
      <c r="JG227" s="41" t="s">
        <v>1734</v>
      </c>
      <c r="JH227" s="41" t="s">
        <v>1735</v>
      </c>
      <c r="JI227" s="41">
        <v>36.3286</v>
      </c>
      <c r="JJ227" s="41">
        <v>-119.295</v>
      </c>
      <c r="JK227" s="41" t="s">
        <v>1736</v>
      </c>
      <c r="JL227" s="1034">
        <v>0.7298611111111111</v>
      </c>
      <c r="JM227" s="41">
        <v>190.85</v>
      </c>
      <c r="JN227" s="1034">
        <v>0.12569444444444444</v>
      </c>
      <c r="JO227" s="41" t="s">
        <v>1238</v>
      </c>
      <c r="JQ227" s="41" t="s">
        <v>1737</v>
      </c>
      <c r="JR227" s="41" t="s">
        <v>1581</v>
      </c>
      <c r="JS227" s="41">
        <v>34.0581</v>
      </c>
      <c r="JT227" s="41">
        <v>-118.2087</v>
      </c>
      <c r="JU227" s="41" t="s">
        <v>1738</v>
      </c>
      <c r="JV227" s="1034">
        <v>0.73125</v>
      </c>
      <c r="JW227" s="41">
        <v>153.31</v>
      </c>
      <c r="JX227" s="1034">
        <v>0.10416666666666667</v>
      </c>
      <c r="JY227" s="41" t="s">
        <v>1230</v>
      </c>
      <c r="JZ227" s="41" t="s">
        <v>1225</v>
      </c>
      <c r="KA227" s="41" t="s">
        <v>1739</v>
      </c>
      <c r="KB227" s="41" t="s">
        <v>1740</v>
      </c>
      <c r="KC227" s="41" t="s">
        <v>1600</v>
      </c>
      <c r="KD227" s="41">
        <v>34.0495</v>
      </c>
      <c r="KE227" s="41">
        <v>-117.2642</v>
      </c>
      <c r="KF227" s="41" t="s">
        <v>1741</v>
      </c>
      <c r="KG227" s="1034">
        <v>0.7159722222222222</v>
      </c>
      <c r="KH227" s="41">
        <v>124.2</v>
      </c>
      <c r="KI227" s="1034">
        <v>0.09513888888888888</v>
      </c>
      <c r="KJ227" s="41" t="s">
        <v>1230</v>
      </c>
      <c r="KL227" s="41" t="s">
        <v>1742</v>
      </c>
      <c r="KM227" s="41" t="s">
        <v>1607</v>
      </c>
      <c r="KN227" s="41">
        <v>33.8085</v>
      </c>
      <c r="KO227" s="41">
        <v>-118.186</v>
      </c>
      <c r="KP227" s="41" t="s">
        <v>1743</v>
      </c>
      <c r="KQ227" s="1034">
        <v>0.7333333333333333</v>
      </c>
      <c r="KR227" s="41">
        <v>173.28</v>
      </c>
      <c r="KS227" s="1034">
        <v>0.11666666666666667</v>
      </c>
      <c r="KT227" s="41" t="s">
        <v>1233</v>
      </c>
      <c r="KV227" s="41" t="s">
        <v>1744</v>
      </c>
      <c r="KW227" s="41" t="s">
        <v>1614</v>
      </c>
      <c r="KX227" s="41">
        <v>34.2068</v>
      </c>
      <c r="KY227" s="41">
        <v>-118.8831</v>
      </c>
      <c r="KZ227" s="41" t="s">
        <v>1745</v>
      </c>
      <c r="LA227" s="1034">
        <v>0.7409722222222223</v>
      </c>
      <c r="LB227" s="41">
        <v>164.03</v>
      </c>
      <c r="LC227" s="1034">
        <v>0.1076388888888889</v>
      </c>
      <c r="LD227" s="41" t="s">
        <v>1233</v>
      </c>
      <c r="LF227" s="41" t="s">
        <v>1746</v>
      </c>
      <c r="LG227" s="41" t="s">
        <v>1627</v>
      </c>
      <c r="LH227" s="41">
        <v>37.9474</v>
      </c>
      <c r="LI227" s="41">
        <v>-122.536</v>
      </c>
      <c r="LJ227" s="41" t="s">
        <v>1747</v>
      </c>
      <c r="LK227" s="1034">
        <v>0.7701388888888889</v>
      </c>
      <c r="LL227" s="41">
        <v>405.87</v>
      </c>
      <c r="LM227" s="1034">
        <v>0.2659722222222222</v>
      </c>
      <c r="LN227" s="41" t="s">
        <v>1238</v>
      </c>
      <c r="LP227" s="41" t="s">
        <v>1748</v>
      </c>
      <c r="LQ227" s="41" t="s">
        <v>1630</v>
      </c>
      <c r="LR227" s="41">
        <v>38.7247</v>
      </c>
      <c r="LS227" s="41">
        <v>-120.7917</v>
      </c>
      <c r="LT227" s="41" t="s">
        <v>1749</v>
      </c>
      <c r="LU227" s="1034">
        <v>0.7361111111111112</v>
      </c>
      <c r="LV227" s="41">
        <v>364.65</v>
      </c>
      <c r="LW227" s="1034">
        <v>0.26875</v>
      </c>
      <c r="LX227" s="41" t="s">
        <v>1238</v>
      </c>
      <c r="LZ227" s="41" t="s">
        <v>1750</v>
      </c>
      <c r="MA227" s="41" t="s">
        <v>1641</v>
      </c>
      <c r="MB227" s="41">
        <v>37.6686</v>
      </c>
      <c r="MC227" s="41">
        <v>-120.9746</v>
      </c>
      <c r="MD227" s="41" t="s">
        <v>1751</v>
      </c>
      <c r="ME227" s="1034">
        <v>0.7472222222222222</v>
      </c>
      <c r="MF227" s="41">
        <v>317.65</v>
      </c>
      <c r="MG227" s="1034">
        <v>0.20902777777777778</v>
      </c>
      <c r="MH227" s="41" t="s">
        <v>1233</v>
      </c>
      <c r="MJ227" s="41" t="s">
        <v>1752</v>
      </c>
      <c r="MK227" s="41" t="s">
        <v>1676</v>
      </c>
      <c r="ML227" s="41">
        <v>33.5619</v>
      </c>
      <c r="MM227" s="41">
        <v>-117.6651</v>
      </c>
      <c r="MN227" s="41" t="s">
        <v>1753</v>
      </c>
      <c r="MO227" s="1034">
        <v>0.7270833333333333</v>
      </c>
      <c r="MP227" s="41">
        <v>170.37</v>
      </c>
      <c r="MQ227" s="1034">
        <v>0.12291666666666666</v>
      </c>
      <c r="MR227" s="41" t="s">
        <v>1233</v>
      </c>
      <c r="MT227" s="41" t="s">
        <v>1754</v>
      </c>
      <c r="MU227" s="41" t="s">
        <v>1755</v>
      </c>
      <c r="MV227" s="41">
        <v>36.6967</v>
      </c>
      <c r="MW227" s="41">
        <v>-121.6331</v>
      </c>
      <c r="MX227" s="41" t="s">
        <v>1756</v>
      </c>
      <c r="MY227" s="1034">
        <v>0.7652777777777777</v>
      </c>
      <c r="MZ227" s="41">
        <v>319.04</v>
      </c>
      <c r="NA227" s="1034">
        <v>0.21666666666666667</v>
      </c>
      <c r="NB227" s="41" t="s">
        <v>1233</v>
      </c>
      <c r="ND227" s="41" t="s">
        <v>1757</v>
      </c>
      <c r="NE227" s="41" t="s">
        <v>1758</v>
      </c>
      <c r="NF227" s="41">
        <v>38.262</v>
      </c>
      <c r="NG227" s="41">
        <v>-122.0473</v>
      </c>
      <c r="NH227" s="41" t="s">
        <v>1759</v>
      </c>
      <c r="NI227" s="1034">
        <v>0.7604166666666666</v>
      </c>
      <c r="NJ227" s="41">
        <v>408.47</v>
      </c>
      <c r="NK227" s="1034">
        <v>0.2638888888888889</v>
      </c>
      <c r="NL227" s="41" t="s">
        <v>1233</v>
      </c>
      <c r="NN227" s="41" t="s">
        <v>1760</v>
      </c>
      <c r="NO227" s="41" t="s">
        <v>1761</v>
      </c>
      <c r="NP227" s="41">
        <v>33.7543</v>
      </c>
      <c r="NQ227" s="41">
        <v>-117.8328</v>
      </c>
      <c r="NR227" s="41" t="s">
        <v>1762</v>
      </c>
      <c r="NS227" s="1034">
        <v>0.7277777777777777</v>
      </c>
      <c r="NT227" s="41">
        <v>158.04</v>
      </c>
      <c r="NU227" s="1034">
        <v>0.11527777777777778</v>
      </c>
      <c r="NV227" s="41" t="s">
        <v>1233</v>
      </c>
      <c r="NW227" s="41" t="s">
        <v>1225</v>
      </c>
      <c r="NX227" s="41" t="s">
        <v>1763</v>
      </c>
      <c r="NY227" s="41" t="s">
        <v>1764</v>
      </c>
      <c r="NZ227" s="41" t="s">
        <v>1765</v>
      </c>
      <c r="OA227" s="41">
        <v>33.0979</v>
      </c>
      <c r="OB227" s="41">
        <v>-117.1109</v>
      </c>
      <c r="OC227" s="41" t="s">
        <v>1766</v>
      </c>
      <c r="OD227" s="1034">
        <v>0.7222222222222222</v>
      </c>
      <c r="OE227" s="41">
        <v>196.39</v>
      </c>
      <c r="OF227" s="1034">
        <v>0.13958333333333334</v>
      </c>
      <c r="OG227" s="41" t="s">
        <v>1233</v>
      </c>
      <c r="OI227" s="41" t="s">
        <v>1767</v>
      </c>
      <c r="OJ227" s="41" t="s">
        <v>1768</v>
      </c>
      <c r="OK227" s="41">
        <v>34.2798</v>
      </c>
      <c r="OL227" s="41">
        <v>-118.46</v>
      </c>
      <c r="OM227" s="41" t="s">
        <v>1769</v>
      </c>
      <c r="ON227" s="1034">
        <v>0.7333333333333333</v>
      </c>
      <c r="OO227" s="41">
        <v>132.04</v>
      </c>
      <c r="OP227" s="1034">
        <v>0.08819444444444445</v>
      </c>
      <c r="OQ227" s="41" t="s">
        <v>1233</v>
      </c>
      <c r="OS227" s="41" t="s">
        <v>1770</v>
      </c>
      <c r="OT227" s="41" t="s">
        <v>1771</v>
      </c>
      <c r="OU227" s="41">
        <v>38.3245</v>
      </c>
      <c r="OV227" s="41">
        <v>-122.2971</v>
      </c>
      <c r="OW227" s="41" t="s">
        <v>1772</v>
      </c>
      <c r="OX227" s="1034">
        <v>0.7638888888888888</v>
      </c>
      <c r="OY227" s="41">
        <v>418.49</v>
      </c>
      <c r="OZ227" s="1034">
        <v>0.2722222222222222</v>
      </c>
      <c r="PA227" s="41" t="s">
        <v>1238</v>
      </c>
      <c r="PC227" s="41" t="s">
        <v>1773</v>
      </c>
      <c r="PD227" s="41" t="s">
        <v>1774</v>
      </c>
      <c r="PE227" s="41">
        <v>37.3622</v>
      </c>
      <c r="PF227" s="41">
        <v>-121.849</v>
      </c>
      <c r="PG227" s="41" t="s">
        <v>1775</v>
      </c>
      <c r="PH227" s="1034">
        <v>0.7638888888888888</v>
      </c>
      <c r="PI227" s="41">
        <v>354.64</v>
      </c>
      <c r="PJ227" s="1034">
        <v>0.23402777777777778</v>
      </c>
      <c r="PK227" s="41" t="s">
        <v>1233</v>
      </c>
      <c r="PM227" s="41" t="s">
        <v>1776</v>
      </c>
      <c r="PN227" s="41" t="s">
        <v>1777</v>
      </c>
      <c r="PO227" s="41">
        <v>33.9772</v>
      </c>
      <c r="PP227" s="41">
        <v>-117.3816</v>
      </c>
      <c r="PQ227" s="41" t="s">
        <v>1778</v>
      </c>
      <c r="PR227" s="1034">
        <v>0.71875</v>
      </c>
      <c r="PS227" s="41">
        <v>129.15</v>
      </c>
      <c r="PT227" s="1034">
        <v>0.09722222222222222</v>
      </c>
      <c r="PU227" s="41" t="s">
        <v>1233</v>
      </c>
      <c r="PW227" s="41" t="s">
        <v>1779</v>
      </c>
      <c r="PX227" s="41" t="s">
        <v>1780</v>
      </c>
      <c r="PY227" s="41">
        <v>34.0665</v>
      </c>
      <c r="PZ227" s="41">
        <v>-118.4466</v>
      </c>
      <c r="QA227" s="41" t="s">
        <v>1781</v>
      </c>
      <c r="QB227" s="1034">
        <v>0.7354166666666667</v>
      </c>
      <c r="QC227" s="41">
        <v>147.34</v>
      </c>
      <c r="QD227" s="1034">
        <v>0.10069444444444445</v>
      </c>
      <c r="QE227" s="41" t="s">
        <v>1230</v>
      </c>
      <c r="QG227" s="41" t="s">
        <v>1782</v>
      </c>
      <c r="QH227" s="41" t="s">
        <v>1783</v>
      </c>
      <c r="QI227" s="41">
        <v>37.8867</v>
      </c>
      <c r="QJ227" s="41">
        <v>-121.2826</v>
      </c>
      <c r="QK227" s="41" t="s">
        <v>1784</v>
      </c>
      <c r="QL227" s="1034">
        <v>0.75</v>
      </c>
      <c r="QM227" s="41">
        <v>339.81</v>
      </c>
      <c r="QN227" s="1034">
        <v>0.22152777777777777</v>
      </c>
      <c r="QO227" s="41" t="s">
        <v>1238</v>
      </c>
      <c r="QQ227" s="41" t="s">
        <v>1785</v>
      </c>
      <c r="QS227" s="41">
        <v>-119.7242</v>
      </c>
      <c r="QT227" s="41" t="s">
        <v>1786</v>
      </c>
      <c r="QU227" s="1034">
        <v>0.7527777777777778</v>
      </c>
      <c r="QV227" s="41">
        <v>209.6</v>
      </c>
      <c r="QW227" s="1034">
        <v>0.14027777777777778</v>
      </c>
      <c r="QX227" s="41" t="s">
        <v>1230</v>
      </c>
      <c r="QZ227" s="41" t="s">
        <v>1787</v>
      </c>
      <c r="RA227" s="41" t="s">
        <v>1788</v>
      </c>
      <c r="RB227" s="41">
        <v>37.3129</v>
      </c>
      <c r="RC227" s="41">
        <v>-121.9333</v>
      </c>
      <c r="RD227" s="41" t="s">
        <v>1789</v>
      </c>
      <c r="RE227" s="1034">
        <v>0.7652777777777777</v>
      </c>
      <c r="RF227" s="41">
        <v>357.0</v>
      </c>
      <c r="RG227" s="1034">
        <v>0.23680555555555555</v>
      </c>
      <c r="RH227" s="41" t="s">
        <v>1230</v>
      </c>
      <c r="RI227" s="41" t="s">
        <v>1225</v>
      </c>
      <c r="RJ227" s="41" t="s">
        <v>1790</v>
      </c>
      <c r="RK227" s="41" t="s">
        <v>1791</v>
      </c>
      <c r="RL227" s="41" t="s">
        <v>1792</v>
      </c>
      <c r="RM227" s="41">
        <v>38.4438</v>
      </c>
      <c r="RN227" s="41">
        <v>-122.7011</v>
      </c>
      <c r="RO227" s="41" t="s">
        <v>1793</v>
      </c>
      <c r="RP227" s="1034">
        <v>0.7694444444444445</v>
      </c>
      <c r="RQ227" s="41">
        <v>443.03</v>
      </c>
      <c r="RR227" s="1034">
        <v>0.28888888888888886</v>
      </c>
      <c r="RS227" s="41" t="s">
        <v>1233</v>
      </c>
      <c r="RU227" s="41" t="s">
        <v>1794</v>
      </c>
      <c r="RV227" s="41" t="s">
        <v>1795</v>
      </c>
      <c r="RW227" s="41">
        <v>32.8852</v>
      </c>
      <c r="RX227" s="41">
        <v>-117.2255</v>
      </c>
      <c r="RY227" s="41" t="s">
        <v>1796</v>
      </c>
      <c r="RZ227" s="1034">
        <v>0.7263888888888889</v>
      </c>
      <c r="SA227" s="41">
        <v>219.02</v>
      </c>
      <c r="SB227" s="1034">
        <v>0.1527777777777778</v>
      </c>
      <c r="SC227" s="41" t="s">
        <v>1233</v>
      </c>
      <c r="SE227" s="41" t="s">
        <v>1797</v>
      </c>
      <c r="SF227" s="41" t="s">
        <v>1798</v>
      </c>
      <c r="SG227" s="41">
        <v>32.7516</v>
      </c>
      <c r="SH227" s="41">
        <v>-117.1604</v>
      </c>
      <c r="SI227" s="41" t="s">
        <v>1799</v>
      </c>
      <c r="SJ227" s="1034">
        <v>0.7263888888888889</v>
      </c>
      <c r="SK227" s="41">
        <v>221.95</v>
      </c>
      <c r="SL227" s="1034">
        <v>0.15416666666666667</v>
      </c>
      <c r="SM227" s="41" t="s">
        <v>1230</v>
      </c>
      <c r="SO227" s="41" t="s">
        <v>1800</v>
      </c>
      <c r="SP227" s="41" t="s">
        <v>1801</v>
      </c>
      <c r="SQ227" s="41">
        <v>32.7997</v>
      </c>
      <c r="SR227" s="41">
        <v>-117.1546</v>
      </c>
      <c r="SS227" s="41" t="s">
        <v>1802</v>
      </c>
      <c r="ST227" s="1034">
        <v>0.7256944444444444</v>
      </c>
      <c r="SU227" s="41">
        <v>219.43</v>
      </c>
      <c r="SV227" s="1034">
        <v>0.1527777777777778</v>
      </c>
      <c r="SW227" s="41" t="s">
        <v>1233</v>
      </c>
      <c r="SY227" s="41" t="s">
        <v>1803</v>
      </c>
      <c r="SZ227" s="41" t="s">
        <v>1804</v>
      </c>
      <c r="TA227" s="41">
        <v>35.2922</v>
      </c>
      <c r="TB227" s="41">
        <v>-120.6658</v>
      </c>
      <c r="TC227" s="41" t="s">
        <v>1805</v>
      </c>
      <c r="TD227" s="1034">
        <v>0.7611111111111111</v>
      </c>
      <c r="TE227" s="41">
        <v>249.66</v>
      </c>
      <c r="TF227" s="1034">
        <v>0.17222222222222222</v>
      </c>
      <c r="TG227" s="41" t="s">
        <v>1238</v>
      </c>
      <c r="TI227" s="41" t="s">
        <v>1806</v>
      </c>
      <c r="TJ227" s="41" t="s">
        <v>1807</v>
      </c>
      <c r="TK227" s="41">
        <v>37.4331</v>
      </c>
      <c r="TL227" s="41">
        <v>-122.175</v>
      </c>
      <c r="TM227" s="41" t="s">
        <v>1808</v>
      </c>
      <c r="TN227" s="1034">
        <v>0.7680555555555556</v>
      </c>
      <c r="TO227" s="41">
        <v>374.21</v>
      </c>
      <c r="TP227" s="1034">
        <v>0.24791666666666667</v>
      </c>
      <c r="TQ227" s="41" t="s">
        <v>1230</v>
      </c>
      <c r="TS227" s="41" t="s">
        <v>1809</v>
      </c>
      <c r="TT227" s="41" t="s">
        <v>1810</v>
      </c>
      <c r="TU227" s="41">
        <v>37.6983</v>
      </c>
      <c r="TV227" s="41">
        <v>-122.0903</v>
      </c>
      <c r="TW227" s="41" t="s">
        <v>1811</v>
      </c>
      <c r="TX227" s="1034">
        <v>0.7652777777777777</v>
      </c>
      <c r="TY227" s="41">
        <v>371.37</v>
      </c>
      <c r="TZ227" s="1034">
        <v>0.24027777777777778</v>
      </c>
      <c r="UA227" s="41" t="s">
        <v>1233</v>
      </c>
      <c r="UC227" s="41" t="s">
        <v>1812</v>
      </c>
      <c r="UD227" s="41" t="s">
        <v>1813</v>
      </c>
      <c r="UE227" s="41">
        <v>38.766</v>
      </c>
      <c r="UF227" s="41">
        <v>-121.2496</v>
      </c>
      <c r="UG227" s="41" t="s">
        <v>1814</v>
      </c>
      <c r="UH227" s="1034">
        <v>0.74375</v>
      </c>
      <c r="UI227" s="41">
        <v>406.09</v>
      </c>
      <c r="UJ227" s="1034">
        <v>0.2625</v>
      </c>
      <c r="UK227" s="41" t="s">
        <v>1233</v>
      </c>
      <c r="UM227" s="41" t="s">
        <v>1815</v>
      </c>
      <c r="UO227" s="41">
        <v>-117.8883</v>
      </c>
      <c r="UP227" s="41" t="s">
        <v>1816</v>
      </c>
      <c r="UQ227" s="1034">
        <v>0.7284722222222222</v>
      </c>
      <c r="UR227" s="41">
        <v>158.07</v>
      </c>
      <c r="US227" s="1034">
        <v>0.11805555555555555</v>
      </c>
      <c r="UT227" s="41" t="s">
        <v>1230</v>
      </c>
      <c r="UU227" s="41" t="s">
        <v>1225</v>
      </c>
      <c r="UV227" s="41" t="s">
        <v>1817</v>
      </c>
      <c r="UW227" s="41" t="s">
        <v>1818</v>
      </c>
      <c r="UX227" s="41" t="s">
        <v>1819</v>
      </c>
      <c r="UY227" s="41">
        <v>32.7543</v>
      </c>
      <c r="UZ227" s="41">
        <v>-117.1661</v>
      </c>
      <c r="VA227" s="41" t="s">
        <v>1820</v>
      </c>
      <c r="VB227" s="1034">
        <v>0.7263888888888889</v>
      </c>
      <c r="VC227" s="41">
        <v>222.28</v>
      </c>
      <c r="VD227" s="1034">
        <v>0.15555555555555556</v>
      </c>
      <c r="VE227" s="41" t="s">
        <v>1230</v>
      </c>
      <c r="VF227" s="41" t="s">
        <v>1225</v>
      </c>
      <c r="VG227" s="41" t="s">
        <v>1821</v>
      </c>
      <c r="VH227" s="41" t="s">
        <v>1822</v>
      </c>
      <c r="VI227" s="41" t="s">
        <v>1823</v>
      </c>
      <c r="VJ227" s="41" t="s">
        <v>1824</v>
      </c>
      <c r="VK227" s="41">
        <v>38.5549</v>
      </c>
      <c r="VL227" s="41">
        <v>-121.4546</v>
      </c>
      <c r="VM227" s="41" t="s">
        <v>1825</v>
      </c>
      <c r="VN227" s="1034">
        <v>0.7486111111111111</v>
      </c>
      <c r="VO227" s="41">
        <v>387.92</v>
      </c>
      <c r="VP227" s="1034">
        <v>0.2520833333333333</v>
      </c>
      <c r="VQ227" s="41" t="s">
        <v>1230</v>
      </c>
      <c r="VR227" s="41" t="s">
        <v>1225</v>
      </c>
      <c r="VS227" s="41" t="s">
        <v>1826</v>
      </c>
      <c r="VT227" s="41" t="s">
        <v>1827</v>
      </c>
      <c r="VU227" s="41" t="s">
        <v>1828</v>
      </c>
      <c r="VV227" s="41">
        <v>34.277</v>
      </c>
      <c r="VW227" s="41">
        <v>-119.2521</v>
      </c>
      <c r="VX227" s="41" t="s">
        <v>1829</v>
      </c>
      <c r="VY227" s="1034">
        <v>0.7465277777777778</v>
      </c>
      <c r="VZ227" s="41">
        <v>177.76</v>
      </c>
      <c r="WA227" s="1034">
        <v>0.12152777777777778</v>
      </c>
      <c r="WB227" s="41" t="s">
        <v>1233</v>
      </c>
      <c r="WD227" s="41" t="s">
        <v>1830</v>
      </c>
      <c r="WE227" s="41" t="s">
        <v>1831</v>
      </c>
      <c r="WF227" s="41">
        <v>37.7557</v>
      </c>
      <c r="WG227" s="41">
        <v>-122.4047</v>
      </c>
      <c r="WH227" s="41" t="s">
        <v>1832</v>
      </c>
      <c r="WI227" s="1034">
        <v>0.7694444444444445</v>
      </c>
      <c r="WJ227" s="41">
        <v>397.17</v>
      </c>
      <c r="WK227" s="1034">
        <v>0.25972222222222224</v>
      </c>
      <c r="WL227" s="41" t="s">
        <v>1230</v>
      </c>
      <c r="WM227" s="41" t="s">
        <v>1225</v>
      </c>
      <c r="WN227" s="41" t="s">
        <v>1833</v>
      </c>
      <c r="WO227" s="41" t="s">
        <v>1834</v>
      </c>
      <c r="WP227" s="41" t="s">
        <v>1305</v>
      </c>
      <c r="WQ227" s="41">
        <v>37.7894</v>
      </c>
      <c r="WR227" s="41">
        <v>-122.4167</v>
      </c>
      <c r="WS227" s="41" t="s">
        <v>1835</v>
      </c>
      <c r="WT227" s="1034">
        <v>0.7694444444444445</v>
      </c>
      <c r="WU227" s="41">
        <v>395.44</v>
      </c>
      <c r="WV227" s="1034">
        <v>0.2611111111111111</v>
      </c>
      <c r="WW227" s="41" t="s">
        <v>1306</v>
      </c>
      <c r="WX227" s="41" t="s">
        <v>1225</v>
      </c>
      <c r="WY227" s="41" t="s">
        <v>1836</v>
      </c>
      <c r="WZ227" s="41" t="s">
        <v>1837</v>
      </c>
      <c r="XA227" s="41" t="s">
        <v>1838</v>
      </c>
      <c r="XB227" s="41">
        <v>34.2029</v>
      </c>
      <c r="XC227" s="41">
        <v>-118.6288</v>
      </c>
      <c r="XD227" s="41" t="s">
        <v>1839</v>
      </c>
      <c r="XE227" s="1034">
        <v>0.7368055555555556</v>
      </c>
      <c r="XF227" s="41">
        <v>146.74</v>
      </c>
      <c r="XG227" s="1034">
        <v>0.10208333333333333</v>
      </c>
      <c r="XI227" s="41" t="s">
        <v>1840</v>
      </c>
      <c r="XJ227" s="41" t="s">
        <v>1841</v>
      </c>
      <c r="XK227" s="41" t="s">
        <v>1842</v>
      </c>
      <c r="XL227" s="41">
        <v>33.8308</v>
      </c>
      <c r="XM227" s="41">
        <v>-118.2926</v>
      </c>
      <c r="XN227" s="41" t="s">
        <v>1719</v>
      </c>
      <c r="XO227" s="1034">
        <v>0.7347222222222223</v>
      </c>
      <c r="XP227" s="41">
        <v>167.74</v>
      </c>
      <c r="XQ227" s="1034">
        <v>0.1125</v>
      </c>
      <c r="XR227" s="41" t="s">
        <v>1230</v>
      </c>
      <c r="XS227" s="41" t="s">
        <v>1225</v>
      </c>
      <c r="XT227" s="41" t="s">
        <v>1843</v>
      </c>
      <c r="XU227" s="41" t="s">
        <v>1844</v>
      </c>
      <c r="XV227" s="41" t="s">
        <v>1845</v>
      </c>
      <c r="XW227" s="41">
        <v>39.1047</v>
      </c>
      <c r="XX227" s="41">
        <v>-122.907</v>
      </c>
      <c r="XY227" s="41" t="s">
        <v>1846</v>
      </c>
      <c r="XZ227" s="1034">
        <v>0.7680555555555556</v>
      </c>
      <c r="YA227" s="41">
        <v>508.37</v>
      </c>
      <c r="YB227" s="1034">
        <v>0.3368055555555556</v>
      </c>
      <c r="YC227" s="41" t="s">
        <v>1247</v>
      </c>
      <c r="YE227" s="41" t="s">
        <v>1847</v>
      </c>
      <c r="YF227" s="41" t="s">
        <v>1262</v>
      </c>
      <c r="YG227" s="41">
        <v>39.1531</v>
      </c>
      <c r="YH227" s="41">
        <v>-123.2029</v>
      </c>
      <c r="YI227" s="41" t="s">
        <v>1848</v>
      </c>
      <c r="YJ227" s="1034">
        <v>0.7729166666666667</v>
      </c>
      <c r="YK227" s="41">
        <v>502.59</v>
      </c>
      <c r="YL227" s="1034">
        <v>0.3263888888888889</v>
      </c>
      <c r="YM227" s="41" t="s">
        <v>1247</v>
      </c>
      <c r="YO227" s="41" t="s">
        <v>1849</v>
      </c>
      <c r="YP227" s="41" t="s">
        <v>1850</v>
      </c>
      <c r="YQ227" s="41">
        <v>39.3899</v>
      </c>
      <c r="YR227" s="41">
        <v>-123.3389</v>
      </c>
      <c r="YS227" s="41" t="s">
        <v>1851</v>
      </c>
      <c r="YT227" s="1034">
        <v>0.7729166666666667</v>
      </c>
      <c r="YU227" s="41">
        <v>523.43</v>
      </c>
      <c r="YV227" s="1034">
        <v>0.33958333333333335</v>
      </c>
      <c r="YW227" s="41" t="s">
        <v>1247</v>
      </c>
      <c r="YY227" s="41" t="s">
        <v>1852</v>
      </c>
      <c r="YZ227" s="41" t="s">
        <v>1853</v>
      </c>
      <c r="ZA227" s="41">
        <v>32.6819</v>
      </c>
      <c r="ZB227" s="41">
        <v>-114.6354</v>
      </c>
      <c r="ZC227" s="41" t="s">
        <v>1854</v>
      </c>
      <c r="ZD227" s="1034">
        <v>0.6854166666666667</v>
      </c>
      <c r="ZE227" s="41">
        <v>338.4</v>
      </c>
      <c r="ZF227" s="1034">
        <v>0.23194444444444445</v>
      </c>
      <c r="ZG227" s="41" t="s">
        <v>1247</v>
      </c>
      <c r="ZI227" s="41" t="s">
        <v>1855</v>
      </c>
      <c r="ZJ227" s="41" t="s">
        <v>1412</v>
      </c>
      <c r="ZK227" s="41">
        <v>32.7804</v>
      </c>
      <c r="ZL227" s="41">
        <v>-115.5686</v>
      </c>
      <c r="ZM227" s="41" t="s">
        <v>1856</v>
      </c>
      <c r="ZN227" s="1034">
        <v>0.7</v>
      </c>
      <c r="ZO227" s="41">
        <v>278.62</v>
      </c>
      <c r="ZP227" s="1034">
        <v>0.19236111111111112</v>
      </c>
      <c r="ZQ227" s="41" t="s">
        <v>1247</v>
      </c>
      <c r="ZS227" s="41" t="s">
        <v>1857</v>
      </c>
      <c r="ZT227" s="41" t="s">
        <v>1858</v>
      </c>
      <c r="ZU227" s="41">
        <v>32.9587</v>
      </c>
      <c r="ZV227" s="41">
        <v>-115.5544</v>
      </c>
      <c r="ZW227" s="41" t="s">
        <v>1859</v>
      </c>
      <c r="ZX227" s="1034">
        <v>0.6979166666666666</v>
      </c>
      <c r="ZY227" s="41">
        <v>264.83</v>
      </c>
      <c r="ZZ227" s="1034">
        <v>0.1840277777777778</v>
      </c>
      <c r="AAA227" s="41" t="s">
        <v>1247</v>
      </c>
      <c r="AAC227" s="41" t="s">
        <v>1860</v>
      </c>
      <c r="AAD227" s="41" t="s">
        <v>1469</v>
      </c>
      <c r="AAE227" s="41">
        <v>34.4804</v>
      </c>
      <c r="AAF227" s="41">
        <v>-114.3389</v>
      </c>
      <c r="AAG227" s="41" t="s">
        <v>1861</v>
      </c>
      <c r="AAH227" s="1034">
        <v>0.6638888888888889</v>
      </c>
      <c r="AAI227" s="41">
        <v>266.68</v>
      </c>
      <c r="AAJ227" s="1034">
        <v>0.1798611111111111</v>
      </c>
      <c r="AAK227" s="41" t="s">
        <v>1238</v>
      </c>
      <c r="AAM227" s="41" t="s">
        <v>1862</v>
      </c>
      <c r="AAN227" s="41" t="s">
        <v>1578</v>
      </c>
      <c r="AAO227" s="41">
        <v>34.1356</v>
      </c>
      <c r="AAP227" s="41">
        <v>-114.2848</v>
      </c>
      <c r="AAQ227" s="41" t="s">
        <v>1863</v>
      </c>
      <c r="AAR227" s="1034">
        <v>0.6659722222222222</v>
      </c>
      <c r="AAS227" s="41">
        <v>292.65</v>
      </c>
      <c r="AAT227" s="1034">
        <v>0.19791666666666666</v>
      </c>
      <c r="AAU227" s="41" t="s">
        <v>1247</v>
      </c>
      <c r="AAW227" s="41" t="s">
        <v>1864</v>
      </c>
      <c r="AAX227" s="41" t="s">
        <v>1865</v>
      </c>
      <c r="AAY227" s="41">
        <v>33.9121</v>
      </c>
      <c r="AAZ227" s="41">
        <v>-117.1957</v>
      </c>
      <c r="ABA227" s="41" t="s">
        <v>1866</v>
      </c>
      <c r="ABB227" s="1034">
        <v>0.7159722222222222</v>
      </c>
      <c r="ABC227" s="41">
        <v>140.03</v>
      </c>
      <c r="ABD227" s="1034">
        <v>0.10486111111111111</v>
      </c>
      <c r="ABE227" s="41" t="s">
        <v>1233</v>
      </c>
      <c r="ABG227" s="41" t="s">
        <v>1867</v>
      </c>
      <c r="ABH227" s="41" t="s">
        <v>1367</v>
      </c>
      <c r="ABI227" s="41">
        <v>33.8387</v>
      </c>
      <c r="ABJ227" s="41">
        <v>-116.5435</v>
      </c>
      <c r="ABK227" s="41" t="s">
        <v>1868</v>
      </c>
      <c r="ABL227" s="1034">
        <v>0.70625</v>
      </c>
      <c r="ABM227" s="41">
        <v>171.09</v>
      </c>
      <c r="ABN227" s="1034">
        <v>0.12291666666666666</v>
      </c>
      <c r="ABO227" s="41" t="s">
        <v>1233</v>
      </c>
      <c r="ABQ227" s="41" t="s">
        <v>1869</v>
      </c>
      <c r="ABR227" s="41" t="s">
        <v>1870</v>
      </c>
      <c r="ABS227" s="41">
        <v>35.6409</v>
      </c>
      <c r="ABT227" s="41">
        <v>-117.6712</v>
      </c>
      <c r="ABU227" s="41" t="s">
        <v>1871</v>
      </c>
      <c r="ABV227" s="1034">
        <v>0.7083333333333334</v>
      </c>
      <c r="ABW227" s="41">
        <v>1.41</v>
      </c>
      <c r="ABX227" s="1034">
        <v>0.002777777777777778</v>
      </c>
      <c r="ABY227" s="41" t="s">
        <v>1247</v>
      </c>
      <c r="ACA227" s="41" t="s">
        <v>1872</v>
      </c>
      <c r="ACB227" s="41" t="s">
        <v>1783</v>
      </c>
      <c r="ACC227" s="41">
        <v>37.8867</v>
      </c>
      <c r="ACD227" s="41">
        <v>-121.2826</v>
      </c>
      <c r="ACE227" s="41" t="s">
        <v>1784</v>
      </c>
      <c r="ACF227" s="1034">
        <v>0.75</v>
      </c>
      <c r="ACG227" s="41">
        <v>339.81</v>
      </c>
      <c r="ACH227" s="1034">
        <v>0.22152777777777777</v>
      </c>
      <c r="ACI227" s="41" t="s">
        <v>1238</v>
      </c>
      <c r="ACK227" s="41" t="s">
        <v>1873</v>
      </c>
      <c r="ACL227" s="41" t="s">
        <v>1571</v>
      </c>
      <c r="ACM227" s="41">
        <v>35.3829</v>
      </c>
      <c r="ACN227" s="41">
        <v>-118.9705</v>
      </c>
      <c r="ACO227" s="41" t="s">
        <v>1874</v>
      </c>
      <c r="ACP227" s="1034">
        <v>0.7319444444444444</v>
      </c>
      <c r="ACQ227" s="41">
        <v>110.1</v>
      </c>
      <c r="ACR227" s="1034">
        <v>0.07847222222222222</v>
      </c>
      <c r="ACS227" s="41" t="s">
        <v>1233</v>
      </c>
      <c r="ACU227" s="41" t="s">
        <v>1875</v>
      </c>
      <c r="ACV227" s="41" t="s">
        <v>1424</v>
      </c>
      <c r="ACW227" s="41">
        <v>41.7193</v>
      </c>
      <c r="ACX227" s="41">
        <v>-122.6457</v>
      </c>
      <c r="ACY227" s="41" t="s">
        <v>1876</v>
      </c>
      <c r="ACZ227" s="1034">
        <v>0.7479166666666667</v>
      </c>
      <c r="ADA227" s="41">
        <v>645.25</v>
      </c>
      <c r="ADB227" s="1034">
        <v>0.41458333333333336</v>
      </c>
      <c r="ADC227" s="41" t="s">
        <v>1247</v>
      </c>
      <c r="ADE227" s="41" t="s">
        <v>1877</v>
      </c>
      <c r="ADF227" s="41" t="s">
        <v>1593</v>
      </c>
      <c r="ADG227" s="41">
        <v>42.1811</v>
      </c>
      <c r="ADH227" s="41">
        <v>-120.3526</v>
      </c>
      <c r="ADI227" s="41" t="s">
        <v>1878</v>
      </c>
      <c r="ADJ227" s="1034">
        <v>0.7083333333333334</v>
      </c>
      <c r="ADK227" s="41">
        <v>562.6</v>
      </c>
      <c r="ADL227" s="1034">
        <v>0.38819444444444445</v>
      </c>
      <c r="ADM227" s="41" t="s">
        <v>1247</v>
      </c>
      <c r="ADO227" s="41" t="s">
        <v>1879</v>
      </c>
      <c r="ADP227" s="41" t="s">
        <v>1880</v>
      </c>
      <c r="ADQ227" s="41">
        <v>42.2529</v>
      </c>
      <c r="ADR227" s="41">
        <v>-121.785</v>
      </c>
      <c r="ADS227" s="41" t="s">
        <v>1881</v>
      </c>
      <c r="ADT227" s="1034">
        <v>0.73125</v>
      </c>
      <c r="ADU227" s="41">
        <v>593.3</v>
      </c>
      <c r="ADV227" s="1034">
        <v>0.4152777777777778</v>
      </c>
      <c r="ADW227" s="41" t="s">
        <v>1238</v>
      </c>
      <c r="ADY227" s="41" t="s">
        <v>1882</v>
      </c>
      <c r="ADZ227" s="41" t="s">
        <v>1280</v>
      </c>
      <c r="AEA227" s="41">
        <v>42.206</v>
      </c>
      <c r="AEB227" s="41">
        <v>-122.725</v>
      </c>
      <c r="AEC227" s="41" t="s">
        <v>1883</v>
      </c>
      <c r="AED227" s="1034">
        <v>0.7465277777777778</v>
      </c>
      <c r="AEE227" s="41">
        <v>688.85</v>
      </c>
      <c r="AEF227" s="1034">
        <v>0.44583333333333336</v>
      </c>
      <c r="AEG227" s="41" t="s">
        <v>1247</v>
      </c>
      <c r="AEI227" s="41" t="s">
        <v>1884</v>
      </c>
      <c r="AEJ227" s="41" t="s">
        <v>1284</v>
      </c>
      <c r="AEK227" s="41">
        <v>42.3175</v>
      </c>
      <c r="AEL227" s="41">
        <v>-122.8312</v>
      </c>
      <c r="AEM227" s="41" t="s">
        <v>1885</v>
      </c>
      <c r="AEN227" s="1034">
        <v>0.7472222222222222</v>
      </c>
      <c r="AEO227" s="41">
        <v>695.91</v>
      </c>
      <c r="AEP227" s="1034">
        <v>0.45</v>
      </c>
      <c r="AEQ227" s="41" t="s">
        <v>1233</v>
      </c>
      <c r="AES227" s="41" t="s">
        <v>1886</v>
      </c>
      <c r="AET227" s="41" t="s">
        <v>1887</v>
      </c>
      <c r="AEU227" s="41">
        <v>42.3396</v>
      </c>
      <c r="AEV227" s="41">
        <v>-122.8626</v>
      </c>
      <c r="AEW227" s="41" t="s">
        <v>1888</v>
      </c>
      <c r="AEX227" s="1034">
        <v>0.7479166666666667</v>
      </c>
      <c r="AEY227" s="41">
        <v>697.33</v>
      </c>
      <c r="AEZ227" s="1034">
        <v>0.4527777777777778</v>
      </c>
      <c r="AFA227" s="41" t="s">
        <v>1238</v>
      </c>
      <c r="AFC227" s="41" t="s">
        <v>1889</v>
      </c>
      <c r="AFD227" s="41" t="s">
        <v>1287</v>
      </c>
      <c r="AFE227" s="41">
        <v>42.4212</v>
      </c>
      <c r="AFF227" s="41">
        <v>-123.3426</v>
      </c>
      <c r="AFG227" s="41" t="s">
        <v>1890</v>
      </c>
      <c r="AFH227" s="1034">
        <v>0.7548611111111111</v>
      </c>
      <c r="AFI227" s="41">
        <v>726.37</v>
      </c>
      <c r="AFJ227" s="1034">
        <v>0.47152777777777777</v>
      </c>
      <c r="AFK227" s="41" t="s">
        <v>1247</v>
      </c>
      <c r="AFM227" s="41" t="s">
        <v>1891</v>
      </c>
      <c r="AFN227" s="41" t="s">
        <v>1892</v>
      </c>
      <c r="AFO227" s="41">
        <v>39.5255</v>
      </c>
      <c r="AFP227" s="41">
        <v>-119.7952</v>
      </c>
      <c r="AFQ227" s="41" t="s">
        <v>1893</v>
      </c>
      <c r="AFR227" s="1034">
        <v>0.7145833333333333</v>
      </c>
      <c r="AFS227" s="41">
        <v>339.38</v>
      </c>
      <c r="AFT227" s="1034">
        <v>0.23958333333333334</v>
      </c>
      <c r="AFU227" s="41" t="s">
        <v>1233</v>
      </c>
      <c r="AFW227" s="41" t="s">
        <v>1894</v>
      </c>
      <c r="AFX227" s="41" t="s">
        <v>1895</v>
      </c>
      <c r="AFY227" s="41">
        <v>36.1609</v>
      </c>
      <c r="AFZ227" s="41">
        <v>-115.1681</v>
      </c>
      <c r="AGA227" s="41" t="s">
        <v>1896</v>
      </c>
      <c r="AGB227" s="1034">
        <v>0.6631944444444444</v>
      </c>
      <c r="AGC227" s="41">
        <v>236.78</v>
      </c>
      <c r="AGD227" s="1034">
        <v>0.15208333333333332</v>
      </c>
      <c r="AGE227" s="41" t="s">
        <v>1230</v>
      </c>
      <c r="AGF227" s="41" t="s">
        <v>1897</v>
      </c>
      <c r="AGG227" s="41" t="s">
        <v>1898</v>
      </c>
      <c r="AGH227" s="41" t="s">
        <v>1215</v>
      </c>
      <c r="AGI227" s="41" t="s">
        <v>1216</v>
      </c>
      <c r="AGJ227" s="41" t="s">
        <v>1185</v>
      </c>
      <c r="AGK227" s="41" t="s">
        <v>1186</v>
      </c>
      <c r="AGL227" s="41" t="s">
        <v>1201</v>
      </c>
      <c r="AGM227" s="41" t="s">
        <v>1219</v>
      </c>
      <c r="AGN227" s="41" t="s">
        <v>1220</v>
      </c>
      <c r="AGO227" s="41" t="s">
        <v>1681</v>
      </c>
      <c r="AGP227" s="41" t="s">
        <v>1217</v>
      </c>
      <c r="AGQ227" s="41" t="s">
        <v>1218</v>
      </c>
      <c r="AGR227" s="41" t="s">
        <v>1682</v>
      </c>
      <c r="AGS227" s="41" t="s">
        <v>1683</v>
      </c>
      <c r="AGT227" s="41" t="s">
        <v>1237</v>
      </c>
      <c r="AGU227" s="41">
        <v>39.1382</v>
      </c>
      <c r="AGV227" s="41">
        <v>-121.5942</v>
      </c>
      <c r="AGW227" s="41" t="s">
        <v>1684</v>
      </c>
      <c r="AGX227" s="1034">
        <v>0.7465277777777778</v>
      </c>
      <c r="AGY227" s="41">
        <v>430.16</v>
      </c>
      <c r="AGZ227" s="1034">
        <v>0.27569444444444446</v>
      </c>
      <c r="AHA227" s="41" t="s">
        <v>1238</v>
      </c>
      <c r="AHC227" s="41" t="s">
        <v>1685</v>
      </c>
      <c r="AHD227" s="41" t="s">
        <v>1273</v>
      </c>
      <c r="AHE227" s="41">
        <v>34.6885</v>
      </c>
      <c r="AHF227" s="41">
        <v>-118.1585</v>
      </c>
      <c r="AHG227" s="41" t="s">
        <v>1686</v>
      </c>
      <c r="AHH227" s="1034">
        <v>0.725</v>
      </c>
      <c r="AHI227" s="41">
        <v>83.8</v>
      </c>
      <c r="AHJ227" s="1034">
        <v>0.059027777777777776</v>
      </c>
      <c r="AHK227" s="41" t="s">
        <v>1233</v>
      </c>
      <c r="AHM227" s="41" t="s">
        <v>1687</v>
      </c>
      <c r="AHN227" s="41" t="s">
        <v>1277</v>
      </c>
      <c r="AHO227" s="41">
        <v>34.0741</v>
      </c>
      <c r="AHP227" s="41">
        <v>-117.3511</v>
      </c>
      <c r="AHQ227" s="41" t="s">
        <v>1688</v>
      </c>
      <c r="AHR227" s="1034">
        <v>0.7173611111111111</v>
      </c>
      <c r="AHS227" s="41">
        <v>124.37</v>
      </c>
      <c r="AHT227" s="1034">
        <v>0.09375</v>
      </c>
      <c r="AHU227" s="41" t="s">
        <v>1233</v>
      </c>
      <c r="AHV227" s="41" t="s">
        <v>1225</v>
      </c>
      <c r="AHW227" s="41" t="s">
        <v>1689</v>
      </c>
      <c r="AHX227" s="41" t="s">
        <v>1690</v>
      </c>
      <c r="AHY227" s="41" t="s">
        <v>1298</v>
      </c>
      <c r="AHZ227" s="41">
        <v>38.9122</v>
      </c>
      <c r="AIA227" s="41">
        <v>-119.9966</v>
      </c>
      <c r="AIB227" s="41" t="s">
        <v>1691</v>
      </c>
      <c r="AIC227" s="1034">
        <v>0.7222222222222222</v>
      </c>
      <c r="AID227" s="41">
        <v>317.55</v>
      </c>
      <c r="AIE227" s="1034">
        <v>0.23125</v>
      </c>
      <c r="AIF227" s="41" t="s">
        <v>1238</v>
      </c>
      <c r="AIH227" s="41" t="s">
        <v>1692</v>
      </c>
      <c r="AII227" s="41" t="s">
        <v>1321</v>
      </c>
      <c r="AIJ227" s="41">
        <v>34.0752</v>
      </c>
      <c r="AIK227" s="41">
        <v>-118.3802</v>
      </c>
      <c r="AIL227" s="41" t="s">
        <v>1693</v>
      </c>
      <c r="AIM227" s="1034">
        <v>0.7340277777777777</v>
      </c>
      <c r="AIN227" s="41">
        <v>152.18</v>
      </c>
      <c r="AIO227" s="1034">
        <v>0.10833333333333334</v>
      </c>
      <c r="AIP227" s="41" t="s">
        <v>1230</v>
      </c>
      <c r="AIR227" s="41" t="s">
        <v>1694</v>
      </c>
      <c r="AIS227" s="41" t="s">
        <v>1358</v>
      </c>
      <c r="AIT227" s="41">
        <v>36.7429</v>
      </c>
      <c r="AIU227" s="41">
        <v>-119.7844</v>
      </c>
      <c r="AIV227" s="41" t="s">
        <v>1695</v>
      </c>
      <c r="AIW227" s="1034">
        <v>0.7347222222222223</v>
      </c>
      <c r="AIX227" s="41">
        <v>221.95</v>
      </c>
      <c r="AIY227" s="1034">
        <v>0.1451388888888889</v>
      </c>
      <c r="AIZ227" s="41" t="s">
        <v>1230</v>
      </c>
      <c r="AJA227" s="41" t="s">
        <v>1225</v>
      </c>
      <c r="AJB227" s="41" t="s">
        <v>1696</v>
      </c>
      <c r="AJC227" s="41" t="s">
        <v>1697</v>
      </c>
      <c r="AJD227" s="41" t="s">
        <v>1372</v>
      </c>
      <c r="AJE227" s="41">
        <v>34.0375</v>
      </c>
      <c r="AJF227" s="41">
        <v>-118.2661</v>
      </c>
      <c r="AJG227" s="41" t="s">
        <v>1698</v>
      </c>
      <c r="AJH227" s="1034">
        <v>0.7326388888888888</v>
      </c>
      <c r="AJI227" s="41">
        <v>156.27</v>
      </c>
      <c r="AJJ227" s="1034">
        <v>0.10833333333333334</v>
      </c>
      <c r="AJK227" s="41" t="s">
        <v>1233</v>
      </c>
      <c r="AJM227" s="41" t="s">
        <v>1699</v>
      </c>
      <c r="AJN227" s="41" t="s">
        <v>1375</v>
      </c>
      <c r="AJO227" s="41">
        <v>34.9509</v>
      </c>
      <c r="AJP227" s="41">
        <v>-120.4132</v>
      </c>
      <c r="AJQ227" s="41" t="s">
        <v>1700</v>
      </c>
      <c r="AJR227" s="1034">
        <v>0.7597222222222222</v>
      </c>
      <c r="AJS227" s="41">
        <v>218.34</v>
      </c>
      <c r="AJT227" s="1034">
        <v>0.16041666666666668</v>
      </c>
      <c r="AJU227" s="41" t="s">
        <v>1238</v>
      </c>
      <c r="AJW227" s="41" t="s">
        <v>1701</v>
      </c>
      <c r="AJX227" s="41" t="s">
        <v>1378</v>
      </c>
      <c r="AJY227" s="41">
        <v>41.3187</v>
      </c>
      <c r="AJZ227" s="41">
        <v>-122.3209</v>
      </c>
      <c r="AKA227" s="41" t="s">
        <v>1702</v>
      </c>
      <c r="AKB227" s="1034">
        <v>0.7444444444444445</v>
      </c>
      <c r="AKC227" s="41">
        <v>609.85</v>
      </c>
      <c r="AKD227" s="1034">
        <v>0.3909722222222222</v>
      </c>
      <c r="AKE227" s="41" t="s">
        <v>1238</v>
      </c>
      <c r="AKG227" s="41" t="s">
        <v>1703</v>
      </c>
      <c r="AKH227" s="41" t="s">
        <v>1381</v>
      </c>
      <c r="AKI227" s="41">
        <v>40.572</v>
      </c>
      <c r="AKJ227" s="41">
        <v>-122.3952</v>
      </c>
      <c r="AKK227" s="41" t="s">
        <v>1704</v>
      </c>
      <c r="AKL227" s="1034">
        <v>0.75</v>
      </c>
      <c r="AKM227" s="41">
        <v>552.37</v>
      </c>
      <c r="AKN227" s="1034">
        <v>0.35347222222222224</v>
      </c>
      <c r="AKO227" s="41" t="s">
        <v>1233</v>
      </c>
      <c r="AKQ227" s="41" t="s">
        <v>1705</v>
      </c>
      <c r="AKR227" s="41" t="s">
        <v>1384</v>
      </c>
      <c r="AKS227" s="41">
        <v>38.6693</v>
      </c>
      <c r="AKT227" s="41">
        <v>-121.314</v>
      </c>
      <c r="AKU227" s="41" t="s">
        <v>1706</v>
      </c>
      <c r="AKV227" s="1034">
        <v>0.7451388888888889</v>
      </c>
      <c r="AKW227" s="41">
        <v>400.34</v>
      </c>
      <c r="AKX227" s="1034">
        <v>0.2590277777777778</v>
      </c>
      <c r="AKY227" s="41" t="s">
        <v>1233</v>
      </c>
      <c r="ALA227" s="41" t="s">
        <v>1707</v>
      </c>
      <c r="ALB227" s="41" t="s">
        <v>1708</v>
      </c>
      <c r="ALC227" s="41">
        <v>34.2208</v>
      </c>
      <c r="ALD227" s="41">
        <v>-118.5331</v>
      </c>
      <c r="ALE227" s="41" t="s">
        <v>1709</v>
      </c>
      <c r="ALF227" s="1034">
        <v>0.7354166666666667</v>
      </c>
      <c r="ALG227" s="41">
        <v>138.28</v>
      </c>
      <c r="ALH227" s="1034">
        <v>0.09375</v>
      </c>
      <c r="ALI227" s="41" t="s">
        <v>1233</v>
      </c>
      <c r="ALK227" s="41" t="s">
        <v>1710</v>
      </c>
      <c r="ALL227" s="41" t="s">
        <v>1390</v>
      </c>
      <c r="ALM227" s="41">
        <v>40.1486</v>
      </c>
      <c r="ALN227" s="41">
        <v>-122.219</v>
      </c>
      <c r="ALO227" s="41" t="s">
        <v>1711</v>
      </c>
      <c r="ALP227" s="1034">
        <v>0.75</v>
      </c>
      <c r="ALQ227" s="41">
        <v>518.05</v>
      </c>
      <c r="ALR227" s="1034">
        <v>0.3284722222222222</v>
      </c>
      <c r="ALS227" s="41" t="s">
        <v>1238</v>
      </c>
      <c r="ALU227" s="41" t="s">
        <v>1712</v>
      </c>
      <c r="ALV227" s="41" t="s">
        <v>1393</v>
      </c>
      <c r="ALW227" s="41">
        <v>33.78</v>
      </c>
      <c r="ALX227" s="41">
        <v>-118.186</v>
      </c>
      <c r="ALY227" s="41" t="s">
        <v>1713</v>
      </c>
      <c r="ALZ227" s="1034">
        <v>0.7333333333333333</v>
      </c>
      <c r="AMA227" s="41">
        <v>175.6</v>
      </c>
      <c r="AMB227" s="1034">
        <v>0.12013888888888889</v>
      </c>
      <c r="AMC227" s="41" t="s">
        <v>1233</v>
      </c>
      <c r="AME227" s="41" t="s">
        <v>1714</v>
      </c>
      <c r="AMF227" s="41" t="s">
        <v>1398</v>
      </c>
      <c r="AMG227" s="41">
        <v>37.6658</v>
      </c>
      <c r="AMH227" s="41">
        <v>-120.9973</v>
      </c>
      <c r="AMI227" s="41" t="s">
        <v>1715</v>
      </c>
      <c r="AMJ227" s="1034">
        <v>0.7472222222222222</v>
      </c>
      <c r="AMK227" s="41">
        <v>318.0</v>
      </c>
      <c r="AML227" s="1034">
        <v>0.20694444444444443</v>
      </c>
      <c r="AMM227" s="41" t="s">
        <v>1233</v>
      </c>
      <c r="AMO227" s="41" t="s">
        <v>1716</v>
      </c>
      <c r="AMP227" s="41" t="s">
        <v>1421</v>
      </c>
      <c r="AMQ227" s="41">
        <v>39.7426</v>
      </c>
      <c r="AMR227" s="41">
        <v>-121.8497</v>
      </c>
      <c r="AMS227" s="41" t="s">
        <v>1717</v>
      </c>
      <c r="AMT227" s="1034">
        <v>0.7465277777777778</v>
      </c>
      <c r="AMU227" s="41">
        <v>476.54</v>
      </c>
      <c r="AMV227" s="1034">
        <v>0.3138888888888889</v>
      </c>
      <c r="AMW227" s="41" t="s">
        <v>1233</v>
      </c>
      <c r="AMY227" s="41" t="s">
        <v>1718</v>
      </c>
      <c r="AMZ227" s="41" t="s">
        <v>1466</v>
      </c>
      <c r="ANA227" s="41">
        <v>33.8308</v>
      </c>
      <c r="ANB227" s="41">
        <v>-118.2926</v>
      </c>
      <c r="ANC227" s="41" t="s">
        <v>1719</v>
      </c>
      <c r="AND227" s="1034">
        <v>0.7347222222222223</v>
      </c>
      <c r="ANE227" s="41">
        <v>167.74</v>
      </c>
      <c r="ANF227" s="1034">
        <v>0.1125</v>
      </c>
      <c r="ANG227" s="41" t="s">
        <v>1230</v>
      </c>
      <c r="ANI227" s="41" t="s">
        <v>1720</v>
      </c>
      <c r="ANJ227" s="41" t="s">
        <v>1478</v>
      </c>
      <c r="ANK227" s="41">
        <v>34.3979</v>
      </c>
      <c r="ANL227" s="41">
        <v>-118.5539</v>
      </c>
      <c r="ANM227" s="41" t="s">
        <v>1721</v>
      </c>
      <c r="ANN227" s="1034">
        <v>0.7340277777777777</v>
      </c>
      <c r="ANO227" s="41">
        <v>132.97</v>
      </c>
      <c r="ANP227" s="1034">
        <v>0.08888888888888889</v>
      </c>
      <c r="ANQ227" s="41" t="s">
        <v>1233</v>
      </c>
      <c r="ANS227" s="41" t="s">
        <v>1722</v>
      </c>
      <c r="ANT227" s="41" t="s">
        <v>1483</v>
      </c>
      <c r="ANU227" s="41">
        <v>37.7986</v>
      </c>
      <c r="ANV227" s="41">
        <v>-122.2317</v>
      </c>
      <c r="ANW227" s="41" t="s">
        <v>1723</v>
      </c>
      <c r="ANX227" s="1034">
        <v>0.7666666666666667</v>
      </c>
      <c r="ANY227" s="41">
        <v>383.14</v>
      </c>
      <c r="ANZ227" s="1034">
        <v>0.24722222222222223</v>
      </c>
      <c r="AOA227" s="41" t="s">
        <v>1230</v>
      </c>
      <c r="AOC227" s="41" t="s">
        <v>1724</v>
      </c>
      <c r="AOD227" s="41" t="s">
        <v>1492</v>
      </c>
      <c r="AOE227" s="41">
        <v>34.1339</v>
      </c>
      <c r="AOF227" s="41">
        <v>-118.1521</v>
      </c>
      <c r="AOG227" s="41" t="s">
        <v>1725</v>
      </c>
      <c r="AOH227" s="1034">
        <v>0.7298611111111111</v>
      </c>
      <c r="AOI227" s="41">
        <v>154.06</v>
      </c>
      <c r="AOJ227" s="1034">
        <v>0.10138888888888889</v>
      </c>
      <c r="AOK227" s="41" t="s">
        <v>1233</v>
      </c>
      <c r="AOM227" s="41" t="s">
        <v>1726</v>
      </c>
      <c r="AON227" s="41" t="s">
        <v>1495</v>
      </c>
      <c r="AOO227" s="41">
        <v>33.5917</v>
      </c>
      <c r="AOP227" s="41">
        <v>-117.2377</v>
      </c>
      <c r="AOQ227" s="41" t="s">
        <v>1727</v>
      </c>
      <c r="AOR227" s="1034">
        <v>0.7194444444444444</v>
      </c>
      <c r="AOS227" s="41">
        <v>163.15</v>
      </c>
      <c r="AOT227" s="1034">
        <v>0.11736111111111111</v>
      </c>
      <c r="AOU227" s="41" t="s">
        <v>1233</v>
      </c>
      <c r="AOW227" s="41" t="s">
        <v>1728</v>
      </c>
      <c r="AOX227" s="41" t="s">
        <v>1505</v>
      </c>
      <c r="AOY227" s="41">
        <v>37.9129</v>
      </c>
      <c r="AOZ227" s="41">
        <v>-122.0409</v>
      </c>
      <c r="APA227" s="41" t="s">
        <v>1729</v>
      </c>
      <c r="APB227" s="1034">
        <v>0.7625</v>
      </c>
      <c r="APC227" s="41">
        <v>379.66</v>
      </c>
      <c r="APD227" s="1034">
        <v>0.2465277777777778</v>
      </c>
      <c r="APE227" s="41" t="s">
        <v>1233</v>
      </c>
      <c r="APG227" s="41" t="s">
        <v>1730</v>
      </c>
      <c r="APH227" s="41" t="s">
        <v>1538</v>
      </c>
      <c r="API227" s="41">
        <v>38.3882</v>
      </c>
      <c r="APJ227" s="41">
        <v>-121.9388</v>
      </c>
      <c r="APK227" s="41" t="s">
        <v>1731</v>
      </c>
      <c r="APL227" s="1034">
        <v>0.7576388888888889</v>
      </c>
      <c r="APM227" s="41">
        <v>416.89</v>
      </c>
      <c r="APN227" s="1034">
        <v>0.2673611111111111</v>
      </c>
      <c r="APO227" s="41" t="s">
        <v>1233</v>
      </c>
      <c r="APQ227" s="41" t="s">
        <v>1732</v>
      </c>
      <c r="APR227" s="41" t="s">
        <v>1564</v>
      </c>
      <c r="APS227" s="41">
        <v>38.4699</v>
      </c>
      <c r="APT227" s="41">
        <v>-121.4216</v>
      </c>
      <c r="APU227" s="41" t="s">
        <v>1733</v>
      </c>
      <c r="APV227" s="1034">
        <v>0.7486111111111111</v>
      </c>
      <c r="APW227" s="41">
        <v>379.97</v>
      </c>
      <c r="APX227" s="1034">
        <v>0.24583333333333332</v>
      </c>
      <c r="APY227" s="41" t="s">
        <v>1233</v>
      </c>
      <c r="AQA227" s="41" t="s">
        <v>1734</v>
      </c>
      <c r="AQB227" s="41" t="s">
        <v>1735</v>
      </c>
      <c r="AQC227" s="41">
        <v>36.3286</v>
      </c>
      <c r="AQD227" s="41">
        <v>-119.295</v>
      </c>
      <c r="AQE227" s="41" t="s">
        <v>1736</v>
      </c>
      <c r="AQF227" s="1034">
        <v>0.7298611111111111</v>
      </c>
      <c r="AQG227" s="41">
        <v>190.85</v>
      </c>
      <c r="AQH227" s="1034">
        <v>0.12569444444444444</v>
      </c>
      <c r="AQI227" s="41" t="s">
        <v>1238</v>
      </c>
      <c r="AQK227" s="41" t="s">
        <v>1737</v>
      </c>
      <c r="AQL227" s="41" t="s">
        <v>1581</v>
      </c>
      <c r="AQM227" s="41">
        <v>34.0581</v>
      </c>
      <c r="AQN227" s="41">
        <v>-118.2087</v>
      </c>
      <c r="AQO227" s="41" t="s">
        <v>1738</v>
      </c>
      <c r="AQP227" s="1034">
        <v>0.73125</v>
      </c>
      <c r="AQQ227" s="41">
        <v>153.31</v>
      </c>
      <c r="AQR227" s="1034">
        <v>0.10416666666666667</v>
      </c>
      <c r="AQS227" s="41" t="s">
        <v>1230</v>
      </c>
      <c r="AQT227" s="41" t="s">
        <v>1225</v>
      </c>
      <c r="AQU227" s="41" t="s">
        <v>1739</v>
      </c>
      <c r="AQV227" s="41" t="s">
        <v>1740</v>
      </c>
      <c r="AQW227" s="41" t="s">
        <v>1600</v>
      </c>
      <c r="AQX227" s="41">
        <v>34.0495</v>
      </c>
      <c r="AQY227" s="41">
        <v>-117.2642</v>
      </c>
      <c r="AQZ227" s="41" t="s">
        <v>1741</v>
      </c>
      <c r="ARA227" s="1034">
        <v>0.7159722222222222</v>
      </c>
      <c r="ARB227" s="41">
        <v>124.2</v>
      </c>
      <c r="ARC227" s="1034">
        <v>0.09513888888888888</v>
      </c>
      <c r="ARD227" s="41" t="s">
        <v>1230</v>
      </c>
      <c r="ARF227" s="41" t="s">
        <v>1742</v>
      </c>
      <c r="ARG227" s="41" t="s">
        <v>1607</v>
      </c>
      <c r="ARH227" s="41">
        <v>33.8085</v>
      </c>
      <c r="ARI227" s="41">
        <v>-118.186</v>
      </c>
      <c r="ARJ227" s="41" t="s">
        <v>1743</v>
      </c>
      <c r="ARK227" s="1034">
        <v>0.7333333333333333</v>
      </c>
      <c r="ARL227" s="41">
        <v>173.28</v>
      </c>
      <c r="ARM227" s="1034">
        <v>0.11666666666666667</v>
      </c>
      <c r="ARN227" s="41" t="s">
        <v>1233</v>
      </c>
      <c r="ARP227" s="41" t="s">
        <v>1744</v>
      </c>
      <c r="ARQ227" s="41" t="s">
        <v>1614</v>
      </c>
      <c r="ARR227" s="41">
        <v>34.2068</v>
      </c>
      <c r="ARS227" s="41">
        <v>-118.8831</v>
      </c>
      <c r="ART227" s="41" t="s">
        <v>1745</v>
      </c>
      <c r="ARU227" s="1034">
        <v>0.7409722222222223</v>
      </c>
      <c r="ARV227" s="41">
        <v>164.03</v>
      </c>
      <c r="ARW227" s="1034">
        <v>0.1076388888888889</v>
      </c>
      <c r="ARX227" s="41" t="s">
        <v>1233</v>
      </c>
      <c r="ARZ227" s="41" t="s">
        <v>1746</v>
      </c>
      <c r="ASA227" s="41" t="s">
        <v>1627</v>
      </c>
      <c r="ASB227" s="41">
        <v>37.9474</v>
      </c>
      <c r="ASC227" s="41">
        <v>-122.536</v>
      </c>
      <c r="ASD227" s="41" t="s">
        <v>1747</v>
      </c>
      <c r="ASE227" s="1034">
        <v>0.7701388888888889</v>
      </c>
      <c r="ASF227" s="41">
        <v>405.87</v>
      </c>
      <c r="ASG227" s="1034">
        <v>0.2659722222222222</v>
      </c>
      <c r="ASH227" s="41" t="s">
        <v>1238</v>
      </c>
      <c r="ASJ227" s="41" t="s">
        <v>1748</v>
      </c>
      <c r="ASK227" s="41" t="s">
        <v>1630</v>
      </c>
      <c r="ASL227" s="41">
        <v>38.7247</v>
      </c>
      <c r="ASM227" s="41">
        <v>-120.7917</v>
      </c>
      <c r="ASN227" s="41" t="s">
        <v>1749</v>
      </c>
      <c r="ASO227" s="1034">
        <v>0.7361111111111112</v>
      </c>
      <c r="ASP227" s="41">
        <v>364.65</v>
      </c>
      <c r="ASQ227" s="1034">
        <v>0.26875</v>
      </c>
      <c r="ASR227" s="41" t="s">
        <v>1238</v>
      </c>
      <c r="AST227" s="41" t="s">
        <v>1750</v>
      </c>
      <c r="ASU227" s="41" t="s">
        <v>1641</v>
      </c>
      <c r="ASV227" s="41">
        <v>37.6686</v>
      </c>
      <c r="ASW227" s="41">
        <v>-120.9746</v>
      </c>
      <c r="ASX227" s="41" t="s">
        <v>1751</v>
      </c>
      <c r="ASY227" s="1034">
        <v>0.7472222222222222</v>
      </c>
      <c r="ASZ227" s="41">
        <v>317.65</v>
      </c>
      <c r="ATA227" s="1034">
        <v>0.20902777777777778</v>
      </c>
      <c r="ATB227" s="41" t="s">
        <v>1233</v>
      </c>
      <c r="ATD227" s="41" t="s">
        <v>1752</v>
      </c>
      <c r="ATE227" s="41" t="s">
        <v>1676</v>
      </c>
      <c r="ATF227" s="41">
        <v>33.5619</v>
      </c>
      <c r="ATG227" s="41">
        <v>-117.6651</v>
      </c>
      <c r="ATH227" s="41" t="s">
        <v>1753</v>
      </c>
      <c r="ATI227" s="1034">
        <v>0.7270833333333333</v>
      </c>
      <c r="ATJ227" s="41">
        <v>170.37</v>
      </c>
      <c r="ATK227" s="1034">
        <v>0.12291666666666666</v>
      </c>
      <c r="ATL227" s="41" t="s">
        <v>1233</v>
      </c>
      <c r="ATN227" s="41" t="s">
        <v>1754</v>
      </c>
      <c r="ATO227" s="41" t="s">
        <v>1755</v>
      </c>
      <c r="ATP227" s="41">
        <v>36.6967</v>
      </c>
      <c r="ATQ227" s="41">
        <v>-121.6331</v>
      </c>
      <c r="ATR227" s="41" t="s">
        <v>1756</v>
      </c>
      <c r="ATS227" s="1034">
        <v>0.7652777777777777</v>
      </c>
      <c r="ATT227" s="41">
        <v>319.04</v>
      </c>
      <c r="ATU227" s="1034">
        <v>0.21666666666666667</v>
      </c>
      <c r="ATV227" s="41" t="s">
        <v>1233</v>
      </c>
      <c r="ATX227" s="41" t="s">
        <v>1757</v>
      </c>
      <c r="ATY227" s="41" t="s">
        <v>1758</v>
      </c>
      <c r="ATZ227" s="41">
        <v>38.262</v>
      </c>
      <c r="AUA227" s="41">
        <v>-122.0473</v>
      </c>
      <c r="AUB227" s="41" t="s">
        <v>1759</v>
      </c>
      <c r="AUC227" s="1034">
        <v>0.7604166666666666</v>
      </c>
      <c r="AUD227" s="41">
        <v>408.47</v>
      </c>
      <c r="AUE227" s="1034">
        <v>0.2638888888888889</v>
      </c>
      <c r="AUF227" s="41" t="s">
        <v>1233</v>
      </c>
      <c r="AUH227" s="41" t="s">
        <v>1760</v>
      </c>
      <c r="AUI227" s="41" t="s">
        <v>1761</v>
      </c>
      <c r="AUJ227" s="41">
        <v>33.7543</v>
      </c>
      <c r="AUK227" s="41">
        <v>-117.8328</v>
      </c>
      <c r="AUL227" s="41" t="s">
        <v>1762</v>
      </c>
      <c r="AUM227" s="1034">
        <v>0.7277777777777777</v>
      </c>
      <c r="AUN227" s="41">
        <v>158.04</v>
      </c>
      <c r="AUO227" s="1034">
        <v>0.11527777777777778</v>
      </c>
      <c r="AUP227" s="41" t="s">
        <v>1233</v>
      </c>
      <c r="AUQ227" s="41" t="s">
        <v>1225</v>
      </c>
      <c r="AUR227" s="41" t="s">
        <v>1763</v>
      </c>
      <c r="AUS227" s="41" t="s">
        <v>1764</v>
      </c>
      <c r="AUT227" s="41" t="s">
        <v>1765</v>
      </c>
      <c r="AUU227" s="41">
        <v>33.0979</v>
      </c>
      <c r="AUV227" s="41">
        <v>-117.1109</v>
      </c>
      <c r="AUW227" s="41" t="s">
        <v>1766</v>
      </c>
      <c r="AUX227" s="1034">
        <v>0.7222222222222222</v>
      </c>
      <c r="AUY227" s="41">
        <v>196.39</v>
      </c>
      <c r="AUZ227" s="1034">
        <v>0.13958333333333334</v>
      </c>
      <c r="AVA227" s="41" t="s">
        <v>1233</v>
      </c>
      <c r="AVC227" s="41" t="s">
        <v>1767</v>
      </c>
      <c r="AVD227" s="41" t="s">
        <v>1768</v>
      </c>
      <c r="AVE227" s="41">
        <v>34.2798</v>
      </c>
      <c r="AVF227" s="41">
        <v>-118.46</v>
      </c>
      <c r="AVG227" s="41" t="s">
        <v>1769</v>
      </c>
      <c r="AVH227" s="1034">
        <v>0.7333333333333333</v>
      </c>
      <c r="AVI227" s="41">
        <v>132.04</v>
      </c>
      <c r="AVJ227" s="1034">
        <v>0.08819444444444445</v>
      </c>
      <c r="AVK227" s="41" t="s">
        <v>1233</v>
      </c>
      <c r="AVM227" s="41" t="s">
        <v>1770</v>
      </c>
      <c r="AVN227" s="41" t="s">
        <v>1771</v>
      </c>
      <c r="AVO227" s="41">
        <v>38.3245</v>
      </c>
      <c r="AVP227" s="41">
        <v>-122.2971</v>
      </c>
      <c r="AVQ227" s="41" t="s">
        <v>1772</v>
      </c>
      <c r="AVR227" s="1034">
        <v>0.7638888888888888</v>
      </c>
      <c r="AVS227" s="41">
        <v>418.49</v>
      </c>
      <c r="AVT227" s="1034">
        <v>0.2722222222222222</v>
      </c>
      <c r="AVU227" s="41" t="s">
        <v>1238</v>
      </c>
      <c r="AVW227" s="41" t="s">
        <v>1773</v>
      </c>
      <c r="AVX227" s="41" t="s">
        <v>1774</v>
      </c>
      <c r="AVY227" s="41">
        <v>37.3622</v>
      </c>
      <c r="AVZ227" s="41">
        <v>-121.849</v>
      </c>
      <c r="AWA227" s="41" t="s">
        <v>1775</v>
      </c>
      <c r="AWB227" s="1034">
        <v>0.7638888888888888</v>
      </c>
      <c r="AWC227" s="41">
        <v>354.64</v>
      </c>
      <c r="AWD227" s="1034">
        <v>0.23402777777777778</v>
      </c>
      <c r="AWE227" s="41" t="s">
        <v>1233</v>
      </c>
      <c r="AWG227" s="41" t="s">
        <v>1776</v>
      </c>
      <c r="AWH227" s="41" t="s">
        <v>1777</v>
      </c>
      <c r="AWI227" s="41">
        <v>33.9772</v>
      </c>
      <c r="AWJ227" s="41">
        <v>-117.3816</v>
      </c>
      <c r="AWK227" s="41" t="s">
        <v>1778</v>
      </c>
      <c r="AWL227" s="1034">
        <v>0.71875</v>
      </c>
      <c r="AWM227" s="41">
        <v>129.15</v>
      </c>
      <c r="AWN227" s="1034">
        <v>0.09722222222222222</v>
      </c>
      <c r="AWO227" s="41" t="s">
        <v>1233</v>
      </c>
      <c r="AWQ227" s="41" t="s">
        <v>1779</v>
      </c>
      <c r="AWR227" s="41" t="s">
        <v>1780</v>
      </c>
      <c r="AWS227" s="41">
        <v>34.0665</v>
      </c>
      <c r="AWT227" s="41">
        <v>-118.4466</v>
      </c>
      <c r="AWU227" s="41" t="s">
        <v>1781</v>
      </c>
      <c r="AWV227" s="1034">
        <v>0.7354166666666667</v>
      </c>
      <c r="AWW227" s="41">
        <v>147.34</v>
      </c>
      <c r="AWX227" s="1034">
        <v>0.10069444444444445</v>
      </c>
      <c r="AWY227" s="41" t="s">
        <v>1230</v>
      </c>
      <c r="AXA227" s="41" t="s">
        <v>1782</v>
      </c>
      <c r="AXB227" s="41" t="s">
        <v>1783</v>
      </c>
      <c r="AXC227" s="41">
        <v>37.8867</v>
      </c>
      <c r="AXD227" s="41">
        <v>-121.2826</v>
      </c>
      <c r="AXE227" s="41" t="s">
        <v>1784</v>
      </c>
      <c r="AXF227" s="1034">
        <v>0.75</v>
      </c>
      <c r="AXG227" s="41">
        <v>339.81</v>
      </c>
      <c r="AXH227" s="1034">
        <v>0.22152777777777777</v>
      </c>
      <c r="AXI227" s="41" t="s">
        <v>1238</v>
      </c>
      <c r="AXK227" s="41" t="s">
        <v>1785</v>
      </c>
      <c r="AXM227" s="41">
        <v>-119.7242</v>
      </c>
      <c r="AXN227" s="41" t="s">
        <v>1786</v>
      </c>
      <c r="AXO227" s="1034">
        <v>0.7527777777777778</v>
      </c>
      <c r="AXP227" s="41">
        <v>209.6</v>
      </c>
      <c r="AXQ227" s="1034">
        <v>0.14027777777777778</v>
      </c>
      <c r="AXR227" s="41" t="s">
        <v>1230</v>
      </c>
      <c r="AXT227" s="41" t="s">
        <v>1787</v>
      </c>
      <c r="AXU227" s="41" t="s">
        <v>1788</v>
      </c>
      <c r="AXV227" s="41">
        <v>37.3129</v>
      </c>
      <c r="AXW227" s="41">
        <v>-121.9333</v>
      </c>
      <c r="AXX227" s="41" t="s">
        <v>1789</v>
      </c>
      <c r="AXY227" s="1034">
        <v>0.7652777777777777</v>
      </c>
      <c r="AXZ227" s="41">
        <v>357.0</v>
      </c>
      <c r="AYA227" s="1034">
        <v>0.23680555555555555</v>
      </c>
      <c r="AYB227" s="41" t="s">
        <v>1230</v>
      </c>
      <c r="AYC227" s="41" t="s">
        <v>1225</v>
      </c>
      <c r="AYD227" s="41" t="s">
        <v>1790</v>
      </c>
      <c r="AYE227" s="41" t="s">
        <v>1791</v>
      </c>
      <c r="AYF227" s="41" t="s">
        <v>1792</v>
      </c>
      <c r="AYG227" s="41">
        <v>38.4438</v>
      </c>
      <c r="AYH227" s="41">
        <v>-122.7011</v>
      </c>
      <c r="AYI227" s="41" t="s">
        <v>1793</v>
      </c>
      <c r="AYJ227" s="1034">
        <v>0.7694444444444445</v>
      </c>
      <c r="AYK227" s="41">
        <v>443.03</v>
      </c>
      <c r="AYL227" s="1034">
        <v>0.28888888888888886</v>
      </c>
      <c r="AYM227" s="41" t="s">
        <v>1233</v>
      </c>
      <c r="AYO227" s="41" t="s">
        <v>1794</v>
      </c>
      <c r="AYP227" s="41" t="s">
        <v>1795</v>
      </c>
      <c r="AYQ227" s="41">
        <v>32.8852</v>
      </c>
      <c r="AYR227" s="41">
        <v>-117.2255</v>
      </c>
      <c r="AYS227" s="41" t="s">
        <v>1796</v>
      </c>
      <c r="AYT227" s="1034">
        <v>0.7263888888888889</v>
      </c>
      <c r="AYU227" s="41">
        <v>219.02</v>
      </c>
      <c r="AYV227" s="1034">
        <v>0.1527777777777778</v>
      </c>
      <c r="AYW227" s="41" t="s">
        <v>1233</v>
      </c>
      <c r="AYY227" s="41" t="s">
        <v>1797</v>
      </c>
      <c r="AYZ227" s="41" t="s">
        <v>1798</v>
      </c>
      <c r="AZA227" s="41">
        <v>32.7516</v>
      </c>
      <c r="AZB227" s="41">
        <v>-117.1604</v>
      </c>
      <c r="AZC227" s="41" t="s">
        <v>1799</v>
      </c>
      <c r="AZD227" s="1034">
        <v>0.7263888888888889</v>
      </c>
      <c r="AZE227" s="41">
        <v>221.95</v>
      </c>
      <c r="AZF227" s="1034">
        <v>0.15416666666666667</v>
      </c>
      <c r="AZG227" s="41" t="s">
        <v>1230</v>
      </c>
      <c r="AZI227" s="41" t="s">
        <v>1800</v>
      </c>
      <c r="AZJ227" s="41" t="s">
        <v>1801</v>
      </c>
      <c r="AZK227" s="41">
        <v>32.7997</v>
      </c>
      <c r="AZL227" s="41">
        <v>-117.1546</v>
      </c>
      <c r="AZM227" s="41" t="s">
        <v>1802</v>
      </c>
      <c r="AZN227" s="1034">
        <v>0.7256944444444444</v>
      </c>
      <c r="AZO227" s="41">
        <v>219.43</v>
      </c>
      <c r="AZP227" s="1034">
        <v>0.1527777777777778</v>
      </c>
      <c r="AZQ227" s="41" t="s">
        <v>1233</v>
      </c>
      <c r="AZS227" s="41" t="s">
        <v>1803</v>
      </c>
      <c r="AZT227" s="41" t="s">
        <v>1804</v>
      </c>
      <c r="AZU227" s="41">
        <v>35.2922</v>
      </c>
      <c r="AZV227" s="41">
        <v>-120.6658</v>
      </c>
      <c r="AZW227" s="41" t="s">
        <v>1805</v>
      </c>
      <c r="AZX227" s="1034">
        <v>0.7611111111111111</v>
      </c>
      <c r="AZY227" s="41">
        <v>249.66</v>
      </c>
      <c r="AZZ227" s="1034">
        <v>0.17222222222222222</v>
      </c>
      <c r="BAA227" s="41" t="s">
        <v>1238</v>
      </c>
      <c r="BAC227" s="41" t="s">
        <v>1806</v>
      </c>
      <c r="BAD227" s="41" t="s">
        <v>1807</v>
      </c>
      <c r="BAE227" s="41">
        <v>37.4331</v>
      </c>
      <c r="BAF227" s="41">
        <v>-122.175</v>
      </c>
      <c r="BAG227" s="41" t="s">
        <v>1808</v>
      </c>
      <c r="BAH227" s="1034">
        <v>0.7680555555555556</v>
      </c>
      <c r="BAI227" s="41">
        <v>374.21</v>
      </c>
      <c r="BAJ227" s="1034">
        <v>0.24791666666666667</v>
      </c>
      <c r="BAK227" s="41" t="s">
        <v>1230</v>
      </c>
      <c r="BAM227" s="41" t="s">
        <v>1809</v>
      </c>
      <c r="BAN227" s="41" t="s">
        <v>1810</v>
      </c>
      <c r="BAO227" s="41">
        <v>37.6983</v>
      </c>
      <c r="BAP227" s="41">
        <v>-122.0903</v>
      </c>
      <c r="BAQ227" s="41" t="s">
        <v>1811</v>
      </c>
      <c r="BAR227" s="1034">
        <v>0.7652777777777777</v>
      </c>
      <c r="BAS227" s="41">
        <v>371.37</v>
      </c>
      <c r="BAT227" s="1034">
        <v>0.24027777777777778</v>
      </c>
      <c r="BAU227" s="41" t="s">
        <v>1233</v>
      </c>
      <c r="BAW227" s="41" t="s">
        <v>1812</v>
      </c>
      <c r="BAX227" s="41" t="s">
        <v>1813</v>
      </c>
      <c r="BAY227" s="41">
        <v>38.766</v>
      </c>
      <c r="BAZ227" s="41">
        <v>-121.2496</v>
      </c>
      <c r="BBA227" s="41" t="s">
        <v>1814</v>
      </c>
      <c r="BBB227" s="1034">
        <v>0.74375</v>
      </c>
      <c r="BBC227" s="41">
        <v>406.09</v>
      </c>
      <c r="BBD227" s="1034">
        <v>0.2625</v>
      </c>
      <c r="BBE227" s="41" t="s">
        <v>1233</v>
      </c>
      <c r="BBG227" s="41" t="s">
        <v>1815</v>
      </c>
      <c r="BBI227" s="41">
        <v>-117.8883</v>
      </c>
      <c r="BBJ227" s="41" t="s">
        <v>1816</v>
      </c>
      <c r="BBK227" s="1034">
        <v>0.7284722222222222</v>
      </c>
      <c r="BBL227" s="41">
        <v>158.07</v>
      </c>
      <c r="BBM227" s="1034">
        <v>0.11805555555555555</v>
      </c>
      <c r="BBN227" s="41" t="s">
        <v>1230</v>
      </c>
      <c r="BBO227" s="41" t="s">
        <v>1225</v>
      </c>
      <c r="BBP227" s="41" t="s">
        <v>1817</v>
      </c>
      <c r="BBQ227" s="41" t="s">
        <v>1818</v>
      </c>
      <c r="BBR227" s="41" t="s">
        <v>1819</v>
      </c>
      <c r="BBS227" s="41">
        <v>32.7543</v>
      </c>
      <c r="BBT227" s="41">
        <v>-117.1661</v>
      </c>
      <c r="BBU227" s="41" t="s">
        <v>1820</v>
      </c>
      <c r="BBV227" s="1034">
        <v>0.7263888888888889</v>
      </c>
      <c r="BBW227" s="41">
        <v>222.28</v>
      </c>
      <c r="BBX227" s="1034">
        <v>0.15555555555555556</v>
      </c>
      <c r="BBY227" s="41" t="s">
        <v>1230</v>
      </c>
      <c r="BBZ227" s="41" t="s">
        <v>1225</v>
      </c>
      <c r="BCA227" s="41" t="s">
        <v>1821</v>
      </c>
      <c r="BCB227" s="41" t="s">
        <v>1822</v>
      </c>
      <c r="BCC227" s="41" t="s">
        <v>1823</v>
      </c>
      <c r="BCD227" s="41" t="s">
        <v>1824</v>
      </c>
      <c r="BCE227" s="41">
        <v>38.5549</v>
      </c>
      <c r="BCF227" s="41">
        <v>-121.4546</v>
      </c>
      <c r="BCG227" s="41" t="s">
        <v>1825</v>
      </c>
      <c r="BCH227" s="1034">
        <v>0.7486111111111111</v>
      </c>
      <c r="BCI227" s="41">
        <v>387.92</v>
      </c>
      <c r="BCJ227" s="1034">
        <v>0.2520833333333333</v>
      </c>
      <c r="BCK227" s="41" t="s">
        <v>1230</v>
      </c>
      <c r="BCL227" s="41" t="s">
        <v>1225</v>
      </c>
      <c r="BCM227" s="41" t="s">
        <v>1826</v>
      </c>
      <c r="BCN227" s="41" t="s">
        <v>1827</v>
      </c>
      <c r="BCO227" s="41" t="s">
        <v>1828</v>
      </c>
      <c r="BCP227" s="41">
        <v>34.277</v>
      </c>
      <c r="BCQ227" s="41">
        <v>-119.2521</v>
      </c>
      <c r="BCR227" s="41" t="s">
        <v>1829</v>
      </c>
      <c r="BCS227" s="1034">
        <v>0.7465277777777778</v>
      </c>
      <c r="BCT227" s="41">
        <v>177.76</v>
      </c>
      <c r="BCU227" s="1034">
        <v>0.12152777777777778</v>
      </c>
      <c r="BCV227" s="41" t="s">
        <v>1233</v>
      </c>
      <c r="BCX227" s="41" t="s">
        <v>1830</v>
      </c>
      <c r="BCY227" s="41" t="s">
        <v>1831</v>
      </c>
      <c r="BCZ227" s="41">
        <v>37.7557</v>
      </c>
      <c r="BDA227" s="41">
        <v>-122.4047</v>
      </c>
      <c r="BDB227" s="41" t="s">
        <v>1832</v>
      </c>
      <c r="BDC227" s="1034">
        <v>0.7694444444444445</v>
      </c>
      <c r="BDD227" s="41">
        <v>397.17</v>
      </c>
      <c r="BDE227" s="1034">
        <v>0.25972222222222224</v>
      </c>
      <c r="BDF227" s="41" t="s">
        <v>1230</v>
      </c>
      <c r="BDG227" s="41" t="s">
        <v>1225</v>
      </c>
      <c r="BDH227" s="41" t="s">
        <v>1833</v>
      </c>
      <c r="BDI227" s="41" t="s">
        <v>1834</v>
      </c>
      <c r="BDJ227" s="41" t="s">
        <v>1305</v>
      </c>
      <c r="BDK227" s="41">
        <v>37.7894</v>
      </c>
      <c r="BDL227" s="41">
        <v>-122.4167</v>
      </c>
      <c r="BDM227" s="41" t="s">
        <v>1835</v>
      </c>
      <c r="BDN227" s="1034">
        <v>0.7694444444444445</v>
      </c>
      <c r="BDO227" s="41">
        <v>395.44</v>
      </c>
      <c r="BDP227" s="1034">
        <v>0.2611111111111111</v>
      </c>
      <c r="BDQ227" s="41" t="s">
        <v>1306</v>
      </c>
      <c r="BDR227" s="41" t="s">
        <v>1225</v>
      </c>
      <c r="BDS227" s="41" t="s">
        <v>1836</v>
      </c>
      <c r="BDT227" s="41" t="s">
        <v>1837</v>
      </c>
      <c r="BDU227" s="41" t="s">
        <v>1838</v>
      </c>
      <c r="BDV227" s="41">
        <v>34.2029</v>
      </c>
      <c r="BDW227" s="41">
        <v>-118.6288</v>
      </c>
      <c r="BDX227" s="41" t="s">
        <v>1839</v>
      </c>
      <c r="BDY227" s="1034">
        <v>0.7368055555555556</v>
      </c>
      <c r="BDZ227" s="41">
        <v>146.74</v>
      </c>
      <c r="BEA227" s="1034">
        <v>0.10208333333333333</v>
      </c>
      <c r="BEC227" s="41" t="s">
        <v>1840</v>
      </c>
      <c r="BED227" s="41" t="s">
        <v>1841</v>
      </c>
      <c r="BEE227" s="41" t="s">
        <v>1842</v>
      </c>
      <c r="BEF227" s="41">
        <v>33.8308</v>
      </c>
      <c r="BEG227" s="41">
        <v>-118.2926</v>
      </c>
      <c r="BEH227" s="41" t="s">
        <v>1719</v>
      </c>
      <c r="BEI227" s="1034">
        <v>0.7347222222222223</v>
      </c>
      <c r="BEJ227" s="41">
        <v>167.74</v>
      </c>
      <c r="BEK227" s="1034">
        <v>0.1125</v>
      </c>
      <c r="BEL227" s="41" t="s">
        <v>1230</v>
      </c>
      <c r="BEM227" s="41" t="s">
        <v>1225</v>
      </c>
      <c r="BEN227" s="41" t="s">
        <v>1843</v>
      </c>
      <c r="BEO227" s="41" t="s">
        <v>1844</v>
      </c>
      <c r="BEP227" s="41" t="s">
        <v>1845</v>
      </c>
      <c r="BEQ227" s="41">
        <v>39.1047</v>
      </c>
      <c r="BER227" s="41">
        <v>-122.907</v>
      </c>
      <c r="BES227" s="41" t="s">
        <v>1846</v>
      </c>
      <c r="BET227" s="1034">
        <v>0.7680555555555556</v>
      </c>
      <c r="BEU227" s="41">
        <v>508.37</v>
      </c>
      <c r="BEV227" s="1034">
        <v>0.3368055555555556</v>
      </c>
      <c r="BEW227" s="41" t="s">
        <v>1247</v>
      </c>
      <c r="BEY227" s="41" t="s">
        <v>1847</v>
      </c>
      <c r="BEZ227" s="41" t="s">
        <v>1262</v>
      </c>
      <c r="BFA227" s="41">
        <v>39.1531</v>
      </c>
      <c r="BFB227" s="41">
        <v>-123.2029</v>
      </c>
      <c r="BFC227" s="41" t="s">
        <v>1848</v>
      </c>
      <c r="BFD227" s="1034">
        <v>0.7729166666666667</v>
      </c>
      <c r="BFE227" s="41">
        <v>502.59</v>
      </c>
      <c r="BFF227" s="1034">
        <v>0.3263888888888889</v>
      </c>
      <c r="BFG227" s="41" t="s">
        <v>1247</v>
      </c>
      <c r="BFI227" s="41" t="s">
        <v>1849</v>
      </c>
      <c r="BFJ227" s="41" t="s">
        <v>1850</v>
      </c>
      <c r="BFK227" s="41">
        <v>39.3899</v>
      </c>
      <c r="BFL227" s="41">
        <v>-123.3389</v>
      </c>
      <c r="BFM227" s="41" t="s">
        <v>1851</v>
      </c>
      <c r="BFN227" s="1034">
        <v>0.7729166666666667</v>
      </c>
      <c r="BFO227" s="41">
        <v>523.43</v>
      </c>
      <c r="BFP227" s="1034">
        <v>0.33958333333333335</v>
      </c>
      <c r="BFQ227" s="41" t="s">
        <v>1247</v>
      </c>
      <c r="BFS227" s="41" t="s">
        <v>1852</v>
      </c>
      <c r="BFT227" s="41" t="s">
        <v>1853</v>
      </c>
      <c r="BFU227" s="41">
        <v>32.6819</v>
      </c>
      <c r="BFV227" s="41">
        <v>-114.6354</v>
      </c>
      <c r="BFW227" s="41" t="s">
        <v>1854</v>
      </c>
      <c r="BFX227" s="1034">
        <v>0.6854166666666667</v>
      </c>
      <c r="BFY227" s="41">
        <v>338.4</v>
      </c>
      <c r="BFZ227" s="1034">
        <v>0.23194444444444445</v>
      </c>
      <c r="BGA227" s="41" t="s">
        <v>1247</v>
      </c>
      <c r="BGC227" s="41" t="s">
        <v>1855</v>
      </c>
      <c r="BGD227" s="41" t="s">
        <v>1412</v>
      </c>
      <c r="BGE227" s="41">
        <v>32.7804</v>
      </c>
      <c r="BGF227" s="41">
        <v>-115.5686</v>
      </c>
      <c r="BGG227" s="41" t="s">
        <v>1856</v>
      </c>
      <c r="BGH227" s="1034">
        <v>0.7</v>
      </c>
      <c r="BGI227" s="41">
        <v>278.62</v>
      </c>
      <c r="BGJ227" s="1034">
        <v>0.19236111111111112</v>
      </c>
      <c r="BGK227" s="41" t="s">
        <v>1247</v>
      </c>
      <c r="BGM227" s="41" t="s">
        <v>1857</v>
      </c>
      <c r="BGN227" s="41" t="s">
        <v>1858</v>
      </c>
      <c r="BGO227" s="41">
        <v>32.9587</v>
      </c>
      <c r="BGP227" s="41">
        <v>-115.5544</v>
      </c>
      <c r="BGQ227" s="41" t="s">
        <v>1859</v>
      </c>
      <c r="BGR227" s="1034">
        <v>0.6979166666666666</v>
      </c>
      <c r="BGS227" s="41">
        <v>264.83</v>
      </c>
      <c r="BGT227" s="1034">
        <v>0.1840277777777778</v>
      </c>
      <c r="BGU227" s="41" t="s">
        <v>1247</v>
      </c>
      <c r="BGW227" s="41" t="s">
        <v>1860</v>
      </c>
      <c r="BGX227" s="41" t="s">
        <v>1469</v>
      </c>
      <c r="BGY227" s="41">
        <v>34.4804</v>
      </c>
      <c r="BGZ227" s="41">
        <v>-114.3389</v>
      </c>
      <c r="BHA227" s="41" t="s">
        <v>1861</v>
      </c>
      <c r="BHB227" s="1034">
        <v>0.6638888888888889</v>
      </c>
      <c r="BHC227" s="41">
        <v>266.68</v>
      </c>
      <c r="BHD227" s="1034">
        <v>0.1798611111111111</v>
      </c>
      <c r="BHE227" s="41" t="s">
        <v>1238</v>
      </c>
      <c r="BHG227" s="41" t="s">
        <v>1862</v>
      </c>
      <c r="BHH227" s="41" t="s">
        <v>1578</v>
      </c>
      <c r="BHI227" s="41">
        <v>34.1356</v>
      </c>
      <c r="BHJ227" s="41">
        <v>-114.2848</v>
      </c>
      <c r="BHK227" s="41" t="s">
        <v>1863</v>
      </c>
      <c r="BHL227" s="1034">
        <v>0.6659722222222222</v>
      </c>
      <c r="BHM227" s="41">
        <v>292.65</v>
      </c>
      <c r="BHN227" s="1034">
        <v>0.19791666666666666</v>
      </c>
      <c r="BHO227" s="41" t="s">
        <v>1247</v>
      </c>
      <c r="BHQ227" s="41" t="s">
        <v>1864</v>
      </c>
      <c r="BHR227" s="41" t="s">
        <v>1865</v>
      </c>
      <c r="BHS227" s="41">
        <v>33.9121</v>
      </c>
      <c r="BHT227" s="41">
        <v>-117.1957</v>
      </c>
      <c r="BHU227" s="41" t="s">
        <v>1866</v>
      </c>
      <c r="BHV227" s="1034">
        <v>0.7159722222222222</v>
      </c>
      <c r="BHW227" s="41">
        <v>140.03</v>
      </c>
      <c r="BHX227" s="1034">
        <v>0.10486111111111111</v>
      </c>
      <c r="BHY227" s="41" t="s">
        <v>1233</v>
      </c>
      <c r="BIA227" s="41" t="s">
        <v>1867</v>
      </c>
      <c r="BIB227" s="41" t="s">
        <v>1367</v>
      </c>
      <c r="BIC227" s="41">
        <v>33.8387</v>
      </c>
      <c r="BID227" s="41">
        <v>-116.5435</v>
      </c>
      <c r="BIE227" s="41" t="s">
        <v>1868</v>
      </c>
      <c r="BIF227" s="1034">
        <v>0.70625</v>
      </c>
      <c r="BIG227" s="41">
        <v>171.09</v>
      </c>
      <c r="BIH227" s="1034">
        <v>0.12291666666666666</v>
      </c>
      <c r="BII227" s="41" t="s">
        <v>1233</v>
      </c>
      <c r="BIK227" s="41" t="s">
        <v>1869</v>
      </c>
      <c r="BIL227" s="41" t="s">
        <v>1870</v>
      </c>
      <c r="BIM227" s="41">
        <v>35.6409</v>
      </c>
      <c r="BIN227" s="41">
        <v>-117.6712</v>
      </c>
      <c r="BIO227" s="41" t="s">
        <v>1871</v>
      </c>
      <c r="BIP227" s="1034">
        <v>0.7083333333333334</v>
      </c>
      <c r="BIQ227" s="41">
        <v>1.41</v>
      </c>
      <c r="BIR227" s="1034">
        <v>0.002777777777777778</v>
      </c>
      <c r="BIS227" s="41" t="s">
        <v>1247</v>
      </c>
      <c r="BIU227" s="41" t="s">
        <v>1872</v>
      </c>
      <c r="BIV227" s="41" t="s">
        <v>1783</v>
      </c>
      <c r="BIW227" s="41">
        <v>37.8867</v>
      </c>
      <c r="BIX227" s="41">
        <v>-121.2826</v>
      </c>
      <c r="BIY227" s="41" t="s">
        <v>1784</v>
      </c>
      <c r="BIZ227" s="1034">
        <v>0.75</v>
      </c>
      <c r="BJA227" s="41">
        <v>339.81</v>
      </c>
      <c r="BJB227" s="1034">
        <v>0.22152777777777777</v>
      </c>
      <c r="BJC227" s="41" t="s">
        <v>1238</v>
      </c>
      <c r="BJE227" s="41" t="s">
        <v>1873</v>
      </c>
      <c r="BJF227" s="41" t="s">
        <v>1571</v>
      </c>
      <c r="BJG227" s="41">
        <v>35.3829</v>
      </c>
      <c r="BJH227" s="41">
        <v>-118.9705</v>
      </c>
      <c r="BJI227" s="41" t="s">
        <v>1874</v>
      </c>
      <c r="BJJ227" s="1034">
        <v>0.7319444444444444</v>
      </c>
      <c r="BJK227" s="41">
        <v>110.1</v>
      </c>
      <c r="BJL227" s="1034">
        <v>0.07847222222222222</v>
      </c>
      <c r="BJM227" s="41" t="s">
        <v>1233</v>
      </c>
      <c r="BJO227" s="41" t="s">
        <v>1875</v>
      </c>
      <c r="BJP227" s="41" t="s">
        <v>1424</v>
      </c>
      <c r="BJQ227" s="41">
        <v>41.7193</v>
      </c>
      <c r="BJR227" s="41">
        <v>-122.6457</v>
      </c>
      <c r="BJS227" s="41" t="s">
        <v>1876</v>
      </c>
      <c r="BJT227" s="1034">
        <v>0.7479166666666667</v>
      </c>
      <c r="BJU227" s="41">
        <v>645.25</v>
      </c>
      <c r="BJV227" s="1034">
        <v>0.41458333333333336</v>
      </c>
      <c r="BJW227" s="41" t="s">
        <v>1247</v>
      </c>
      <c r="BJY227" s="41" t="s">
        <v>1877</v>
      </c>
      <c r="BJZ227" s="41" t="s">
        <v>1593</v>
      </c>
      <c r="BKA227" s="41">
        <v>42.1811</v>
      </c>
      <c r="BKB227" s="41">
        <v>-120.3526</v>
      </c>
      <c r="BKC227" s="41" t="s">
        <v>1878</v>
      </c>
      <c r="BKD227" s="1034">
        <v>0.7083333333333334</v>
      </c>
      <c r="BKE227" s="41">
        <v>562.6</v>
      </c>
      <c r="BKF227" s="1034">
        <v>0.38819444444444445</v>
      </c>
      <c r="BKG227" s="41" t="s">
        <v>1247</v>
      </c>
      <c r="BKI227" s="41" t="s">
        <v>1879</v>
      </c>
      <c r="BKJ227" s="41" t="s">
        <v>1880</v>
      </c>
      <c r="BKK227" s="41">
        <v>42.2529</v>
      </c>
      <c r="BKL227" s="41">
        <v>-121.785</v>
      </c>
      <c r="BKM227" s="41" t="s">
        <v>1881</v>
      </c>
      <c r="BKN227" s="1034">
        <v>0.73125</v>
      </c>
      <c r="BKO227" s="41">
        <v>593.3</v>
      </c>
      <c r="BKP227" s="1034">
        <v>0.4152777777777778</v>
      </c>
      <c r="BKQ227" s="41" t="s">
        <v>1238</v>
      </c>
      <c r="BKS227" s="41" t="s">
        <v>1882</v>
      </c>
      <c r="BKT227" s="41" t="s">
        <v>1280</v>
      </c>
      <c r="BKU227" s="41">
        <v>42.206</v>
      </c>
      <c r="BKV227" s="41">
        <v>-122.725</v>
      </c>
      <c r="BKW227" s="41" t="s">
        <v>1883</v>
      </c>
      <c r="BKX227" s="1034">
        <v>0.7465277777777778</v>
      </c>
      <c r="BKY227" s="41">
        <v>688.85</v>
      </c>
      <c r="BKZ227" s="1034">
        <v>0.44583333333333336</v>
      </c>
      <c r="BLA227" s="41" t="s">
        <v>1247</v>
      </c>
      <c r="BLC227" s="41" t="s">
        <v>1884</v>
      </c>
      <c r="BLD227" s="41" t="s">
        <v>1284</v>
      </c>
      <c r="BLE227" s="41">
        <v>42.3175</v>
      </c>
      <c r="BLF227" s="41">
        <v>-122.8312</v>
      </c>
      <c r="BLG227" s="41" t="s">
        <v>1885</v>
      </c>
      <c r="BLH227" s="1034">
        <v>0.7472222222222222</v>
      </c>
      <c r="BLI227" s="41">
        <v>695.91</v>
      </c>
      <c r="BLJ227" s="1034">
        <v>0.45</v>
      </c>
      <c r="BLK227" s="41" t="s">
        <v>1233</v>
      </c>
      <c r="BLM227" s="41" t="s">
        <v>1886</v>
      </c>
      <c r="BLN227" s="41" t="s">
        <v>1887</v>
      </c>
      <c r="BLO227" s="41">
        <v>42.3396</v>
      </c>
      <c r="BLP227" s="41">
        <v>-122.8626</v>
      </c>
      <c r="BLQ227" s="41" t="s">
        <v>1888</v>
      </c>
      <c r="BLR227" s="1034">
        <v>0.7479166666666667</v>
      </c>
      <c r="BLS227" s="41">
        <v>697.33</v>
      </c>
      <c r="BLT227" s="1034">
        <v>0.4527777777777778</v>
      </c>
      <c r="BLU227" s="41" t="s">
        <v>1238</v>
      </c>
      <c r="BLW227" s="41" t="s">
        <v>1889</v>
      </c>
      <c r="BLX227" s="41" t="s">
        <v>1287</v>
      </c>
      <c r="BLY227" s="41">
        <v>42.4212</v>
      </c>
      <c r="BLZ227" s="41">
        <v>-123.3426</v>
      </c>
      <c r="BMA227" s="41" t="s">
        <v>1890</v>
      </c>
      <c r="BMB227" s="1034">
        <v>0.7548611111111111</v>
      </c>
      <c r="BMC227" s="41">
        <v>726.37</v>
      </c>
      <c r="BMD227" s="1034">
        <v>0.47152777777777777</v>
      </c>
      <c r="BME227" s="41" t="s">
        <v>1247</v>
      </c>
      <c r="BMG227" s="41" t="s">
        <v>1891</v>
      </c>
      <c r="BMH227" s="41" t="s">
        <v>1892</v>
      </c>
      <c r="BMI227" s="41">
        <v>39.5255</v>
      </c>
      <c r="BMJ227" s="41">
        <v>-119.7952</v>
      </c>
      <c r="BMK227" s="41" t="s">
        <v>1893</v>
      </c>
      <c r="BML227" s="1034">
        <v>0.7145833333333333</v>
      </c>
      <c r="BMM227" s="41">
        <v>339.38</v>
      </c>
      <c r="BMN227" s="1034">
        <v>0.23958333333333334</v>
      </c>
      <c r="BMO227" s="41" t="s">
        <v>1233</v>
      </c>
      <c r="BMQ227" s="41" t="s">
        <v>1894</v>
      </c>
      <c r="BMR227" s="41" t="s">
        <v>1895</v>
      </c>
      <c r="BMS227" s="41">
        <v>36.1609</v>
      </c>
      <c r="BMT227" s="41">
        <v>-115.1681</v>
      </c>
      <c r="BMU227" s="41" t="s">
        <v>1896</v>
      </c>
      <c r="BMV227" s="1034">
        <v>0.6631944444444444</v>
      </c>
      <c r="BMW227" s="41">
        <v>236.78</v>
      </c>
      <c r="BMX227" s="1034">
        <v>0.15208333333333332</v>
      </c>
      <c r="BMY227" s="41" t="s">
        <v>1230</v>
      </c>
      <c r="BMZ227" s="41" t="s">
        <v>1897</v>
      </c>
      <c r="BNA227" s="41" t="s">
        <v>1898</v>
      </c>
      <c r="BNB227" s="41" t="s">
        <v>1215</v>
      </c>
      <c r="BNC227" s="41" t="s">
        <v>1216</v>
      </c>
      <c r="BND227" s="41" t="s">
        <v>1185</v>
      </c>
      <c r="BNE227" s="41" t="s">
        <v>1186</v>
      </c>
      <c r="BNF227" s="41" t="s">
        <v>1201</v>
      </c>
      <c r="BNG227" s="41" t="s">
        <v>1219</v>
      </c>
      <c r="BNH227" s="41" t="s">
        <v>1220</v>
      </c>
      <c r="BNI227" s="41" t="s">
        <v>1681</v>
      </c>
      <c r="BNJ227" s="41" t="s">
        <v>1217</v>
      </c>
      <c r="BNK227" s="41" t="s">
        <v>1218</v>
      </c>
      <c r="BNL227" s="41" t="s">
        <v>1682</v>
      </c>
      <c r="BNM227" s="41" t="s">
        <v>1683</v>
      </c>
      <c r="BNN227" s="41" t="s">
        <v>1237</v>
      </c>
      <c r="BNO227" s="41">
        <v>39.1382</v>
      </c>
      <c r="BNP227" s="41">
        <v>-121.5942</v>
      </c>
      <c r="BNQ227" s="41" t="s">
        <v>1684</v>
      </c>
      <c r="BNR227" s="1034">
        <v>0.7465277777777778</v>
      </c>
      <c r="BNS227" s="41">
        <v>430.16</v>
      </c>
      <c r="BNT227" s="1034">
        <v>0.27569444444444446</v>
      </c>
      <c r="BNU227" s="41" t="s">
        <v>1238</v>
      </c>
      <c r="BNW227" s="41" t="s">
        <v>1685</v>
      </c>
      <c r="BNX227" s="41" t="s">
        <v>1273</v>
      </c>
      <c r="BNY227" s="41">
        <v>34.6885</v>
      </c>
      <c r="BNZ227" s="41">
        <v>-118.1585</v>
      </c>
      <c r="BOA227" s="41" t="s">
        <v>1686</v>
      </c>
      <c r="BOB227" s="1034">
        <v>0.725</v>
      </c>
      <c r="BOC227" s="41">
        <v>83.8</v>
      </c>
      <c r="BOD227" s="1034">
        <v>0.059027777777777776</v>
      </c>
      <c r="BOE227" s="41" t="s">
        <v>1233</v>
      </c>
      <c r="BOG227" s="41" t="s">
        <v>1687</v>
      </c>
      <c r="BOH227" s="41" t="s">
        <v>1277</v>
      </c>
      <c r="BOI227" s="41">
        <v>34.0741</v>
      </c>
      <c r="BOJ227" s="41">
        <v>-117.3511</v>
      </c>
      <c r="BOK227" s="41" t="s">
        <v>1688</v>
      </c>
      <c r="BOL227" s="1034">
        <v>0.7173611111111111</v>
      </c>
      <c r="BOM227" s="41">
        <v>124.37</v>
      </c>
      <c r="BON227" s="1034">
        <v>0.09375</v>
      </c>
      <c r="BOO227" s="41" t="s">
        <v>1233</v>
      </c>
      <c r="BOP227" s="41" t="s">
        <v>1225</v>
      </c>
      <c r="BOQ227" s="41" t="s">
        <v>1689</v>
      </c>
      <c r="BOR227" s="41" t="s">
        <v>1690</v>
      </c>
      <c r="BOS227" s="41" t="s">
        <v>1298</v>
      </c>
      <c r="BOT227" s="41">
        <v>38.9122</v>
      </c>
      <c r="BOU227" s="41">
        <v>-119.9966</v>
      </c>
      <c r="BOV227" s="41" t="s">
        <v>1691</v>
      </c>
      <c r="BOW227" s="1034">
        <v>0.7222222222222222</v>
      </c>
      <c r="BOX227" s="41">
        <v>317.55</v>
      </c>
      <c r="BOY227" s="1034">
        <v>0.23125</v>
      </c>
      <c r="BOZ227" s="41" t="s">
        <v>1238</v>
      </c>
      <c r="BPB227" s="41" t="s">
        <v>1692</v>
      </c>
      <c r="BPC227" s="41" t="s">
        <v>1321</v>
      </c>
      <c r="BPD227" s="41">
        <v>34.0752</v>
      </c>
      <c r="BPE227" s="41">
        <v>-118.3802</v>
      </c>
      <c r="BPF227" s="41" t="s">
        <v>1693</v>
      </c>
      <c r="BPG227" s="1034">
        <v>0.7340277777777777</v>
      </c>
      <c r="BPH227" s="41">
        <v>152.18</v>
      </c>
      <c r="BPI227" s="1034">
        <v>0.10833333333333334</v>
      </c>
      <c r="BPJ227" s="41" t="s">
        <v>1230</v>
      </c>
      <c r="BPL227" s="41" t="s">
        <v>1694</v>
      </c>
      <c r="BPM227" s="41" t="s">
        <v>1358</v>
      </c>
      <c r="BPN227" s="41">
        <v>36.7429</v>
      </c>
      <c r="BPO227" s="41">
        <v>-119.7844</v>
      </c>
      <c r="BPP227" s="41" t="s">
        <v>1695</v>
      </c>
      <c r="BPQ227" s="1034">
        <v>0.7347222222222223</v>
      </c>
      <c r="BPR227" s="41">
        <v>221.95</v>
      </c>
      <c r="BPS227" s="1034">
        <v>0.1451388888888889</v>
      </c>
      <c r="BPT227" s="41" t="s">
        <v>1230</v>
      </c>
      <c r="BPU227" s="41" t="s">
        <v>1225</v>
      </c>
      <c r="BPV227" s="41" t="s">
        <v>1696</v>
      </c>
      <c r="BPW227" s="41" t="s">
        <v>1697</v>
      </c>
      <c r="BPX227" s="41" t="s">
        <v>1372</v>
      </c>
      <c r="BPY227" s="41">
        <v>34.0375</v>
      </c>
      <c r="BPZ227" s="41">
        <v>-118.2661</v>
      </c>
      <c r="BQA227" s="41" t="s">
        <v>1698</v>
      </c>
      <c r="BQB227" s="1034">
        <v>0.7326388888888888</v>
      </c>
      <c r="BQC227" s="41">
        <v>156.27</v>
      </c>
      <c r="BQD227" s="1034">
        <v>0.10833333333333334</v>
      </c>
      <c r="BQE227" s="41" t="s">
        <v>1233</v>
      </c>
      <c r="BQG227" s="41" t="s">
        <v>1699</v>
      </c>
      <c r="BQH227" s="41" t="s">
        <v>1375</v>
      </c>
      <c r="BQI227" s="41">
        <v>34.9509</v>
      </c>
      <c r="BQJ227" s="41">
        <v>-120.4132</v>
      </c>
      <c r="BQK227" s="41" t="s">
        <v>1700</v>
      </c>
      <c r="BQL227" s="1034">
        <v>0.7597222222222222</v>
      </c>
      <c r="BQM227" s="41">
        <v>218.34</v>
      </c>
      <c r="BQN227" s="1034">
        <v>0.16041666666666668</v>
      </c>
      <c r="BQO227" s="41" t="s">
        <v>1238</v>
      </c>
      <c r="BQQ227" s="41" t="s">
        <v>1701</v>
      </c>
      <c r="BQR227" s="41" t="s">
        <v>1378</v>
      </c>
      <c r="BQS227" s="41">
        <v>41.3187</v>
      </c>
      <c r="BQT227" s="41">
        <v>-122.3209</v>
      </c>
      <c r="BQU227" s="41" t="s">
        <v>1702</v>
      </c>
      <c r="BQV227" s="1034">
        <v>0.7444444444444445</v>
      </c>
      <c r="BQW227" s="41">
        <v>609.85</v>
      </c>
      <c r="BQX227" s="1034">
        <v>0.3909722222222222</v>
      </c>
      <c r="BQY227" s="41" t="s">
        <v>1238</v>
      </c>
      <c r="BRA227" s="41" t="s">
        <v>1703</v>
      </c>
      <c r="BRB227" s="41" t="s">
        <v>1381</v>
      </c>
      <c r="BRC227" s="41">
        <v>40.572</v>
      </c>
      <c r="BRD227" s="41">
        <v>-122.3952</v>
      </c>
      <c r="BRE227" s="41" t="s">
        <v>1704</v>
      </c>
      <c r="BRF227" s="1034">
        <v>0.75</v>
      </c>
      <c r="BRG227" s="41">
        <v>552.37</v>
      </c>
      <c r="BRH227" s="1034">
        <v>0.35347222222222224</v>
      </c>
      <c r="BRI227" s="41" t="s">
        <v>1233</v>
      </c>
      <c r="BRK227" s="41" t="s">
        <v>1705</v>
      </c>
      <c r="BRL227" s="41" t="s">
        <v>1384</v>
      </c>
      <c r="BRM227" s="41">
        <v>38.6693</v>
      </c>
      <c r="BRN227" s="41">
        <v>-121.314</v>
      </c>
      <c r="BRO227" s="41" t="s">
        <v>1706</v>
      </c>
      <c r="BRP227" s="1034">
        <v>0.7451388888888889</v>
      </c>
      <c r="BRQ227" s="41">
        <v>400.34</v>
      </c>
      <c r="BRR227" s="1034">
        <v>0.2590277777777778</v>
      </c>
      <c r="BRS227" s="41" t="s">
        <v>1233</v>
      </c>
      <c r="BRU227" s="41" t="s">
        <v>1707</v>
      </c>
      <c r="BRV227" s="41" t="s">
        <v>1708</v>
      </c>
      <c r="BRW227" s="41">
        <v>34.2208</v>
      </c>
      <c r="BRX227" s="41">
        <v>-118.5331</v>
      </c>
      <c r="BRY227" s="41" t="s">
        <v>1709</v>
      </c>
      <c r="BRZ227" s="1034">
        <v>0.7354166666666667</v>
      </c>
      <c r="BSA227" s="41">
        <v>138.28</v>
      </c>
      <c r="BSB227" s="1034">
        <v>0.09375</v>
      </c>
      <c r="BSC227" s="41" t="s">
        <v>1233</v>
      </c>
      <c r="BSE227" s="41" t="s">
        <v>1710</v>
      </c>
      <c r="BSF227" s="41" t="s">
        <v>1390</v>
      </c>
      <c r="BSG227" s="41">
        <v>40.1486</v>
      </c>
      <c r="BSH227" s="41">
        <v>-122.219</v>
      </c>
      <c r="BSI227" s="41" t="s">
        <v>1711</v>
      </c>
      <c r="BSJ227" s="1034">
        <v>0.75</v>
      </c>
      <c r="BSK227" s="41">
        <v>518.05</v>
      </c>
      <c r="BSL227" s="1034">
        <v>0.3284722222222222</v>
      </c>
      <c r="BSM227" s="41" t="s">
        <v>1238</v>
      </c>
      <c r="BSO227" s="41" t="s">
        <v>1712</v>
      </c>
      <c r="BSP227" s="41" t="s">
        <v>1393</v>
      </c>
      <c r="BSQ227" s="41">
        <v>33.78</v>
      </c>
      <c r="BSR227" s="41">
        <v>-118.186</v>
      </c>
      <c r="BSS227" s="41" t="s">
        <v>1713</v>
      </c>
      <c r="BST227" s="1034">
        <v>0.7333333333333333</v>
      </c>
      <c r="BSU227" s="41">
        <v>175.6</v>
      </c>
      <c r="BSV227" s="1034">
        <v>0.12013888888888889</v>
      </c>
      <c r="BSW227" s="41" t="s">
        <v>1233</v>
      </c>
      <c r="BSY227" s="41" t="s">
        <v>1714</v>
      </c>
      <c r="BSZ227" s="41" t="s">
        <v>1398</v>
      </c>
      <c r="BTA227" s="41">
        <v>37.6658</v>
      </c>
      <c r="BTB227" s="41">
        <v>-120.9973</v>
      </c>
      <c r="BTC227" s="41" t="s">
        <v>1715</v>
      </c>
      <c r="BTD227" s="1034">
        <v>0.7472222222222222</v>
      </c>
      <c r="BTE227" s="41">
        <v>318.0</v>
      </c>
      <c r="BTF227" s="1034">
        <v>0.20694444444444443</v>
      </c>
      <c r="BTG227" s="41" t="s">
        <v>1233</v>
      </c>
      <c r="BTI227" s="41" t="s">
        <v>1716</v>
      </c>
      <c r="BTJ227" s="41" t="s">
        <v>1421</v>
      </c>
      <c r="BTK227" s="41">
        <v>39.7426</v>
      </c>
      <c r="BTL227" s="41">
        <v>-121.8497</v>
      </c>
      <c r="BTM227" s="41" t="s">
        <v>1717</v>
      </c>
      <c r="BTN227" s="1034">
        <v>0.7465277777777778</v>
      </c>
      <c r="BTO227" s="41">
        <v>476.54</v>
      </c>
      <c r="BTP227" s="1034">
        <v>0.3138888888888889</v>
      </c>
      <c r="BTQ227" s="41" t="s">
        <v>1233</v>
      </c>
      <c r="BTS227" s="41" t="s">
        <v>1718</v>
      </c>
      <c r="BTT227" s="41" t="s">
        <v>1466</v>
      </c>
      <c r="BTU227" s="41">
        <v>33.8308</v>
      </c>
      <c r="BTV227" s="41">
        <v>-118.2926</v>
      </c>
      <c r="BTW227" s="41" t="s">
        <v>1719</v>
      </c>
      <c r="BTX227" s="1034">
        <v>0.7347222222222223</v>
      </c>
      <c r="BTY227" s="41">
        <v>167.74</v>
      </c>
      <c r="BTZ227" s="1034">
        <v>0.1125</v>
      </c>
      <c r="BUA227" s="41" t="s">
        <v>1230</v>
      </c>
      <c r="BUC227" s="41" t="s">
        <v>1720</v>
      </c>
      <c r="BUD227" s="41" t="s">
        <v>1478</v>
      </c>
      <c r="BUE227" s="41">
        <v>34.3979</v>
      </c>
      <c r="BUF227" s="41">
        <v>-118.5539</v>
      </c>
      <c r="BUG227" s="41" t="s">
        <v>1721</v>
      </c>
      <c r="BUH227" s="1034">
        <v>0.7340277777777777</v>
      </c>
      <c r="BUI227" s="41">
        <v>132.97</v>
      </c>
      <c r="BUJ227" s="1034">
        <v>0.08888888888888889</v>
      </c>
      <c r="BUK227" s="41" t="s">
        <v>1233</v>
      </c>
      <c r="BUM227" s="41" t="s">
        <v>1722</v>
      </c>
      <c r="BUN227" s="41" t="s">
        <v>1483</v>
      </c>
      <c r="BUO227" s="41">
        <v>37.7986</v>
      </c>
      <c r="BUP227" s="41">
        <v>-122.2317</v>
      </c>
      <c r="BUQ227" s="41" t="s">
        <v>1723</v>
      </c>
      <c r="BUR227" s="1034">
        <v>0.7666666666666667</v>
      </c>
      <c r="BUS227" s="41">
        <v>383.14</v>
      </c>
      <c r="BUT227" s="1034">
        <v>0.24722222222222223</v>
      </c>
      <c r="BUU227" s="41" t="s">
        <v>1230</v>
      </c>
      <c r="BUW227" s="41" t="s">
        <v>1724</v>
      </c>
      <c r="BUX227" s="41" t="s">
        <v>1492</v>
      </c>
      <c r="BUY227" s="41">
        <v>34.1339</v>
      </c>
      <c r="BUZ227" s="41">
        <v>-118.1521</v>
      </c>
      <c r="BVA227" s="41" t="s">
        <v>1725</v>
      </c>
      <c r="BVB227" s="1034">
        <v>0.7298611111111111</v>
      </c>
      <c r="BVC227" s="41">
        <v>154.06</v>
      </c>
      <c r="BVD227" s="1034">
        <v>0.10138888888888889</v>
      </c>
      <c r="BVE227" s="41" t="s">
        <v>1233</v>
      </c>
      <c r="BVG227" s="41" t="s">
        <v>1726</v>
      </c>
      <c r="BVH227" s="41" t="s">
        <v>1495</v>
      </c>
      <c r="BVI227" s="41">
        <v>33.5917</v>
      </c>
      <c r="BVJ227" s="41">
        <v>-117.2377</v>
      </c>
      <c r="BVK227" s="41" t="s">
        <v>1727</v>
      </c>
      <c r="BVL227" s="1034">
        <v>0.7194444444444444</v>
      </c>
      <c r="BVM227" s="41">
        <v>163.15</v>
      </c>
      <c r="BVN227" s="1034">
        <v>0.11736111111111111</v>
      </c>
      <c r="BVO227" s="41" t="s">
        <v>1233</v>
      </c>
      <c r="BVQ227" s="41" t="s">
        <v>1728</v>
      </c>
      <c r="BVR227" s="41" t="s">
        <v>1505</v>
      </c>
      <c r="BVS227" s="41">
        <v>37.9129</v>
      </c>
      <c r="BVT227" s="41">
        <v>-122.0409</v>
      </c>
      <c r="BVU227" s="41" t="s">
        <v>1729</v>
      </c>
      <c r="BVV227" s="1034">
        <v>0.7625</v>
      </c>
      <c r="BVW227" s="41">
        <v>379.66</v>
      </c>
      <c r="BVX227" s="1034">
        <v>0.2465277777777778</v>
      </c>
      <c r="BVY227" s="41" t="s">
        <v>1233</v>
      </c>
      <c r="BWA227" s="41" t="s">
        <v>1730</v>
      </c>
      <c r="BWB227" s="41" t="s">
        <v>1538</v>
      </c>
      <c r="BWC227" s="41">
        <v>38.3882</v>
      </c>
      <c r="BWD227" s="41">
        <v>-121.9388</v>
      </c>
      <c r="BWE227" s="41" t="s">
        <v>1731</v>
      </c>
      <c r="BWF227" s="1034">
        <v>0.7576388888888889</v>
      </c>
      <c r="BWG227" s="41">
        <v>416.89</v>
      </c>
      <c r="BWH227" s="1034">
        <v>0.2673611111111111</v>
      </c>
      <c r="BWI227" s="41" t="s">
        <v>1233</v>
      </c>
      <c r="BWK227" s="41" t="s">
        <v>1732</v>
      </c>
      <c r="BWL227" s="41" t="s">
        <v>1564</v>
      </c>
      <c r="BWM227" s="41">
        <v>38.4699</v>
      </c>
      <c r="BWN227" s="41">
        <v>-121.4216</v>
      </c>
      <c r="BWO227" s="41" t="s">
        <v>1733</v>
      </c>
      <c r="BWP227" s="1034">
        <v>0.7486111111111111</v>
      </c>
      <c r="BWQ227" s="41">
        <v>379.97</v>
      </c>
      <c r="BWR227" s="1034">
        <v>0.24583333333333332</v>
      </c>
      <c r="BWS227" s="41" t="s">
        <v>1233</v>
      </c>
      <c r="BWU227" s="41" t="s">
        <v>1734</v>
      </c>
      <c r="BWV227" s="41" t="s">
        <v>1735</v>
      </c>
      <c r="BWW227" s="41">
        <v>36.3286</v>
      </c>
      <c r="BWX227" s="41">
        <v>-119.295</v>
      </c>
      <c r="BWY227" s="41" t="s">
        <v>1736</v>
      </c>
      <c r="BWZ227" s="1034">
        <v>0.7298611111111111</v>
      </c>
      <c r="BXA227" s="41">
        <v>190.85</v>
      </c>
      <c r="BXB227" s="1034">
        <v>0.12569444444444444</v>
      </c>
      <c r="BXC227" s="41" t="s">
        <v>1238</v>
      </c>
      <c r="BXD227" s="41"/>
      <c r="BXE227" s="41" t="s">
        <v>1737</v>
      </c>
      <c r="BXF227" s="41" t="s">
        <v>1581</v>
      </c>
      <c r="BXG227" s="41">
        <v>34.0581</v>
      </c>
      <c r="BXH227" s="41">
        <v>-118.2087</v>
      </c>
      <c r="BXI227" s="41" t="s">
        <v>1738</v>
      </c>
      <c r="BXJ227" s="1034">
        <v>0.73125</v>
      </c>
      <c r="BXK227" s="41">
        <v>153.31</v>
      </c>
      <c r="BXL227" s="1034">
        <v>0.10416666666666667</v>
      </c>
      <c r="BXM227" s="41" t="s">
        <v>1230</v>
      </c>
      <c r="BXN227" s="41" t="s">
        <v>1225</v>
      </c>
      <c r="BXO227" s="41" t="s">
        <v>1739</v>
      </c>
      <c r="BXP227" s="41" t="s">
        <v>1740</v>
      </c>
      <c r="BXQ227" s="41" t="s">
        <v>1600</v>
      </c>
      <c r="BXR227" s="41">
        <v>34.0495</v>
      </c>
      <c r="BXS227" s="41">
        <v>-117.2642</v>
      </c>
      <c r="BXT227" s="41" t="s">
        <v>1741</v>
      </c>
      <c r="BXU227" s="1034">
        <v>0.7159722222222222</v>
      </c>
      <c r="BXV227" s="41">
        <v>124.2</v>
      </c>
      <c r="BXW227" s="1034">
        <v>0.09513888888888888</v>
      </c>
      <c r="BXX227" s="41" t="s">
        <v>1230</v>
      </c>
      <c r="BXY227" s="41"/>
      <c r="BXZ227" s="41" t="s">
        <v>1742</v>
      </c>
      <c r="BYA227" s="41" t="s">
        <v>1607</v>
      </c>
      <c r="BYB227" s="41">
        <v>33.8085</v>
      </c>
      <c r="BYC227" s="41">
        <v>-118.186</v>
      </c>
      <c r="BYD227" s="41" t="s">
        <v>1743</v>
      </c>
      <c r="BYE227" s="1034">
        <v>0.7333333333333333</v>
      </c>
      <c r="BYF227" s="41">
        <v>173.28</v>
      </c>
      <c r="BYG227" s="1034">
        <v>0.11666666666666667</v>
      </c>
      <c r="BYH227" s="41" t="s">
        <v>1233</v>
      </c>
      <c r="BYI227" s="41"/>
      <c r="BYJ227" s="41" t="s">
        <v>1744</v>
      </c>
      <c r="BYK227" s="41" t="s">
        <v>1614</v>
      </c>
      <c r="BYL227" s="41">
        <v>34.2068</v>
      </c>
      <c r="BYM227" s="41">
        <v>-118.8831</v>
      </c>
      <c r="BYN227" s="41" t="s">
        <v>1745</v>
      </c>
      <c r="BYO227" s="1034">
        <v>0.7409722222222223</v>
      </c>
      <c r="BYP227" s="41">
        <v>164.03</v>
      </c>
      <c r="BYQ227" s="1034">
        <v>0.1076388888888889</v>
      </c>
      <c r="BYR227" s="41" t="s">
        <v>1233</v>
      </c>
      <c r="BYS227" s="41"/>
      <c r="BYT227" s="41" t="s">
        <v>1746</v>
      </c>
      <c r="BYU227" s="41" t="s">
        <v>1627</v>
      </c>
      <c r="BYV227" s="41">
        <v>37.9474</v>
      </c>
      <c r="BYW227" s="41">
        <v>-122.536</v>
      </c>
      <c r="BYX227" s="41" t="s">
        <v>1747</v>
      </c>
      <c r="BYY227" s="1034">
        <v>0.7701388888888889</v>
      </c>
      <c r="BYZ227" s="41">
        <v>405.87</v>
      </c>
      <c r="BZA227" s="1034">
        <v>0.2659722222222222</v>
      </c>
      <c r="BZB227" s="41" t="s">
        <v>1238</v>
      </c>
      <c r="BZC227" s="41"/>
      <c r="BZD227" s="41" t="s">
        <v>1748</v>
      </c>
      <c r="BZE227" s="41" t="s">
        <v>1630</v>
      </c>
      <c r="BZF227" s="41">
        <v>38.7247</v>
      </c>
      <c r="BZG227" s="41">
        <v>-120.7917</v>
      </c>
      <c r="BZH227" s="41" t="s">
        <v>1749</v>
      </c>
      <c r="BZI227" s="1034">
        <v>0.7361111111111112</v>
      </c>
      <c r="BZJ227" s="41">
        <v>364.65</v>
      </c>
      <c r="BZK227" s="1034">
        <v>0.26875</v>
      </c>
      <c r="BZL227" s="41" t="s">
        <v>1238</v>
      </c>
      <c r="BZM227" s="41"/>
      <c r="BZN227" s="41" t="s">
        <v>1750</v>
      </c>
      <c r="BZO227" s="41" t="s">
        <v>1641</v>
      </c>
      <c r="BZP227" s="41">
        <v>37.6686</v>
      </c>
      <c r="BZQ227" s="41">
        <v>-120.9746</v>
      </c>
      <c r="BZR227" s="41" t="s">
        <v>1751</v>
      </c>
      <c r="BZS227" s="1034">
        <v>0.7472222222222222</v>
      </c>
      <c r="BZT227" s="41">
        <v>317.65</v>
      </c>
      <c r="BZU227" s="1034">
        <v>0.20902777777777778</v>
      </c>
      <c r="BZV227" s="41" t="s">
        <v>1233</v>
      </c>
      <c r="BZW227" s="41"/>
      <c r="BZX227" s="41" t="s">
        <v>1752</v>
      </c>
      <c r="BZY227" s="41" t="s">
        <v>1676</v>
      </c>
      <c r="BZZ227" s="41">
        <v>33.5619</v>
      </c>
      <c r="CAA227" s="41">
        <v>-117.6651</v>
      </c>
      <c r="CAB227" s="41" t="s">
        <v>1753</v>
      </c>
      <c r="CAC227" s="1034">
        <v>0.7270833333333333</v>
      </c>
      <c r="CAD227" s="41">
        <v>170.37</v>
      </c>
      <c r="CAE227" s="1034">
        <v>0.12291666666666666</v>
      </c>
      <c r="CAF227" s="41" t="s">
        <v>1233</v>
      </c>
      <c r="CAG227" s="41"/>
      <c r="CAH227" s="41" t="s">
        <v>1754</v>
      </c>
      <c r="CAI227" s="41" t="s">
        <v>1755</v>
      </c>
      <c r="CAJ227" s="41">
        <v>36.6967</v>
      </c>
      <c r="CAK227" s="41">
        <v>-121.6331</v>
      </c>
      <c r="CAL227" s="41" t="s">
        <v>1756</v>
      </c>
      <c r="CAM227" s="1034">
        <v>0.7652777777777777</v>
      </c>
      <c r="CAN227" s="41">
        <v>319.04</v>
      </c>
      <c r="CAO227" s="1034">
        <v>0.21666666666666667</v>
      </c>
      <c r="CAP227" s="41" t="s">
        <v>1233</v>
      </c>
      <c r="CAQ227" s="41"/>
      <c r="CAR227" s="41" t="s">
        <v>1757</v>
      </c>
      <c r="CAS227" s="41" t="s">
        <v>1758</v>
      </c>
      <c r="CAT227" s="41">
        <v>38.262</v>
      </c>
      <c r="CAU227" s="41">
        <v>-122.0473</v>
      </c>
      <c r="CAV227" s="41" t="s">
        <v>1759</v>
      </c>
      <c r="CAW227" s="1034">
        <v>0.7604166666666666</v>
      </c>
      <c r="CAX227" s="41">
        <v>408.47</v>
      </c>
      <c r="CAY227" s="1034">
        <v>0.2638888888888889</v>
      </c>
      <c r="CAZ227" s="41" t="s">
        <v>1233</v>
      </c>
      <c r="CBA227" s="41"/>
      <c r="CBB227" s="41" t="s">
        <v>1760</v>
      </c>
      <c r="CBC227" s="41" t="s">
        <v>1761</v>
      </c>
      <c r="CBD227" s="41">
        <v>33.7543</v>
      </c>
      <c r="CBE227" s="41">
        <v>-117.8328</v>
      </c>
      <c r="CBF227" s="41" t="s">
        <v>1762</v>
      </c>
      <c r="CBG227" s="1034">
        <v>0.7277777777777777</v>
      </c>
      <c r="CBH227" s="41">
        <v>158.04</v>
      </c>
      <c r="CBI227" s="1034">
        <v>0.11527777777777778</v>
      </c>
      <c r="CBJ227" s="41" t="s">
        <v>1233</v>
      </c>
      <c r="CBK227" s="41" t="s">
        <v>1225</v>
      </c>
      <c r="CBL227" s="41" t="s">
        <v>1763</v>
      </c>
      <c r="CBM227" s="41" t="s">
        <v>1764</v>
      </c>
      <c r="CBN227" s="41" t="s">
        <v>1765</v>
      </c>
      <c r="CBO227" s="41">
        <v>33.0979</v>
      </c>
      <c r="CBP227" s="41">
        <v>-117.1109</v>
      </c>
      <c r="CBQ227" s="41" t="s">
        <v>1766</v>
      </c>
      <c r="CBR227" s="1034">
        <v>0.7222222222222222</v>
      </c>
      <c r="CBS227" s="41">
        <v>196.39</v>
      </c>
      <c r="CBT227" s="1034">
        <v>0.13958333333333334</v>
      </c>
      <c r="CBU227" s="41" t="s">
        <v>1233</v>
      </c>
      <c r="CBV227" s="41"/>
      <c r="CBW227" s="41" t="s">
        <v>1767</v>
      </c>
      <c r="CBX227" s="41" t="s">
        <v>1768</v>
      </c>
      <c r="CBY227" s="41">
        <v>34.2798</v>
      </c>
      <c r="CBZ227" s="41">
        <v>-118.46</v>
      </c>
      <c r="CCA227" s="41" t="s">
        <v>1769</v>
      </c>
      <c r="CCB227" s="1034">
        <v>0.7333333333333333</v>
      </c>
      <c r="CCC227" s="41">
        <v>132.04</v>
      </c>
      <c r="CCD227" s="1034">
        <v>0.08819444444444445</v>
      </c>
      <c r="CCE227" s="41" t="s">
        <v>1233</v>
      </c>
      <c r="CCF227" s="41"/>
      <c r="CCG227" s="41" t="s">
        <v>1770</v>
      </c>
      <c r="CCH227" s="41" t="s">
        <v>1771</v>
      </c>
      <c r="CCI227" s="41">
        <v>38.3245</v>
      </c>
      <c r="CCJ227" s="41">
        <v>-122.2971</v>
      </c>
      <c r="CCK227" s="41" t="s">
        <v>1772</v>
      </c>
      <c r="CCL227" s="1034">
        <v>0.7638888888888888</v>
      </c>
      <c r="CCM227" s="41">
        <v>418.49</v>
      </c>
      <c r="CCN227" s="1034">
        <v>0.2722222222222222</v>
      </c>
      <c r="CCO227" s="41" t="s">
        <v>1238</v>
      </c>
      <c r="CCP227" s="41"/>
      <c r="CCQ227" s="41" t="s">
        <v>1773</v>
      </c>
      <c r="CCR227" s="41" t="s">
        <v>1774</v>
      </c>
      <c r="CCS227" s="41">
        <v>37.3622</v>
      </c>
      <c r="CCT227" s="41">
        <v>-121.849</v>
      </c>
      <c r="CCU227" s="41" t="s">
        <v>1775</v>
      </c>
      <c r="CCV227" s="1034">
        <v>0.7638888888888888</v>
      </c>
      <c r="CCW227" s="41">
        <v>354.64</v>
      </c>
      <c r="CCX227" s="1034">
        <v>0.23402777777777778</v>
      </c>
      <c r="CCY227" s="41" t="s">
        <v>1233</v>
      </c>
      <c r="CCZ227" s="41"/>
    </row>
    <row r="228" ht="17.25" customHeight="1">
      <c r="A228" s="687">
        <f t="shared" si="3"/>
        <v>199</v>
      </c>
      <c r="B228" s="1017" t="s">
        <v>1899</v>
      </c>
      <c r="C228" s="1018" t="s">
        <v>1900</v>
      </c>
      <c r="D228" s="1019">
        <v>6.265709E9</v>
      </c>
      <c r="E228" s="1020">
        <v>34.0495478</v>
      </c>
      <c r="F228" s="1020">
        <v>-118.1383262</v>
      </c>
      <c r="G228" s="1021"/>
      <c r="H228" s="1022"/>
      <c r="I228" s="1023"/>
      <c r="J228" s="1021">
        <f t="shared" si="1"/>
        <v>372.4432891</v>
      </c>
      <c r="K228" s="1022">
        <f t="shared" si="2"/>
        <v>0.110846217</v>
      </c>
      <c r="L228" s="1024"/>
      <c r="M228" s="1025"/>
    </row>
    <row r="229" ht="17.25" customHeight="1">
      <c r="A229" s="687">
        <f t="shared" si="3"/>
        <v>200</v>
      </c>
      <c r="B229" s="1017" t="s">
        <v>1901</v>
      </c>
      <c r="C229" s="1018" t="s">
        <v>1902</v>
      </c>
      <c r="D229" s="1019">
        <v>9.093363651E9</v>
      </c>
      <c r="E229" s="1020">
        <v>34.2653942</v>
      </c>
      <c r="F229" s="1020">
        <v>-117.168661</v>
      </c>
      <c r="G229" s="1021"/>
      <c r="H229" s="1022"/>
      <c r="I229" s="1023"/>
      <c r="J229" s="1021">
        <f t="shared" si="1"/>
        <v>400.9816476</v>
      </c>
      <c r="K229" s="1022">
        <f t="shared" si="2"/>
        <v>0.1193397761</v>
      </c>
      <c r="L229" s="1021"/>
      <c r="M229" s="1022"/>
    </row>
    <row r="230" ht="17.25" customHeight="1">
      <c r="A230" s="687">
        <f t="shared" si="3"/>
        <v>201</v>
      </c>
      <c r="B230" t="s">
        <v>1903</v>
      </c>
      <c r="C230" t="s">
        <v>1904</v>
      </c>
      <c r="D230" s="212" t="s">
        <v>1905</v>
      </c>
      <c r="E230" s="1007">
        <v>36.6966688</v>
      </c>
      <c r="F230" s="1007">
        <v>-121.6330887</v>
      </c>
      <c r="G230" s="212" t="s">
        <v>1274</v>
      </c>
      <c r="H230" s="212"/>
      <c r="I230" s="212" t="s">
        <v>1225</v>
      </c>
      <c r="J230" s="1021">
        <f t="shared" si="1"/>
        <v>106.6970711</v>
      </c>
      <c r="K230" s="1022">
        <f t="shared" si="2"/>
        <v>0.03175508069</v>
      </c>
      <c r="L230" s="1024"/>
      <c r="M230" s="1025"/>
    </row>
    <row r="231" ht="17.25" customHeight="1">
      <c r="A231" s="687">
        <f t="shared" si="3"/>
        <v>202</v>
      </c>
      <c r="B231" t="s">
        <v>1906</v>
      </c>
      <c r="C231" t="s">
        <v>1907</v>
      </c>
      <c r="D231" s="1026" t="s">
        <v>1758</v>
      </c>
      <c r="E231" s="1027">
        <v>38.2620091</v>
      </c>
      <c r="F231" s="1027">
        <v>-122.0473434</v>
      </c>
      <c r="G231" s="1026" t="s">
        <v>1274</v>
      </c>
      <c r="H231" s="1026"/>
      <c r="I231" s="1026" t="s">
        <v>1225</v>
      </c>
      <c r="J231" s="1021">
        <f t="shared" si="1"/>
        <v>36.81871459</v>
      </c>
      <c r="K231" s="1022">
        <f t="shared" si="2"/>
        <v>0.01095795077</v>
      </c>
      <c r="L231" s="1021"/>
      <c r="M231" s="1022"/>
    </row>
    <row r="232" ht="17.25" customHeight="1">
      <c r="A232" s="687">
        <f t="shared" si="3"/>
        <v>203</v>
      </c>
      <c r="B232" t="s">
        <v>1908</v>
      </c>
      <c r="C232" t="s">
        <v>1909</v>
      </c>
      <c r="D232" s="212">
        <v>7.608735811E9</v>
      </c>
      <c r="E232" s="1007">
        <v>37.3619709</v>
      </c>
      <c r="F232" s="1007">
        <v>-118.4061853</v>
      </c>
      <c r="G232" s="212"/>
      <c r="H232" s="212"/>
      <c r="I232" s="212"/>
      <c r="J232" s="1021">
        <f t="shared" si="1"/>
        <v>236.37184</v>
      </c>
      <c r="K232" s="1022">
        <f t="shared" si="2"/>
        <v>0.0703487619</v>
      </c>
      <c r="L232" s="1021"/>
      <c r="M232" s="1022"/>
    </row>
    <row r="233" ht="17.25" customHeight="1">
      <c r="A233" s="687">
        <f t="shared" si="3"/>
        <v>204</v>
      </c>
      <c r="B233" t="s">
        <v>1910</v>
      </c>
      <c r="C233" t="s">
        <v>1911</v>
      </c>
      <c r="D233" s="1026">
        <v>8.1888585E9</v>
      </c>
      <c r="E233" s="1027">
        <v>34.2205406</v>
      </c>
      <c r="F233" s="1027">
        <v>-118.5338644</v>
      </c>
      <c r="G233" s="1026"/>
      <c r="H233" s="1026"/>
      <c r="I233" s="1026"/>
      <c r="J233" s="1021">
        <f t="shared" si="1"/>
        <v>348.6932468</v>
      </c>
      <c r="K233" s="1022">
        <f t="shared" si="2"/>
        <v>0.103777752</v>
      </c>
      <c r="L233" s="1024"/>
      <c r="M233" s="1025"/>
    </row>
    <row r="234" ht="17.25" customHeight="1">
      <c r="A234" s="687">
        <f t="shared" si="3"/>
        <v>205</v>
      </c>
      <c r="B234" t="s">
        <v>1912</v>
      </c>
      <c r="C234" t="s">
        <v>1913</v>
      </c>
      <c r="D234" s="1026" t="s">
        <v>1914</v>
      </c>
      <c r="E234" s="1027">
        <v>38.099153</v>
      </c>
      <c r="F234" s="1027">
        <v>-122.560229</v>
      </c>
      <c r="G234" s="1026" t="s">
        <v>1531</v>
      </c>
      <c r="H234" s="1026"/>
      <c r="I234" s="1026" t="s">
        <v>1281</v>
      </c>
      <c r="J234" s="1021">
        <f t="shared" si="1"/>
        <v>7.563821175</v>
      </c>
      <c r="K234" s="1022" t="str">
        <f t="shared" si="2"/>
        <v/>
      </c>
      <c r="L234" s="1024"/>
      <c r="M234" s="1025"/>
    </row>
    <row r="235" ht="17.25" customHeight="1">
      <c r="A235" s="687">
        <f t="shared" si="3"/>
        <v>206</v>
      </c>
      <c r="B235" t="s">
        <v>1915</v>
      </c>
      <c r="C235" t="s">
        <v>1916</v>
      </c>
      <c r="D235" s="212">
        <v>4.0894725E9</v>
      </c>
      <c r="E235" s="1027">
        <v>37.3277552</v>
      </c>
      <c r="F235" s="1027">
        <v>-121.9383789</v>
      </c>
      <c r="G235" s="1021"/>
      <c r="H235" s="1022"/>
      <c r="I235" s="1023"/>
      <c r="J235" s="1021">
        <f t="shared" si="1"/>
        <v>61.17792702</v>
      </c>
      <c r="K235" s="1022">
        <f t="shared" si="2"/>
        <v>0.01820771638</v>
      </c>
      <c r="L235" s="1021"/>
      <c r="M235" s="1022"/>
    </row>
    <row r="236" ht="17.25" customHeight="1">
      <c r="A236" s="687">
        <f t="shared" si="3"/>
        <v>207</v>
      </c>
      <c r="B236" t="s">
        <v>1917</v>
      </c>
      <c r="C236" t="s">
        <v>1918</v>
      </c>
      <c r="D236" s="212">
        <v>2.098473011E9</v>
      </c>
      <c r="E236" s="1007">
        <v>37.7575437</v>
      </c>
      <c r="F236" s="1007">
        <v>-120.8609984</v>
      </c>
      <c r="G236" s="212"/>
      <c r="H236" s="212"/>
      <c r="I236" s="212"/>
      <c r="J236" s="1021">
        <f t="shared" si="1"/>
        <v>98.99531542</v>
      </c>
      <c r="K236" s="1022">
        <f t="shared" si="2"/>
        <v>0.02946289149</v>
      </c>
      <c r="L236" s="1021"/>
      <c r="M236" s="1022"/>
    </row>
    <row r="237" ht="17.25" customHeight="1">
      <c r="A237" s="687">
        <f t="shared" si="3"/>
        <v>208</v>
      </c>
      <c r="B237" t="s">
        <v>1919</v>
      </c>
      <c r="C237" t="s">
        <v>1920</v>
      </c>
      <c r="D237" s="212">
        <v>8.05640228E9</v>
      </c>
      <c r="E237" s="1007">
        <v>34.4428287</v>
      </c>
      <c r="F237" s="1007">
        <v>-119.2643526</v>
      </c>
      <c r="G237" s="212"/>
      <c r="H237" s="212"/>
      <c r="I237" s="212"/>
      <c r="J237" s="1021">
        <f t="shared" si="1"/>
        <v>310.7517083</v>
      </c>
      <c r="K237" s="1022">
        <f t="shared" si="2"/>
        <v>0.09248562746</v>
      </c>
      <c r="L237" s="1024"/>
      <c r="M237" s="1025"/>
    </row>
    <row r="238" ht="17.25" customHeight="1">
      <c r="A238" s="687">
        <f t="shared" si="3"/>
        <v>209</v>
      </c>
      <c r="B238" t="s">
        <v>1921</v>
      </c>
      <c r="C238" t="s">
        <v>1922</v>
      </c>
      <c r="D238" s="212">
        <v>3.1065759E9</v>
      </c>
      <c r="E238" s="1007">
        <v>34.0572405</v>
      </c>
      <c r="F238" s="1007">
        <v>-118.3604831</v>
      </c>
      <c r="G238" s="212"/>
      <c r="H238" s="212"/>
      <c r="I238" s="212"/>
      <c r="J238" s="1021">
        <f t="shared" si="1"/>
        <v>363.7377725</v>
      </c>
      <c r="K238" s="1022">
        <f t="shared" si="2"/>
        <v>0.1082552894</v>
      </c>
      <c r="L238" s="1024"/>
      <c r="M238" s="1025"/>
    </row>
    <row r="239" ht="17.25" customHeight="1">
      <c r="A239" s="687">
        <f t="shared" si="3"/>
        <v>210</v>
      </c>
      <c r="B239" t="s">
        <v>1923</v>
      </c>
      <c r="C239" t="s">
        <v>1924</v>
      </c>
      <c r="D239" s="212">
        <v>7.143787406E9</v>
      </c>
      <c r="E239" s="1007">
        <v>33.7003907</v>
      </c>
      <c r="F239" s="1007">
        <v>-117.9556226</v>
      </c>
      <c r="G239" s="212"/>
      <c r="H239" s="212"/>
      <c r="I239" s="212"/>
      <c r="J239" s="1021">
        <f t="shared" si="1"/>
        <v>397.6202323</v>
      </c>
      <c r="K239" s="1022">
        <f t="shared" si="2"/>
        <v>0.1183393548</v>
      </c>
      <c r="L239" s="1021"/>
      <c r="M239" s="1022"/>
    </row>
    <row r="240" ht="17.25" customHeight="1">
      <c r="A240" s="687">
        <f t="shared" si="3"/>
        <v>211</v>
      </c>
      <c r="B240" t="s">
        <v>1925</v>
      </c>
      <c r="C240" t="s">
        <v>1926</v>
      </c>
      <c r="D240" s="212" t="s">
        <v>1927</v>
      </c>
      <c r="E240" s="1007">
        <v>33.7542839</v>
      </c>
      <c r="F240" s="1007">
        <v>-117.8328006</v>
      </c>
      <c r="G240" s="212" t="s">
        <v>1274</v>
      </c>
      <c r="H240" s="212" t="s">
        <v>1225</v>
      </c>
      <c r="I240" s="212" t="s">
        <v>1225</v>
      </c>
      <c r="J240" s="1021">
        <f t="shared" si="1"/>
        <v>399.3875422</v>
      </c>
      <c r="K240" s="1022">
        <f t="shared" si="2"/>
        <v>0.1188653399</v>
      </c>
      <c r="L240" s="1024"/>
      <c r="M240" s="1025"/>
    </row>
    <row r="241" ht="17.25" customHeight="1">
      <c r="A241" s="687">
        <f t="shared" si="3"/>
        <v>212</v>
      </c>
      <c r="B241" t="s">
        <v>1928</v>
      </c>
      <c r="C241" t="s">
        <v>1929</v>
      </c>
      <c r="D241" s="212">
        <v>2.136248411E9</v>
      </c>
      <c r="E241" s="1007">
        <v>34.0650951</v>
      </c>
      <c r="F241" s="1007">
        <v>-118.2389113</v>
      </c>
      <c r="G241" s="212"/>
      <c r="H241" s="212"/>
      <c r="I241" s="212"/>
      <c r="J241" s="1021">
        <f t="shared" si="1"/>
        <v>367.8424483</v>
      </c>
      <c r="K241" s="1022">
        <f t="shared" si="2"/>
        <v>0.1094769191</v>
      </c>
      <c r="L241" s="1021"/>
      <c r="M241" s="1022"/>
    </row>
    <row r="242" ht="17.25" customHeight="1">
      <c r="A242" s="687">
        <f t="shared" si="3"/>
        <v>213</v>
      </c>
      <c r="B242" t="s">
        <v>1930</v>
      </c>
      <c r="C242" t="s">
        <v>1931</v>
      </c>
      <c r="D242" s="1026">
        <v>8.18767331E9</v>
      </c>
      <c r="E242" s="1027">
        <v>34.2405259</v>
      </c>
      <c r="F242" s="1027">
        <v>-118.3960912</v>
      </c>
      <c r="G242" s="1026"/>
      <c r="H242" s="1026"/>
      <c r="I242" s="1026"/>
      <c r="J242" s="1021">
        <f t="shared" si="1"/>
        <v>352.768858</v>
      </c>
      <c r="K242" s="1022">
        <f t="shared" si="2"/>
        <v>0.1049907316</v>
      </c>
      <c r="L242" s="1021"/>
      <c r="M242" s="1022"/>
    </row>
    <row r="243" ht="17.25" customHeight="1">
      <c r="A243" s="687">
        <f t="shared" si="3"/>
        <v>214</v>
      </c>
      <c r="B243" s="1017" t="s">
        <v>1932</v>
      </c>
      <c r="C243" s="1018" t="s">
        <v>1933</v>
      </c>
      <c r="D243" s="1019">
        <v>6.613825E9</v>
      </c>
      <c r="E243" s="1020">
        <v>34.582899</v>
      </c>
      <c r="F243" s="1020">
        <v>-118.1443812</v>
      </c>
      <c r="G243" s="1021"/>
      <c r="H243" s="1022"/>
      <c r="I243" s="1023"/>
      <c r="J243" s="1021">
        <f t="shared" si="1"/>
        <v>345.3215118</v>
      </c>
      <c r="K243" s="1022">
        <f t="shared" si="2"/>
        <v>0.1027742595</v>
      </c>
      <c r="L243" s="1021"/>
      <c r="M243" s="1022"/>
    </row>
    <row r="244" ht="17.25" customHeight="1">
      <c r="A244" s="687">
        <f t="shared" si="3"/>
        <v>215</v>
      </c>
      <c r="B244" t="s">
        <v>1934</v>
      </c>
      <c r="C244" t="s">
        <v>1935</v>
      </c>
      <c r="D244" s="212">
        <v>7.609224115E9</v>
      </c>
      <c r="E244" s="1007">
        <v>33.6129481</v>
      </c>
      <c r="F244" s="1007">
        <v>-114.5950717</v>
      </c>
      <c r="G244" s="212"/>
      <c r="H244" s="212"/>
      <c r="I244" s="212"/>
      <c r="J244" s="1021">
        <f t="shared" si="1"/>
        <v>544.5498894</v>
      </c>
      <c r="K244" s="1022">
        <f t="shared" si="2"/>
        <v>0.1620684195</v>
      </c>
      <c r="L244" s="1021"/>
      <c r="M244" s="1022"/>
    </row>
    <row r="245" ht="17.25" customHeight="1">
      <c r="A245" s="687">
        <f t="shared" si="3"/>
        <v>216</v>
      </c>
      <c r="B245" t="s">
        <v>1936</v>
      </c>
      <c r="C245" t="s">
        <v>1937</v>
      </c>
      <c r="D245" s="212">
        <v>7.607393E9</v>
      </c>
      <c r="E245" s="1027">
        <v>33.1248595</v>
      </c>
      <c r="F245" s="1027">
        <v>-117.0758226</v>
      </c>
      <c r="G245" s="1021"/>
      <c r="H245" s="1022"/>
      <c r="I245" s="1023"/>
      <c r="J245" s="1021">
        <f t="shared" si="1"/>
        <v>460.9909399</v>
      </c>
      <c r="K245" s="1022">
        <f t="shared" si="2"/>
        <v>0.1371996845</v>
      </c>
      <c r="L245" s="1021"/>
      <c r="M245" s="1022"/>
    </row>
    <row r="246" ht="17.25" customHeight="1">
      <c r="A246" s="687">
        <f t="shared" si="3"/>
        <v>217</v>
      </c>
      <c r="B246" s="1017" t="s">
        <v>1938</v>
      </c>
      <c r="C246" s="1018" t="s">
        <v>1939</v>
      </c>
      <c r="D246" s="1019" t="s">
        <v>1765</v>
      </c>
      <c r="E246" s="1020">
        <v>33.0978509</v>
      </c>
      <c r="F246" s="1020">
        <v>-117.1109207</v>
      </c>
      <c r="G246" s="1021" t="s">
        <v>1274</v>
      </c>
      <c r="H246" s="1022"/>
      <c r="I246" s="1023" t="s">
        <v>1225</v>
      </c>
      <c r="J246" s="1021">
        <f t="shared" si="1"/>
        <v>461.0621836</v>
      </c>
      <c r="K246" s="1022">
        <f t="shared" si="2"/>
        <v>0.137220888</v>
      </c>
      <c r="L246" s="1021"/>
      <c r="M246" s="1022"/>
    </row>
    <row r="247" ht="17.25" customHeight="1">
      <c r="A247" s="687">
        <f t="shared" si="3"/>
        <v>218</v>
      </c>
      <c r="B247" t="s">
        <v>1940</v>
      </c>
      <c r="C247" t="s">
        <v>1941</v>
      </c>
      <c r="D247" s="212">
        <v>6.194704321E9</v>
      </c>
      <c r="E247" s="1007">
        <v>32.6851132</v>
      </c>
      <c r="F247" s="1007">
        <v>-117.0828852</v>
      </c>
      <c r="G247" s="212"/>
      <c r="H247" s="212"/>
      <c r="I247" s="212"/>
      <c r="J247" s="1021">
        <f t="shared" si="1"/>
        <v>484.0400276</v>
      </c>
      <c r="K247" s="1022">
        <f t="shared" si="2"/>
        <v>0.144059532</v>
      </c>
      <c r="L247" s="1024"/>
      <c r="M247" s="1025"/>
    </row>
    <row r="248" ht="17.25" customHeight="1">
      <c r="A248" s="687">
        <f t="shared" si="3"/>
        <v>219</v>
      </c>
      <c r="B248" t="s">
        <v>1942</v>
      </c>
      <c r="C248" t="s">
        <v>1943</v>
      </c>
      <c r="D248" s="212">
        <v>9.516882211E9</v>
      </c>
      <c r="E248" s="1007">
        <v>33.9269682</v>
      </c>
      <c r="F248" s="1007">
        <v>-117.4398166</v>
      </c>
      <c r="G248" s="212"/>
      <c r="H248" s="212"/>
      <c r="I248" s="212"/>
      <c r="J248" s="1021">
        <f t="shared" si="1"/>
        <v>405.9504453</v>
      </c>
      <c r="K248" s="1022">
        <f t="shared" si="2"/>
        <v>0.1208185849</v>
      </c>
      <c r="L248" s="1024"/>
      <c r="M248" s="1025"/>
    </row>
    <row r="249" ht="17.25" customHeight="1">
      <c r="A249" s="687">
        <f t="shared" si="3"/>
        <v>220</v>
      </c>
      <c r="B249" t="s">
        <v>1944</v>
      </c>
      <c r="C249" t="s">
        <v>1945</v>
      </c>
      <c r="D249" s="212">
        <v>5.3022587E9</v>
      </c>
      <c r="E249" s="1007">
        <v>40.5859087</v>
      </c>
      <c r="F249" s="1007">
        <v>-122.416861</v>
      </c>
      <c r="G249" s="212"/>
      <c r="H249" s="212"/>
      <c r="I249" s="212"/>
      <c r="J249" s="1021">
        <f t="shared" si="1"/>
        <v>178.4133401</v>
      </c>
      <c r="K249" s="1022">
        <f t="shared" si="2"/>
        <v>0.05309920837</v>
      </c>
      <c r="L249" s="1021"/>
      <c r="M249" s="1022"/>
    </row>
    <row r="250" ht="17.25" customHeight="1">
      <c r="A250" s="687">
        <f t="shared" si="3"/>
        <v>221</v>
      </c>
      <c r="B250" t="s">
        <v>1946</v>
      </c>
      <c r="C250" t="s">
        <v>1947</v>
      </c>
      <c r="D250" s="212">
        <v>7.077781111E9</v>
      </c>
      <c r="E250" s="1007">
        <v>38.25459</v>
      </c>
      <c r="F250" s="1007">
        <v>-122.6316537</v>
      </c>
      <c r="G250" s="212"/>
      <c r="H250" s="212"/>
      <c r="I250" s="212"/>
      <c r="J250" s="1021">
        <f t="shared" si="1"/>
        <v>16.74834523</v>
      </c>
      <c r="K250" s="1022">
        <f t="shared" si="2"/>
        <v>0.004984626557</v>
      </c>
      <c r="L250" s="1021"/>
      <c r="M250" s="1022"/>
    </row>
    <row r="251" ht="17.25" customHeight="1">
      <c r="A251" s="687">
        <f t="shared" si="3"/>
        <v>222</v>
      </c>
      <c r="B251" t="s">
        <v>1948</v>
      </c>
      <c r="C251" t="s">
        <v>1949</v>
      </c>
      <c r="D251" s="212">
        <v>5.266980811E9</v>
      </c>
      <c r="E251" s="1007">
        <v>33.9690304</v>
      </c>
      <c r="F251" s="1007">
        <v>-118.0490717</v>
      </c>
      <c r="G251" s="212"/>
      <c r="H251" s="212"/>
      <c r="I251" s="212"/>
      <c r="J251" s="1021">
        <f t="shared" si="1"/>
        <v>380.0114449</v>
      </c>
      <c r="K251" s="1022">
        <f t="shared" si="2"/>
        <v>0.1130986443</v>
      </c>
      <c r="L251" s="1024"/>
      <c r="M251" s="1025"/>
    </row>
    <row r="252" ht="17.25" customHeight="1">
      <c r="A252" s="687">
        <f t="shared" si="3"/>
        <v>223</v>
      </c>
      <c r="B252" t="s">
        <v>1950</v>
      </c>
      <c r="C252" t="s">
        <v>1951</v>
      </c>
      <c r="D252" s="212">
        <v>5.269045E9</v>
      </c>
      <c r="E252" s="1007">
        <v>33.9350663</v>
      </c>
      <c r="F252" s="1007">
        <v>-118.131987</v>
      </c>
      <c r="G252" s="212"/>
      <c r="H252" s="212"/>
      <c r="I252" s="212"/>
      <c r="J252" s="1021">
        <f t="shared" si="1"/>
        <v>378.6687474</v>
      </c>
      <c r="K252" s="1022">
        <f t="shared" si="2"/>
        <v>0.112699032</v>
      </c>
      <c r="L252" s="1021"/>
      <c r="M252" s="1022"/>
    </row>
    <row r="253" ht="17.25" customHeight="1">
      <c r="A253" s="687">
        <f t="shared" si="3"/>
        <v>224</v>
      </c>
      <c r="B253" t="s">
        <v>1952</v>
      </c>
      <c r="C253" t="s">
        <v>1953</v>
      </c>
      <c r="D253" s="1026" t="s">
        <v>1858</v>
      </c>
      <c r="E253" s="1027">
        <v>32.9587164</v>
      </c>
      <c r="F253" s="1027">
        <v>-115.5544386</v>
      </c>
      <c r="G253" s="1026" t="s">
        <v>1247</v>
      </c>
      <c r="H253" s="1026"/>
      <c r="I253" s="1026" t="s">
        <v>1225</v>
      </c>
      <c r="J253" s="1021">
        <f t="shared" si="1"/>
        <v>530.7761844</v>
      </c>
      <c r="K253" s="1022">
        <f t="shared" si="2"/>
        <v>0.1579691025</v>
      </c>
      <c r="L253" s="1021"/>
      <c r="M253" s="1022"/>
    </row>
    <row r="254" ht="17.25" customHeight="1">
      <c r="A254" s="687">
        <f t="shared" si="3"/>
        <v>225</v>
      </c>
      <c r="B254" t="s">
        <v>1954</v>
      </c>
      <c r="C254" t="s">
        <v>1955</v>
      </c>
      <c r="D254" s="212">
        <v>7.149932E9</v>
      </c>
      <c r="E254" s="1007">
        <v>33.8870822</v>
      </c>
      <c r="F254" s="1007">
        <v>-117.843323</v>
      </c>
      <c r="G254" s="212"/>
      <c r="H254" s="212"/>
      <c r="I254" s="212"/>
      <c r="J254" s="1021">
        <f t="shared" si="1"/>
        <v>392.1018715</v>
      </c>
      <c r="K254" s="1022">
        <f t="shared" si="2"/>
        <v>0.1166969856</v>
      </c>
      <c r="L254" s="1024"/>
      <c r="M254" s="1025"/>
    </row>
    <row r="255" ht="17.25" customHeight="1">
      <c r="A255" s="687">
        <f t="shared" si="3"/>
        <v>226</v>
      </c>
      <c r="B255" t="s">
        <v>1956</v>
      </c>
      <c r="C255" t="s">
        <v>1957</v>
      </c>
      <c r="D255" s="1026">
        <v>5.302832121E9</v>
      </c>
      <c r="E255" s="1027">
        <v>39.9389362</v>
      </c>
      <c r="F255" s="1027">
        <v>-120.9621319</v>
      </c>
      <c r="G255" s="1026"/>
      <c r="H255" s="1026"/>
      <c r="I255" s="1026"/>
      <c r="J255" s="1021">
        <f t="shared" si="1"/>
        <v>161.0759358</v>
      </c>
      <c r="K255" s="1022">
        <f t="shared" si="2"/>
        <v>0.0479392666</v>
      </c>
      <c r="L255" s="1021"/>
      <c r="M255" s="1022"/>
    </row>
    <row r="256" ht="17.25" customHeight="1">
      <c r="A256" s="687">
        <f t="shared" si="3"/>
        <v>227</v>
      </c>
      <c r="B256" t="s">
        <v>1958</v>
      </c>
      <c r="C256" t="s">
        <v>1959</v>
      </c>
      <c r="D256" s="1026">
        <v>8.584856511E9</v>
      </c>
      <c r="E256" s="1027">
        <v>32.9968688</v>
      </c>
      <c r="F256" s="1027">
        <v>-117.0566063</v>
      </c>
      <c r="G256" s="1026"/>
      <c r="H256" s="1026"/>
      <c r="I256" s="1026"/>
      <c r="J256" s="1021">
        <f t="shared" si="1"/>
        <v>468.4169217</v>
      </c>
      <c r="K256" s="1022">
        <f t="shared" si="2"/>
        <v>0.1394097981</v>
      </c>
      <c r="L256" s="1024"/>
      <c r="M256" s="1025"/>
    </row>
    <row r="257" ht="17.25" customHeight="1">
      <c r="A257" s="687">
        <f t="shared" si="3"/>
        <v>228</v>
      </c>
      <c r="B257" t="s">
        <v>1960</v>
      </c>
      <c r="C257" t="s">
        <v>1961</v>
      </c>
      <c r="D257" s="212">
        <v>9.0986595E9</v>
      </c>
      <c r="E257" s="1007">
        <v>34.0768626</v>
      </c>
      <c r="F257" s="1007">
        <v>-117.7504875</v>
      </c>
      <c r="G257" s="212"/>
      <c r="H257" s="212"/>
      <c r="I257" s="212"/>
      <c r="J257" s="1021">
        <f t="shared" si="1"/>
        <v>386.0903824</v>
      </c>
      <c r="K257" s="1022">
        <f t="shared" si="2"/>
        <v>0.1149078519</v>
      </c>
      <c r="L257" s="1021"/>
      <c r="M257" s="1022"/>
    </row>
    <row r="258" ht="17.25" customHeight="1">
      <c r="A258" s="687">
        <f t="shared" si="3"/>
        <v>229</v>
      </c>
      <c r="B258" s="1017" t="s">
        <v>1962</v>
      </c>
      <c r="C258" s="1018" t="s">
        <v>1963</v>
      </c>
      <c r="D258" s="1019">
        <v>5.597822222E9</v>
      </c>
      <c r="E258" s="1020">
        <v>36.0438161</v>
      </c>
      <c r="F258" s="1020">
        <v>-118.9803525</v>
      </c>
      <c r="G258" s="1021"/>
      <c r="H258" s="1022"/>
      <c r="I258" s="1023"/>
      <c r="J258" s="1021">
        <f t="shared" si="1"/>
        <v>243.9432118</v>
      </c>
      <c r="K258" s="1022">
        <f t="shared" si="2"/>
        <v>0.07260214636</v>
      </c>
      <c r="L258" s="1021"/>
      <c r="M258" s="1022"/>
    </row>
    <row r="259" ht="17.25" customHeight="1">
      <c r="A259" s="687">
        <f t="shared" si="3"/>
        <v>230</v>
      </c>
      <c r="B259" t="s">
        <v>1964</v>
      </c>
      <c r="C259" t="s">
        <v>1965</v>
      </c>
      <c r="D259" s="212" t="s">
        <v>1768</v>
      </c>
      <c r="E259" s="1007">
        <v>34.279782</v>
      </c>
      <c r="F259" s="1007">
        <v>-118.4599806</v>
      </c>
      <c r="G259" s="212" t="s">
        <v>1274</v>
      </c>
      <c r="H259" s="212"/>
      <c r="I259" s="212" t="s">
        <v>1225</v>
      </c>
      <c r="J259" s="1021">
        <f t="shared" si="1"/>
        <v>348.3197974</v>
      </c>
      <c r="K259" s="1022">
        <f t="shared" si="2"/>
        <v>0.1036666064</v>
      </c>
      <c r="L259" s="1021"/>
      <c r="M259" s="1022"/>
    </row>
    <row r="260" ht="17.25" customHeight="1">
      <c r="A260" s="687">
        <f t="shared" si="3"/>
        <v>231</v>
      </c>
      <c r="B260" s="1017" t="s">
        <v>1966</v>
      </c>
      <c r="C260" s="1018" t="s">
        <v>1967</v>
      </c>
      <c r="D260" s="1019">
        <v>3.108323311E9</v>
      </c>
      <c r="E260" s="1020">
        <v>33.7382583</v>
      </c>
      <c r="F260" s="1020">
        <v>-118.305098</v>
      </c>
      <c r="G260" s="1021"/>
      <c r="H260" s="1022"/>
      <c r="I260" s="1023"/>
      <c r="J260" s="1021">
        <f t="shared" si="1"/>
        <v>382.8827996</v>
      </c>
      <c r="K260" s="1022">
        <f t="shared" si="2"/>
        <v>0.1139532142</v>
      </c>
      <c r="L260" s="1024"/>
      <c r="M260" s="1025"/>
    </row>
    <row r="261" ht="17.25" customHeight="1">
      <c r="A261" s="687">
        <f t="shared" si="3"/>
        <v>232</v>
      </c>
      <c r="B261" t="s">
        <v>1968</v>
      </c>
      <c r="C261" t="s">
        <v>1969</v>
      </c>
      <c r="D261" s="1026">
        <v>3.105407676E9</v>
      </c>
      <c r="E261" s="1027">
        <v>33.8384678</v>
      </c>
      <c r="F261" s="1027">
        <v>-118.3572436</v>
      </c>
      <c r="G261" s="1026"/>
      <c r="H261" s="1026"/>
      <c r="I261" s="1026"/>
      <c r="J261" s="1021">
        <f t="shared" si="1"/>
        <v>375.5818635</v>
      </c>
      <c r="K261" s="1022">
        <f t="shared" si="2"/>
        <v>0.1117803165</v>
      </c>
      <c r="L261" s="1021"/>
      <c r="M261" s="1022"/>
    </row>
    <row r="262" ht="17.25" customHeight="1">
      <c r="A262" s="687">
        <f t="shared" si="3"/>
        <v>233</v>
      </c>
      <c r="B262" t="s">
        <v>1970</v>
      </c>
      <c r="C262" t="s">
        <v>1971</v>
      </c>
      <c r="D262" s="212" t="s">
        <v>1887</v>
      </c>
      <c r="E262" s="1007">
        <v>42.3395579</v>
      </c>
      <c r="F262" s="1007">
        <v>-122.8626204</v>
      </c>
      <c r="G262" s="212" t="s">
        <v>1238</v>
      </c>
      <c r="H262" s="212"/>
      <c r="I262" s="212" t="s">
        <v>1225</v>
      </c>
      <c r="J262" s="1021">
        <f t="shared" si="1"/>
        <v>299.5177598</v>
      </c>
      <c r="K262" s="1022">
        <f t="shared" si="2"/>
        <v>0.08914219041</v>
      </c>
      <c r="L262" s="1021"/>
      <c r="M262" s="1022"/>
    </row>
    <row r="263" ht="17.25" customHeight="1">
      <c r="A263" s="687">
        <f t="shared" si="3"/>
        <v>234</v>
      </c>
      <c r="B263" t="s">
        <v>1972</v>
      </c>
      <c r="C263" t="s">
        <v>1973</v>
      </c>
      <c r="D263" s="212">
        <v>3.108295511E9</v>
      </c>
      <c r="E263" s="1007">
        <v>34.0307739</v>
      </c>
      <c r="F263" s="1007">
        <v>-118.4796445</v>
      </c>
      <c r="G263" s="212"/>
      <c r="H263" s="212"/>
      <c r="I263" s="212"/>
      <c r="J263" s="1021">
        <f t="shared" si="1"/>
        <v>360.801749</v>
      </c>
      <c r="K263" s="1022">
        <f t="shared" si="2"/>
        <v>0.1073814729</v>
      </c>
      <c r="L263" s="1024"/>
      <c r="M263" s="1025"/>
    </row>
    <row r="264" ht="17.25" customHeight="1">
      <c r="A264" s="687">
        <f t="shared" si="3"/>
        <v>235</v>
      </c>
      <c r="B264" t="s">
        <v>1974</v>
      </c>
      <c r="C264" t="s">
        <v>1975</v>
      </c>
      <c r="D264" s="212">
        <v>8.188435111E9</v>
      </c>
      <c r="E264" s="1027">
        <v>34.1562138</v>
      </c>
      <c r="F264" s="1027">
        <v>-118.3284546</v>
      </c>
      <c r="G264" s="1021"/>
      <c r="H264" s="1022"/>
      <c r="I264" s="1023"/>
      <c r="J264" s="1021">
        <f t="shared" si="1"/>
        <v>359.714353</v>
      </c>
      <c r="K264" s="1022">
        <f t="shared" si="2"/>
        <v>0.1070578431</v>
      </c>
      <c r="L264" s="1021"/>
      <c r="M264" s="1022"/>
    </row>
    <row r="265" ht="17.25" customHeight="1">
      <c r="A265" s="687">
        <f t="shared" si="3"/>
        <v>236</v>
      </c>
      <c r="B265" t="s">
        <v>1976</v>
      </c>
      <c r="C265" t="s">
        <v>1977</v>
      </c>
      <c r="D265" s="212">
        <v>8.1888108E9</v>
      </c>
      <c r="E265" s="1027">
        <v>34.1710084</v>
      </c>
      <c r="F265" s="1027">
        <v>-118.5320475</v>
      </c>
      <c r="G265" s="1021"/>
      <c r="H265" s="1022"/>
      <c r="I265" s="1023"/>
      <c r="J265" s="1021">
        <f t="shared" si="1"/>
        <v>351.3917752</v>
      </c>
      <c r="K265" s="1022">
        <f t="shared" si="2"/>
        <v>0.1045808855</v>
      </c>
      <c r="L265" s="1021"/>
      <c r="M265" s="1022"/>
    </row>
    <row r="266" ht="17.25" customHeight="1">
      <c r="A266" s="687">
        <f t="shared" si="3"/>
        <v>237</v>
      </c>
      <c r="B266" t="s">
        <v>1978</v>
      </c>
      <c r="C266" t="s">
        <v>1979</v>
      </c>
      <c r="D266" s="212" t="s">
        <v>1771</v>
      </c>
      <c r="E266" s="1007">
        <v>38.324482</v>
      </c>
      <c r="F266" s="1007">
        <v>-122.2971094</v>
      </c>
      <c r="G266" s="212" t="s">
        <v>1238</v>
      </c>
      <c r="H266" s="212"/>
      <c r="I266" s="212" t="s">
        <v>1225</v>
      </c>
      <c r="J266" s="1021">
        <f t="shared" si="1"/>
        <v>28.69827128</v>
      </c>
      <c r="K266" s="1022">
        <f t="shared" si="2"/>
        <v>0.008541152167</v>
      </c>
      <c r="L266" s="1024"/>
      <c r="M266" s="1025"/>
    </row>
    <row r="267" ht="17.25" customHeight="1">
      <c r="A267" s="687">
        <f t="shared" si="3"/>
        <v>238</v>
      </c>
      <c r="B267" t="s">
        <v>1980</v>
      </c>
      <c r="C267" t="s">
        <v>1981</v>
      </c>
      <c r="D267" s="212">
        <v>9.0933555E9</v>
      </c>
      <c r="E267" s="1007">
        <v>34.0365372</v>
      </c>
      <c r="F267" s="1007">
        <v>-117.2051741</v>
      </c>
      <c r="G267" s="212"/>
      <c r="H267" s="212"/>
      <c r="I267" s="212"/>
      <c r="J267" s="1021">
        <f t="shared" si="1"/>
        <v>410.2060649</v>
      </c>
      <c r="K267" s="1022">
        <f t="shared" si="2"/>
        <v>0.1220851384</v>
      </c>
      <c r="L267" s="1021"/>
      <c r="M267" s="1022"/>
    </row>
    <row r="268" ht="17.25" customHeight="1">
      <c r="A268" s="687">
        <f t="shared" si="3"/>
        <v>239</v>
      </c>
      <c r="B268" t="s">
        <v>1982</v>
      </c>
      <c r="C268" t="s">
        <v>1983</v>
      </c>
      <c r="D268" s="1026">
        <v>7.074458121E9</v>
      </c>
      <c r="E268" s="1027">
        <v>40.5823366</v>
      </c>
      <c r="F268" s="1027">
        <v>-124.1363749</v>
      </c>
      <c r="G268" s="1026"/>
      <c r="H268" s="1026"/>
      <c r="I268" s="1026"/>
      <c r="J268" s="1021">
        <f t="shared" si="1"/>
        <v>194.8462603</v>
      </c>
      <c r="K268" s="1022">
        <f t="shared" si="2"/>
        <v>0.05798995841</v>
      </c>
      <c r="L268" s="1021"/>
      <c r="M268" s="1022"/>
    </row>
    <row r="269" ht="17.25" customHeight="1">
      <c r="A269" s="687">
        <f t="shared" si="3"/>
        <v>240</v>
      </c>
      <c r="B269" t="s">
        <v>1984</v>
      </c>
      <c r="C269" t="s">
        <v>1985</v>
      </c>
      <c r="D269" s="212" t="s">
        <v>1774</v>
      </c>
      <c r="E269" s="1007">
        <v>37.3622057</v>
      </c>
      <c r="F269" s="1007">
        <v>-121.8489667</v>
      </c>
      <c r="G269" s="212" t="s">
        <v>1274</v>
      </c>
      <c r="H269" s="212"/>
      <c r="I269" s="212" t="s">
        <v>1225</v>
      </c>
      <c r="J269" s="1021">
        <f t="shared" si="1"/>
        <v>62.64695887</v>
      </c>
      <c r="K269" s="1022">
        <f t="shared" si="2"/>
        <v>0.01864492823</v>
      </c>
      <c r="L269" s="1021"/>
      <c r="M269" s="1022"/>
    </row>
    <row r="270" ht="17.25" customHeight="1">
      <c r="A270" s="687">
        <f t="shared" si="3"/>
        <v>241</v>
      </c>
      <c r="B270" t="s">
        <v>1986</v>
      </c>
      <c r="C270" t="s">
        <v>1987</v>
      </c>
      <c r="D270" s="212" t="s">
        <v>1892</v>
      </c>
      <c r="E270" s="1007">
        <v>39.52552</v>
      </c>
      <c r="F270" s="1007">
        <v>-119.7952114</v>
      </c>
      <c r="G270" s="212" t="s">
        <v>1233</v>
      </c>
      <c r="H270" s="212"/>
      <c r="I270" s="212" t="s">
        <v>1225</v>
      </c>
      <c r="J270" s="1021">
        <f t="shared" si="1"/>
        <v>185.9481113</v>
      </c>
      <c r="K270" s="1022">
        <f t="shared" si="2"/>
        <v>0.0553416998</v>
      </c>
      <c r="L270" s="1021"/>
      <c r="M270" s="1022"/>
    </row>
    <row r="271" ht="17.25" customHeight="1">
      <c r="A271" s="687">
        <f t="shared" si="3"/>
        <v>242</v>
      </c>
      <c r="B271" t="s">
        <v>1988</v>
      </c>
      <c r="C271" t="s">
        <v>1989</v>
      </c>
      <c r="D271" s="212" t="s">
        <v>1870</v>
      </c>
      <c r="E271" s="1007">
        <v>35.64086</v>
      </c>
      <c r="F271" s="1007">
        <v>-117.671187</v>
      </c>
      <c r="G271" s="212" t="s">
        <v>1247</v>
      </c>
      <c r="H271" s="212"/>
      <c r="I271" s="212" t="s">
        <v>1225</v>
      </c>
      <c r="J271" s="1021">
        <f t="shared" si="1"/>
        <v>320.5732427</v>
      </c>
      <c r="K271" s="1022">
        <f t="shared" si="2"/>
        <v>0.09540870318</v>
      </c>
      <c r="L271" s="1024"/>
      <c r="M271" s="1025"/>
    </row>
    <row r="272" ht="17.25" customHeight="1">
      <c r="A272" s="687">
        <f t="shared" si="3"/>
        <v>243</v>
      </c>
      <c r="B272" s="1017" t="s">
        <v>1990</v>
      </c>
      <c r="C272" s="1018" t="s">
        <v>1991</v>
      </c>
      <c r="D272" s="1019" t="s">
        <v>1777</v>
      </c>
      <c r="E272" s="1020">
        <v>33.9772213</v>
      </c>
      <c r="F272" s="1020">
        <v>-117.3815694</v>
      </c>
      <c r="G272" s="1024" t="s">
        <v>1274</v>
      </c>
      <c r="H272" s="1022"/>
      <c r="I272" s="1023" t="s">
        <v>1225</v>
      </c>
      <c r="J272" s="1021">
        <f t="shared" si="1"/>
        <v>405.8311103</v>
      </c>
      <c r="K272" s="1022">
        <f t="shared" si="2"/>
        <v>0.1207830686</v>
      </c>
      <c r="L272" s="1024"/>
      <c r="M272" s="1025"/>
    </row>
    <row r="273" ht="17.25" customHeight="1">
      <c r="A273" s="687">
        <f t="shared" si="3"/>
        <v>244</v>
      </c>
      <c r="B273" t="s">
        <v>1992</v>
      </c>
      <c r="C273" t="s">
        <v>1993</v>
      </c>
      <c r="D273" s="212" t="s">
        <v>1865</v>
      </c>
      <c r="E273" s="1027">
        <v>33.9121342</v>
      </c>
      <c r="F273" s="1027">
        <v>-117.1957233</v>
      </c>
      <c r="G273" s="1021" t="s">
        <v>1233</v>
      </c>
      <c r="H273" s="1022"/>
      <c r="I273" s="1023" t="s">
        <v>1225</v>
      </c>
      <c r="J273" s="1021">
        <f t="shared" si="1"/>
        <v>416.587805</v>
      </c>
      <c r="K273" s="1022">
        <f t="shared" si="2"/>
        <v>0.1239844658</v>
      </c>
      <c r="L273" s="1024"/>
      <c r="M273" s="1025"/>
    </row>
    <row r="274" ht="17.25" customHeight="1">
      <c r="A274" s="687">
        <f t="shared" si="3"/>
        <v>245</v>
      </c>
      <c r="B274" s="1017" t="s">
        <v>1994</v>
      </c>
      <c r="C274" s="1018" t="s">
        <v>1995</v>
      </c>
      <c r="D274" s="1019">
        <v>3.108256301E9</v>
      </c>
      <c r="E274" s="1020">
        <v>34.0664764</v>
      </c>
      <c r="F274" s="1020">
        <v>-118.4465738</v>
      </c>
      <c r="G274" s="1021"/>
      <c r="H274" s="1022"/>
      <c r="I274" s="1023"/>
      <c r="J274" s="1021">
        <f t="shared" si="1"/>
        <v>360.0893394</v>
      </c>
      <c r="K274" s="1022">
        <f t="shared" si="2"/>
        <v>0.1071694463</v>
      </c>
      <c r="L274" s="1021"/>
      <c r="M274" s="1022"/>
    </row>
    <row r="275" ht="17.25" customHeight="1">
      <c r="A275" s="687">
        <f t="shared" si="3"/>
        <v>246</v>
      </c>
      <c r="B275" t="s">
        <v>1996</v>
      </c>
      <c r="C275" t="s">
        <v>1995</v>
      </c>
      <c r="D275" s="212" t="s">
        <v>1780</v>
      </c>
      <c r="E275" s="1007">
        <v>34.0664764</v>
      </c>
      <c r="F275" s="1007">
        <v>-118.4465738</v>
      </c>
      <c r="G275" s="212" t="s">
        <v>1230</v>
      </c>
      <c r="H275" s="212"/>
      <c r="I275" s="212" t="s">
        <v>1225</v>
      </c>
      <c r="J275" s="1021">
        <f t="shared" si="1"/>
        <v>360.0893394</v>
      </c>
      <c r="K275" s="1022">
        <f t="shared" si="2"/>
        <v>0.1071694463</v>
      </c>
      <c r="L275" s="1024"/>
      <c r="M275" s="1025"/>
    </row>
    <row r="276" ht="17.25" customHeight="1">
      <c r="A276" s="687">
        <f t="shared" si="3"/>
        <v>247</v>
      </c>
      <c r="B276" t="s">
        <v>1997</v>
      </c>
      <c r="C276" t="s">
        <v>1998</v>
      </c>
      <c r="D276" s="212">
        <v>5.594503E9</v>
      </c>
      <c r="E276" s="1007">
        <v>36.8352022</v>
      </c>
      <c r="F276" s="1007">
        <v>-119.7655278</v>
      </c>
      <c r="G276" s="212"/>
      <c r="H276" s="212"/>
      <c r="I276" s="212"/>
      <c r="J276" s="1021">
        <f t="shared" si="1"/>
        <v>177.9312778</v>
      </c>
      <c r="K276" s="1022">
        <f t="shared" si="2"/>
        <v>0.05295573745</v>
      </c>
      <c r="L276" s="1021"/>
      <c r="M276" s="1022"/>
    </row>
    <row r="277" ht="17.25" customHeight="1">
      <c r="A277" s="687">
        <f t="shared" si="3"/>
        <v>248</v>
      </c>
      <c r="B277" t="s">
        <v>1999</v>
      </c>
      <c r="C277" t="s">
        <v>2000</v>
      </c>
      <c r="D277" s="212">
        <v>3.1090089E9</v>
      </c>
      <c r="E277" s="1007">
        <v>33.930826</v>
      </c>
      <c r="F277" s="1007">
        <v>-118.203228</v>
      </c>
      <c r="G277" s="212"/>
      <c r="H277" s="212"/>
      <c r="I277" s="212"/>
      <c r="J277" s="1021">
        <f t="shared" si="1"/>
        <v>376.2440793</v>
      </c>
      <c r="K277" s="1022">
        <f t="shared" si="2"/>
        <v>0.1119774046</v>
      </c>
      <c r="L277" s="1024"/>
      <c r="M277" s="1025"/>
    </row>
    <row r="278" ht="17.25" customHeight="1">
      <c r="A278" s="687">
        <f t="shared" si="3"/>
        <v>249</v>
      </c>
      <c r="B278" s="1017" t="s">
        <v>2001</v>
      </c>
      <c r="C278" s="1018" t="s">
        <v>2002</v>
      </c>
      <c r="D278" s="1019">
        <v>4.153536E9</v>
      </c>
      <c r="E278" s="1020">
        <v>37.7893799</v>
      </c>
      <c r="F278" s="1020">
        <v>-122.4167294</v>
      </c>
      <c r="G278" s="1021"/>
      <c r="H278" s="1022"/>
      <c r="I278" s="1023"/>
      <c r="J278" s="1021">
        <f t="shared" si="1"/>
        <v>19.85493773</v>
      </c>
      <c r="K278" s="1022">
        <f t="shared" si="2"/>
        <v>0.005909207657</v>
      </c>
      <c r="L278" s="1021"/>
      <c r="M278" s="1022"/>
    </row>
    <row r="279" ht="17.25" customHeight="1">
      <c r="A279" s="687">
        <f t="shared" si="3"/>
        <v>250</v>
      </c>
      <c r="B279" t="s">
        <v>2003</v>
      </c>
      <c r="C279" t="s">
        <v>2004</v>
      </c>
      <c r="D279" s="1026">
        <v>2.134847111E9</v>
      </c>
      <c r="E279" s="1027">
        <v>34.0642926</v>
      </c>
      <c r="F279" s="1027">
        <v>-118.2741675</v>
      </c>
      <c r="G279" s="1026"/>
      <c r="H279" s="1026"/>
      <c r="I279" s="1026"/>
      <c r="J279" s="1021">
        <f t="shared" si="1"/>
        <v>366.5662652</v>
      </c>
      <c r="K279" s="1022">
        <f t="shared" si="2"/>
        <v>0.1090971027</v>
      </c>
      <c r="L279" s="1021"/>
      <c r="M279" s="1022"/>
    </row>
    <row r="280" ht="17.25" customHeight="1">
      <c r="A280" s="687">
        <f t="shared" si="3"/>
        <v>251</v>
      </c>
      <c r="B280" t="s">
        <v>2005</v>
      </c>
      <c r="C280" t="s">
        <v>2006</v>
      </c>
      <c r="D280" s="212">
        <v>8.317574333E9</v>
      </c>
      <c r="E280" s="1007">
        <v>36.6596862</v>
      </c>
      <c r="F280" s="1007">
        <v>-121.6471476</v>
      </c>
      <c r="G280" s="212"/>
      <c r="H280" s="212"/>
      <c r="I280" s="212"/>
      <c r="J280" s="1021">
        <f t="shared" si="1"/>
        <v>108.5016094</v>
      </c>
      <c r="K280" s="1022">
        <f t="shared" si="2"/>
        <v>0.03229214565</v>
      </c>
      <c r="L280" s="1021"/>
      <c r="M280" s="1022"/>
    </row>
    <row r="281" ht="17.25" customHeight="1">
      <c r="A281" s="687">
        <f t="shared" si="3"/>
        <v>252</v>
      </c>
      <c r="B281" t="s">
        <v>2007</v>
      </c>
      <c r="C281" t="s">
        <v>2008</v>
      </c>
      <c r="D281" s="1026">
        <v>7.149852811E9</v>
      </c>
      <c r="E281" s="1027">
        <v>34.1019041</v>
      </c>
      <c r="F281" s="1027">
        <v>-117.6374336</v>
      </c>
      <c r="G281" s="1026"/>
      <c r="H281" s="1026"/>
      <c r="I281" s="1026"/>
      <c r="J281" s="1021">
        <f t="shared" si="1"/>
        <v>389.3618788</v>
      </c>
      <c r="K281" s="1022">
        <f t="shared" si="2"/>
        <v>0.1158815115</v>
      </c>
      <c r="L281" s="1021"/>
      <c r="M281" s="1022"/>
    </row>
    <row r="282" ht="17.25" customHeight="1">
      <c r="A282" s="687">
        <f t="shared" si="3"/>
        <v>253</v>
      </c>
      <c r="B282" t="s">
        <v>2009</v>
      </c>
      <c r="C282" t="s">
        <v>2010</v>
      </c>
      <c r="D282" s="212">
        <v>9.095996811E9</v>
      </c>
      <c r="E282" s="1007">
        <v>34.097533</v>
      </c>
      <c r="F282" s="1007">
        <v>-117.8345314</v>
      </c>
      <c r="G282" s="212"/>
      <c r="H282" s="212"/>
      <c r="I282" s="212"/>
      <c r="J282" s="1021">
        <f t="shared" si="1"/>
        <v>381.7312182</v>
      </c>
      <c r="K282" s="1022">
        <f t="shared" si="2"/>
        <v>0.1136104816</v>
      </c>
      <c r="L282" s="1024"/>
      <c r="M282" s="1025"/>
    </row>
    <row r="283" ht="17.25" customHeight="1">
      <c r="A283" s="687">
        <f t="shared" si="3"/>
        <v>254</v>
      </c>
      <c r="B283" t="s">
        <v>2011</v>
      </c>
      <c r="C283" s="24" t="s">
        <v>2012</v>
      </c>
      <c r="D283" s="1028">
        <v>6.262895454E9</v>
      </c>
      <c r="E283" s="1027">
        <v>34.1023234</v>
      </c>
      <c r="F283" s="1027">
        <v>-118.1055415</v>
      </c>
      <c r="G283" s="1021"/>
      <c r="H283" s="1022"/>
      <c r="I283" s="1023"/>
      <c r="J283" s="1021">
        <f t="shared" si="1"/>
        <v>370.9591207</v>
      </c>
      <c r="K283" s="1022">
        <f t="shared" si="2"/>
        <v>0.1104045002</v>
      </c>
      <c r="L283" s="1021"/>
      <c r="M283" s="1022"/>
    </row>
    <row r="284" ht="17.25" customHeight="1">
      <c r="A284" s="687">
        <f t="shared" si="3"/>
        <v>255</v>
      </c>
      <c r="B284" t="s">
        <v>2013</v>
      </c>
      <c r="C284" s="1035" t="s">
        <v>2014</v>
      </c>
      <c r="D284" s="1026">
        <v>9.518451121E9</v>
      </c>
      <c r="E284" s="1027">
        <v>33.9316874</v>
      </c>
      <c r="F284" s="1027">
        <v>-116.9461472</v>
      </c>
      <c r="G284" s="1026"/>
      <c r="H284" s="1026"/>
      <c r="I284" s="1026"/>
      <c r="J284" s="1021">
        <f t="shared" si="1"/>
        <v>426.0008424</v>
      </c>
      <c r="K284" s="1022">
        <f t="shared" si="2"/>
        <v>0.126785965</v>
      </c>
      <c r="L284" s="1021"/>
      <c r="M284" s="1022"/>
    </row>
    <row r="285" ht="17.25" customHeight="1">
      <c r="A285" s="687">
        <f t="shared" si="3"/>
        <v>256</v>
      </c>
      <c r="B285" t="s">
        <v>2015</v>
      </c>
      <c r="C285" t="s">
        <v>2016</v>
      </c>
      <c r="D285" s="1026" t="s">
        <v>1783</v>
      </c>
      <c r="E285" s="1027">
        <v>37.8867135</v>
      </c>
      <c r="F285" s="1027">
        <v>-121.2826314</v>
      </c>
      <c r="G285" s="1026" t="s">
        <v>1238</v>
      </c>
      <c r="H285" s="1026"/>
      <c r="I285" s="1026" t="s">
        <v>1225</v>
      </c>
      <c r="J285" s="1021">
        <f t="shared" si="1"/>
        <v>74.83467073</v>
      </c>
      <c r="K285" s="1022">
        <f t="shared" si="2"/>
        <v>0.02227222343</v>
      </c>
      <c r="L285" s="1021"/>
      <c r="M285" s="1022"/>
    </row>
    <row r="286" ht="17.25" customHeight="1">
      <c r="A286" s="687">
        <f t="shared" si="3"/>
        <v>257</v>
      </c>
      <c r="B286" t="s">
        <v>2017</v>
      </c>
      <c r="C286" t="s">
        <v>2018</v>
      </c>
      <c r="D286" s="1026">
        <v>6.505732222E9</v>
      </c>
      <c r="E286" s="1027">
        <v>37.5312245</v>
      </c>
      <c r="F286" s="1027">
        <v>-122.2991375</v>
      </c>
      <c r="G286" s="1026"/>
      <c r="H286" s="1026"/>
      <c r="I286" s="1026"/>
      <c r="J286" s="1021">
        <f t="shared" si="1"/>
        <v>38.30614313</v>
      </c>
      <c r="K286" s="1022">
        <f t="shared" si="2"/>
        <v>0.01140063784</v>
      </c>
      <c r="L286" s="1024"/>
      <c r="M286" s="1025"/>
    </row>
    <row r="287" ht="17.25" customHeight="1">
      <c r="A287" s="687">
        <f t="shared" si="3"/>
        <v>258</v>
      </c>
      <c r="B287" t="s">
        <v>2019</v>
      </c>
      <c r="C287" t="s">
        <v>2020</v>
      </c>
      <c r="D287" s="212">
        <v>8.056827111E9</v>
      </c>
      <c r="E287" s="1007">
        <v>34.4299064</v>
      </c>
      <c r="F287" s="1007">
        <v>-119.7233598</v>
      </c>
      <c r="G287" s="212" t="s">
        <v>1230</v>
      </c>
      <c r="H287" s="212"/>
      <c r="I287" s="212" t="s">
        <v>1225</v>
      </c>
      <c r="J287" s="1021">
        <f t="shared" si="1"/>
        <v>296.6574421</v>
      </c>
      <c r="K287" s="1022">
        <f t="shared" si="2"/>
        <v>0.08829090538</v>
      </c>
      <c r="L287" s="1021"/>
      <c r="M287" s="1022"/>
    </row>
    <row r="288" ht="17.25" customHeight="1">
      <c r="A288" s="687">
        <f t="shared" si="3"/>
        <v>259</v>
      </c>
      <c r="B288" t="s">
        <v>2021</v>
      </c>
      <c r="C288" t="s">
        <v>2022</v>
      </c>
      <c r="D288" s="212" t="s">
        <v>1788</v>
      </c>
      <c r="E288" s="1007">
        <v>37.3128569</v>
      </c>
      <c r="F288" s="1007">
        <v>-121.9332672</v>
      </c>
      <c r="G288" s="212" t="s">
        <v>1230</v>
      </c>
      <c r="H288" s="212" t="s">
        <v>1225</v>
      </c>
      <c r="I288" s="212" t="s">
        <v>1225</v>
      </c>
      <c r="J288" s="1021">
        <f t="shared" si="1"/>
        <v>62.15706916</v>
      </c>
      <c r="K288" s="1022">
        <f t="shared" si="2"/>
        <v>0.01849912773</v>
      </c>
      <c r="L288" s="1024"/>
      <c r="M288" s="1025"/>
    </row>
    <row r="289" ht="17.25" customHeight="1">
      <c r="A289" s="687">
        <f t="shared" si="3"/>
        <v>260</v>
      </c>
      <c r="B289" t="s">
        <v>2023</v>
      </c>
      <c r="C289" t="s">
        <v>2024</v>
      </c>
      <c r="D289" s="212">
        <v>3.103194E9</v>
      </c>
      <c r="E289" s="1007">
        <v>34.0270998</v>
      </c>
      <c r="F289" s="1007">
        <v>-118.4863064</v>
      </c>
      <c r="G289" s="212"/>
      <c r="H289" s="212"/>
      <c r="I289" s="212"/>
      <c r="J289" s="1021">
        <f t="shared" si="1"/>
        <v>360.7588037</v>
      </c>
      <c r="K289" s="1022">
        <f t="shared" si="2"/>
        <v>0.1073686916</v>
      </c>
      <c r="L289" s="1024"/>
      <c r="M289" s="1025"/>
    </row>
    <row r="290" ht="17.25" customHeight="1">
      <c r="A290" s="687">
        <f t="shared" si="3"/>
        <v>261</v>
      </c>
      <c r="B290" t="s">
        <v>2025</v>
      </c>
      <c r="C290" t="s">
        <v>2026</v>
      </c>
      <c r="D290" s="1026" t="s">
        <v>1792</v>
      </c>
      <c r="E290" s="1027">
        <v>38.4437589</v>
      </c>
      <c r="F290" s="1027">
        <v>-122.7011068</v>
      </c>
      <c r="G290" s="1026" t="s">
        <v>1274</v>
      </c>
      <c r="H290" s="1026"/>
      <c r="I290" s="1026" t="s">
        <v>1225</v>
      </c>
      <c r="J290" s="1021">
        <f t="shared" si="1"/>
        <v>29.97118402</v>
      </c>
      <c r="K290" s="1022">
        <f t="shared" si="2"/>
        <v>0.008919995245</v>
      </c>
      <c r="L290" s="1024"/>
      <c r="M290" s="1025"/>
    </row>
    <row r="291" ht="17.25" customHeight="1">
      <c r="A291" s="687">
        <f t="shared" si="3"/>
        <v>262</v>
      </c>
      <c r="B291" t="s">
        <v>2027</v>
      </c>
      <c r="C291" t="s">
        <v>2028</v>
      </c>
      <c r="D291" s="212">
        <v>8.056886431E9</v>
      </c>
      <c r="E291" s="1007">
        <v>34.6018764</v>
      </c>
      <c r="F291" s="1007">
        <v>-120.1261802</v>
      </c>
      <c r="G291" s="212"/>
      <c r="H291" s="212"/>
      <c r="I291" s="212"/>
      <c r="J291" s="1021">
        <f t="shared" si="1"/>
        <v>274.5584483</v>
      </c>
      <c r="K291" s="1022">
        <f t="shared" si="2"/>
        <v>0.08171382389</v>
      </c>
      <c r="L291" s="1024"/>
      <c r="M291" s="1025"/>
    </row>
    <row r="292" ht="17.25" customHeight="1">
      <c r="A292" s="687">
        <f t="shared" si="3"/>
        <v>263</v>
      </c>
      <c r="B292" s="1017" t="s">
        <v>2029</v>
      </c>
      <c r="C292" s="1018" t="s">
        <v>2030</v>
      </c>
      <c r="D292" s="1019">
        <v>8.5845591E9</v>
      </c>
      <c r="E292" s="1020">
        <v>32.8970357</v>
      </c>
      <c r="F292" s="1020">
        <v>-117.2427735</v>
      </c>
      <c r="G292" s="1021"/>
      <c r="H292" s="1022"/>
      <c r="I292" s="1023"/>
      <c r="J292" s="1021">
        <f t="shared" si="1"/>
        <v>466.7770068</v>
      </c>
      <c r="K292" s="1022">
        <f t="shared" si="2"/>
        <v>0.1389217282</v>
      </c>
      <c r="L292" s="1021"/>
      <c r="M292" s="1022"/>
    </row>
    <row r="293" ht="17.25" customHeight="1">
      <c r="A293" s="687">
        <f t="shared" si="3"/>
        <v>264</v>
      </c>
      <c r="B293" t="s">
        <v>2031</v>
      </c>
      <c r="C293" t="s">
        <v>2032</v>
      </c>
      <c r="D293" s="212" t="s">
        <v>1795</v>
      </c>
      <c r="E293" s="1007">
        <v>32.8851544</v>
      </c>
      <c r="F293" s="1007">
        <v>-117.2255383</v>
      </c>
      <c r="G293" s="212" t="s">
        <v>1274</v>
      </c>
      <c r="H293" s="212"/>
      <c r="I293" s="212" t="s">
        <v>1225</v>
      </c>
      <c r="J293" s="1021">
        <f t="shared" si="1"/>
        <v>468.0481189</v>
      </c>
      <c r="K293" s="1022">
        <f t="shared" si="2"/>
        <v>0.1393000354</v>
      </c>
      <c r="L293" s="1021"/>
      <c r="M293" s="1022"/>
    </row>
    <row r="294" ht="17.25" customHeight="1">
      <c r="A294" s="687">
        <f t="shared" si="3"/>
        <v>265</v>
      </c>
      <c r="B294" t="s">
        <v>2033</v>
      </c>
      <c r="C294" t="s">
        <v>2034</v>
      </c>
      <c r="D294" s="212">
        <v>7.607536501E9</v>
      </c>
      <c r="E294" s="1007">
        <v>33.037019</v>
      </c>
      <c r="F294" s="1007">
        <v>-117.2841325</v>
      </c>
      <c r="G294" s="212"/>
      <c r="H294" s="212"/>
      <c r="I294" s="212"/>
      <c r="J294" s="1021">
        <f t="shared" si="1"/>
        <v>457.7658235</v>
      </c>
      <c r="K294" s="1022">
        <f t="shared" si="2"/>
        <v>0.1362398284</v>
      </c>
      <c r="L294" s="1021"/>
      <c r="M294" s="1022"/>
    </row>
    <row r="295" ht="17.25" customHeight="1">
      <c r="A295" s="687">
        <f t="shared" si="3"/>
        <v>266</v>
      </c>
      <c r="B295" t="s">
        <v>2035</v>
      </c>
      <c r="C295" t="s">
        <v>2036</v>
      </c>
      <c r="D295" s="1026" t="s">
        <v>1798</v>
      </c>
      <c r="E295" s="1027">
        <v>32.7515656</v>
      </c>
      <c r="F295" s="1027">
        <v>-117.16039</v>
      </c>
      <c r="G295" s="1026" t="s">
        <v>1230</v>
      </c>
      <c r="H295" s="1026"/>
      <c r="I295" s="1026" t="s">
        <v>1225</v>
      </c>
      <c r="J295" s="1021">
        <f t="shared" si="1"/>
        <v>477.6229463</v>
      </c>
      <c r="K295" s="1022">
        <f t="shared" si="2"/>
        <v>0.1421496864</v>
      </c>
      <c r="L295" s="1021"/>
      <c r="M295" s="1022"/>
    </row>
    <row r="296" ht="17.25" customHeight="1">
      <c r="A296" s="687">
        <f t="shared" si="3"/>
        <v>267</v>
      </c>
      <c r="B296" t="s">
        <v>2037</v>
      </c>
      <c r="C296" t="s">
        <v>2038</v>
      </c>
      <c r="D296" s="1026">
        <v>5.302582121E9</v>
      </c>
      <c r="E296" s="1027">
        <v>40.305719</v>
      </c>
      <c r="F296" s="1027">
        <v>-121.2348282</v>
      </c>
      <c r="G296" s="1026"/>
      <c r="H296" s="1026"/>
      <c r="I296" s="1026"/>
      <c r="J296" s="1021">
        <f t="shared" si="1"/>
        <v>175.7293534</v>
      </c>
      <c r="K296" s="1022">
        <f t="shared" si="2"/>
        <v>0.0523004028</v>
      </c>
      <c r="L296" s="1021"/>
      <c r="M296" s="1022"/>
    </row>
    <row r="297" ht="17.25" customHeight="1">
      <c r="A297" s="687">
        <f t="shared" si="3"/>
        <v>268</v>
      </c>
      <c r="B297" t="s">
        <v>2039</v>
      </c>
      <c r="C297" t="s">
        <v>2040</v>
      </c>
      <c r="D297" s="212">
        <v>6.503675551E9</v>
      </c>
      <c r="E297" s="1007">
        <v>37.479843</v>
      </c>
      <c r="F297" s="1007">
        <v>-122.2546654</v>
      </c>
      <c r="G297" s="212"/>
      <c r="H297" s="212"/>
      <c r="I297" s="212"/>
      <c r="J297" s="1021">
        <f t="shared" si="1"/>
        <v>42.60281507</v>
      </c>
      <c r="K297" s="1022">
        <f t="shared" si="2"/>
        <v>0.01267940925</v>
      </c>
      <c r="L297" s="1021"/>
      <c r="M297" s="1022"/>
    </row>
    <row r="298" ht="17.25" customHeight="1">
      <c r="A298" s="687">
        <f t="shared" si="3"/>
        <v>269</v>
      </c>
      <c r="B298" t="s">
        <v>2041</v>
      </c>
      <c r="C298" t="s">
        <v>2042</v>
      </c>
      <c r="D298" s="212">
        <v>6.509924E9</v>
      </c>
      <c r="E298" s="1027">
        <v>37.6801347</v>
      </c>
      <c r="F298" s="1027">
        <v>-122.4740564</v>
      </c>
      <c r="G298" s="1021"/>
      <c r="H298" s="1022"/>
      <c r="I298" s="1023"/>
      <c r="J298" s="1021">
        <f t="shared" si="1"/>
        <v>24.83238741</v>
      </c>
      <c r="K298" s="1022">
        <f t="shared" si="2"/>
        <v>0.00739059149</v>
      </c>
      <c r="L298" s="1021"/>
      <c r="M298" s="1022"/>
    </row>
    <row r="299" ht="17.25" customHeight="1">
      <c r="A299" s="687">
        <f t="shared" si="3"/>
        <v>270</v>
      </c>
      <c r="B299" t="s">
        <v>2043</v>
      </c>
      <c r="C299" s="24" t="s">
        <v>2044</v>
      </c>
      <c r="D299" s="229">
        <v>6.1950258E9</v>
      </c>
      <c r="E299" s="1027">
        <v>32.6187297</v>
      </c>
      <c r="F299" s="1027">
        <v>-117.0221467</v>
      </c>
      <c r="G299" s="1021"/>
      <c r="H299" s="1022"/>
      <c r="I299" s="1023"/>
      <c r="J299" s="1021">
        <f t="shared" si="1"/>
        <v>489.842379</v>
      </c>
      <c r="K299" s="1022">
        <f t="shared" si="2"/>
        <v>0.1457864223</v>
      </c>
      <c r="L299" s="1024"/>
      <c r="M299" s="1025"/>
    </row>
    <row r="300" ht="17.25" customHeight="1">
      <c r="A300" s="687">
        <f t="shared" si="3"/>
        <v>271</v>
      </c>
      <c r="B300" t="s">
        <v>2045</v>
      </c>
      <c r="C300" t="s">
        <v>2046</v>
      </c>
      <c r="D300" s="212">
        <v>6.194356251E9</v>
      </c>
      <c r="E300" s="1007">
        <v>32.694447</v>
      </c>
      <c r="F300" s="1007">
        <v>-117.1686765</v>
      </c>
      <c r="G300" s="212"/>
      <c r="H300" s="212"/>
      <c r="I300" s="212"/>
      <c r="J300" s="1021">
        <f t="shared" si="1"/>
        <v>480.4098732</v>
      </c>
      <c r="K300" s="1022">
        <f t="shared" si="2"/>
        <v>0.1429791289</v>
      </c>
      <c r="L300" s="1024"/>
      <c r="M300" s="1025"/>
    </row>
    <row r="301" ht="17.25" customHeight="1">
      <c r="A301" s="687">
        <f t="shared" si="3"/>
        <v>272</v>
      </c>
      <c r="B301" t="s">
        <v>2047</v>
      </c>
      <c r="C301" t="s">
        <v>2048</v>
      </c>
      <c r="D301" s="212" t="s">
        <v>1801</v>
      </c>
      <c r="E301" s="1007">
        <v>32.7996759</v>
      </c>
      <c r="F301" s="1007">
        <v>-117.1546001</v>
      </c>
      <c r="G301" s="212" t="s">
        <v>1274</v>
      </c>
      <c r="H301" s="212"/>
      <c r="I301" s="212" t="s">
        <v>1225</v>
      </c>
      <c r="J301" s="1021">
        <f t="shared" si="1"/>
        <v>475.2446648</v>
      </c>
      <c r="K301" s="1022">
        <f t="shared" si="2"/>
        <v>0.1414418645</v>
      </c>
      <c r="L301" s="1021"/>
      <c r="M301" s="1022"/>
    </row>
    <row r="302" ht="17.25" customHeight="1">
      <c r="A302" s="687">
        <f t="shared" si="3"/>
        <v>273</v>
      </c>
      <c r="B302" t="s">
        <v>2049</v>
      </c>
      <c r="C302" t="s">
        <v>2050</v>
      </c>
      <c r="D302" s="212">
        <v>5.302445454E9</v>
      </c>
      <c r="E302" s="1007">
        <v>40.5855541</v>
      </c>
      <c r="F302" s="1007">
        <v>-122.3877573</v>
      </c>
      <c r="G302" s="212"/>
      <c r="H302" s="212"/>
      <c r="I302" s="212"/>
      <c r="J302" s="1021">
        <f t="shared" si="1"/>
        <v>178.5024083</v>
      </c>
      <c r="K302" s="1022">
        <f t="shared" si="2"/>
        <v>0.05312571676</v>
      </c>
      <c r="L302" s="1024"/>
      <c r="M302" s="1025"/>
    </row>
    <row r="303" ht="17.25" customHeight="1">
      <c r="A303" s="687">
        <f t="shared" si="3"/>
        <v>274</v>
      </c>
      <c r="B303" t="s">
        <v>2051</v>
      </c>
      <c r="C303" t="s">
        <v>2052</v>
      </c>
      <c r="D303" s="1026">
        <v>8.189817111E9</v>
      </c>
      <c r="E303" s="1027">
        <v>34.1602807</v>
      </c>
      <c r="F303" s="1027">
        <v>-118.4495134</v>
      </c>
      <c r="G303" s="1026"/>
      <c r="H303" s="1026"/>
      <c r="I303" s="1026"/>
      <c r="J303" s="1021">
        <f t="shared" si="1"/>
        <v>354.9946899</v>
      </c>
      <c r="K303" s="1022">
        <f t="shared" si="2"/>
        <v>0.1056531815</v>
      </c>
      <c r="L303" s="1024"/>
      <c r="M303" s="1025"/>
    </row>
    <row r="304" ht="17.25" customHeight="1">
      <c r="A304" s="687">
        <f t="shared" si="3"/>
        <v>275</v>
      </c>
      <c r="B304" s="1017" t="s">
        <v>2053</v>
      </c>
      <c r="C304" s="1018" t="s">
        <v>2054</v>
      </c>
      <c r="D304" s="1019">
        <v>5.302746E9</v>
      </c>
      <c r="E304" s="1020">
        <v>39.2281029</v>
      </c>
      <c r="F304" s="1020">
        <v>-121.0468913</v>
      </c>
      <c r="G304" s="1021"/>
      <c r="H304" s="1022"/>
      <c r="I304" s="1023"/>
      <c r="J304" s="1021">
        <f t="shared" si="1"/>
        <v>120.5402811</v>
      </c>
      <c r="K304" s="1022">
        <f t="shared" si="2"/>
        <v>0.03587508366</v>
      </c>
      <c r="L304" s="1024"/>
      <c r="M304" s="1025"/>
    </row>
    <row r="305" ht="17.25" customHeight="1">
      <c r="A305" s="687">
        <f t="shared" si="3"/>
        <v>276</v>
      </c>
      <c r="B305" t="s">
        <v>2055</v>
      </c>
      <c r="C305" t="s">
        <v>2056</v>
      </c>
      <c r="D305" s="1026">
        <v>5.59784111E9</v>
      </c>
      <c r="E305" s="1027">
        <v>36.0690832</v>
      </c>
      <c r="F305" s="1027">
        <v>-119.0273534</v>
      </c>
      <c r="G305" s="1026"/>
      <c r="H305" s="1026"/>
      <c r="I305" s="1026"/>
      <c r="J305" s="1021">
        <f t="shared" si="1"/>
        <v>240.7865143</v>
      </c>
      <c r="K305" s="1022">
        <f t="shared" si="2"/>
        <v>0.07166265307</v>
      </c>
      <c r="L305" s="1021"/>
      <c r="M305" s="1022"/>
    </row>
    <row r="306" ht="17.25" customHeight="1">
      <c r="A306" s="687">
        <f t="shared" si="3"/>
        <v>277</v>
      </c>
      <c r="B306" t="s">
        <v>2057</v>
      </c>
      <c r="C306" t="s">
        <v>2058</v>
      </c>
      <c r="D306" s="212" t="s">
        <v>1804</v>
      </c>
      <c r="E306" s="1007">
        <v>35.2922411</v>
      </c>
      <c r="F306" s="1007">
        <v>-120.665834</v>
      </c>
      <c r="G306" s="212" t="s">
        <v>1238</v>
      </c>
      <c r="H306" s="212"/>
      <c r="I306" s="212" t="s">
        <v>1225</v>
      </c>
      <c r="J306" s="1021">
        <f t="shared" si="1"/>
        <v>217.8946743</v>
      </c>
      <c r="K306" s="1022">
        <f t="shared" si="2"/>
        <v>0.06484960546</v>
      </c>
      <c r="L306" s="1021"/>
      <c r="M306" s="1022"/>
    </row>
    <row r="307" ht="17.25" customHeight="1">
      <c r="A307" s="687">
        <f t="shared" si="3"/>
        <v>278</v>
      </c>
      <c r="B307" t="s">
        <v>2059</v>
      </c>
      <c r="C307" t="s">
        <v>2060</v>
      </c>
      <c r="D307" s="1026">
        <v>2.139896123E9</v>
      </c>
      <c r="E307" s="1027">
        <v>34.0695317</v>
      </c>
      <c r="F307" s="1027">
        <v>-118.2634888</v>
      </c>
      <c r="G307" s="1026"/>
      <c r="H307" s="1026"/>
      <c r="I307" s="1026"/>
      <c r="J307" s="1021">
        <f t="shared" si="1"/>
        <v>366.6898339</v>
      </c>
      <c r="K307" s="1022">
        <f t="shared" si="2"/>
        <v>0.1091338791</v>
      </c>
      <c r="L307" s="1024"/>
      <c r="M307" s="1025"/>
    </row>
    <row r="308" ht="17.25" customHeight="1">
      <c r="A308" s="687">
        <f t="shared" si="3"/>
        <v>279</v>
      </c>
      <c r="B308" t="s">
        <v>2061</v>
      </c>
      <c r="C308" t="s">
        <v>2062</v>
      </c>
      <c r="D308" s="1026" t="s">
        <v>1880</v>
      </c>
      <c r="E308" s="1027">
        <v>42.252901</v>
      </c>
      <c r="F308" s="1027">
        <v>-121.7850162</v>
      </c>
      <c r="G308" s="1026" t="s">
        <v>1238</v>
      </c>
      <c r="H308" s="1026"/>
      <c r="I308" s="1026" t="s">
        <v>1225</v>
      </c>
      <c r="J308" s="1021">
        <f t="shared" si="1"/>
        <v>296.8105296</v>
      </c>
      <c r="K308" s="1022">
        <f t="shared" si="2"/>
        <v>0.08833646715</v>
      </c>
      <c r="L308" s="1021"/>
      <c r="M308" s="1022"/>
    </row>
    <row r="309" ht="17.25" customHeight="1">
      <c r="A309" s="687">
        <f t="shared" si="3"/>
        <v>280</v>
      </c>
      <c r="B309" s="1017" t="s">
        <v>2063</v>
      </c>
      <c r="C309" s="1018" t="s">
        <v>2064</v>
      </c>
      <c r="D309" s="1019">
        <v>7.079355E9</v>
      </c>
      <c r="E309" s="1020">
        <v>38.2881503</v>
      </c>
      <c r="F309" s="1020">
        <v>-122.4656876</v>
      </c>
      <c r="G309" s="1021"/>
      <c r="H309" s="1022"/>
      <c r="I309" s="1023"/>
      <c r="J309" s="1021">
        <f t="shared" si="1"/>
        <v>21.41141252</v>
      </c>
      <c r="K309" s="1022">
        <f t="shared" si="2"/>
        <v>0.006372444202</v>
      </c>
      <c r="L309" s="1024"/>
      <c r="M309" s="1025"/>
    </row>
    <row r="310" ht="17.25" customHeight="1">
      <c r="A310" s="687">
        <f t="shared" si="3"/>
        <v>281</v>
      </c>
      <c r="B310" t="s">
        <v>2065</v>
      </c>
      <c r="C310" t="s">
        <v>2066</v>
      </c>
      <c r="D310" s="212">
        <v>7.147545454E9</v>
      </c>
      <c r="E310" s="1007">
        <v>33.7110583</v>
      </c>
      <c r="F310" s="1007">
        <v>-117.8851902</v>
      </c>
      <c r="G310" s="212"/>
      <c r="H310" s="212"/>
      <c r="I310" s="212"/>
      <c r="J310" s="1021">
        <f t="shared" si="1"/>
        <v>399.6804996</v>
      </c>
      <c r="K310" s="1022">
        <f t="shared" si="2"/>
        <v>0.1189525297</v>
      </c>
      <c r="L310" s="1021"/>
      <c r="M310" s="1022"/>
    </row>
    <row r="311" ht="17.25" customHeight="1">
      <c r="A311" s="687">
        <f t="shared" si="3"/>
        <v>282</v>
      </c>
      <c r="B311" s="1017" t="s">
        <v>2067</v>
      </c>
      <c r="C311" s="1018" t="s">
        <v>2068</v>
      </c>
      <c r="D311" s="1019">
        <v>3.234622271E9</v>
      </c>
      <c r="E311" s="1020">
        <v>34.0964254</v>
      </c>
      <c r="F311" s="1020">
        <v>-118.3252367</v>
      </c>
      <c r="G311" s="1021"/>
      <c r="H311" s="1022"/>
      <c r="I311" s="1023"/>
      <c r="J311" s="1021">
        <f t="shared" si="1"/>
        <v>362.9727153</v>
      </c>
      <c r="K311" s="1022">
        <f t="shared" si="2"/>
        <v>0.1080275938</v>
      </c>
      <c r="L311" s="1024"/>
      <c r="M311" s="1025"/>
    </row>
    <row r="312" ht="17.25" customHeight="1">
      <c r="A312" s="687">
        <f t="shared" si="3"/>
        <v>283</v>
      </c>
      <c r="B312" t="s">
        <v>2069</v>
      </c>
      <c r="C312" t="s">
        <v>2070</v>
      </c>
      <c r="D312" s="212">
        <v>7.608765501E9</v>
      </c>
      <c r="E312" s="1007">
        <v>36.6090539</v>
      </c>
      <c r="F312" s="1007">
        <v>-118.0578529</v>
      </c>
      <c r="G312" s="212"/>
      <c r="H312" s="212"/>
      <c r="I312" s="212"/>
      <c r="J312" s="1021">
        <f t="shared" si="1"/>
        <v>270.4152077</v>
      </c>
      <c r="K312" s="1022">
        <f t="shared" si="2"/>
        <v>0.08048071659</v>
      </c>
      <c r="L312" s="1021"/>
      <c r="M312" s="1022"/>
    </row>
    <row r="313" ht="17.25" customHeight="1">
      <c r="A313" s="687">
        <f t="shared" si="3"/>
        <v>284</v>
      </c>
      <c r="B313" t="s">
        <v>2071</v>
      </c>
      <c r="C313" t="s">
        <v>2072</v>
      </c>
      <c r="D313" s="1026">
        <v>9.516966E9</v>
      </c>
      <c r="E313" s="1027">
        <v>33.5590999</v>
      </c>
      <c r="F313" s="1027">
        <v>-117.1839646</v>
      </c>
      <c r="G313" s="1026"/>
      <c r="H313" s="1026"/>
      <c r="I313" s="1026"/>
      <c r="J313" s="1021">
        <f t="shared" si="1"/>
        <v>434.5281218</v>
      </c>
      <c r="K313" s="1022">
        <f t="shared" si="2"/>
        <v>0.1293238458</v>
      </c>
      <c r="L313" s="1021"/>
      <c r="M313" s="1022"/>
    </row>
    <row r="314" ht="17.25" customHeight="1">
      <c r="A314" s="687">
        <f t="shared" si="3"/>
        <v>285</v>
      </c>
      <c r="B314" t="s">
        <v>2073</v>
      </c>
      <c r="C314" t="s">
        <v>2074</v>
      </c>
      <c r="D314" s="212">
        <v>9.098838711E9</v>
      </c>
      <c r="E314" s="1007">
        <v>34.1348371</v>
      </c>
      <c r="F314" s="1007">
        <v>-117.2769883</v>
      </c>
      <c r="G314" s="212"/>
      <c r="H314" s="212"/>
      <c r="I314" s="212"/>
      <c r="J314" s="1021">
        <f t="shared" si="1"/>
        <v>402.5333704</v>
      </c>
      <c r="K314" s="1022">
        <f t="shared" si="2"/>
        <v>0.1198015983</v>
      </c>
      <c r="L314" s="1021"/>
      <c r="M314" s="1022"/>
    </row>
    <row r="315" ht="17.25" customHeight="1">
      <c r="A315" s="687">
        <f t="shared" si="3"/>
        <v>286</v>
      </c>
      <c r="B315" t="s">
        <v>2075</v>
      </c>
      <c r="C315" t="s">
        <v>2076</v>
      </c>
      <c r="D315" s="212">
        <v>5.305298012E9</v>
      </c>
      <c r="E315" s="1007">
        <v>40.1485519</v>
      </c>
      <c r="F315" s="1007">
        <v>-122.2190196</v>
      </c>
      <c r="G315" s="212"/>
      <c r="H315" s="212"/>
      <c r="I315" s="212"/>
      <c r="J315" s="1021">
        <f t="shared" si="1"/>
        <v>149.5033748</v>
      </c>
      <c r="K315" s="1022">
        <f t="shared" si="2"/>
        <v>0.04449505201</v>
      </c>
      <c r="L315" s="1021"/>
      <c r="M315" s="1022"/>
    </row>
    <row r="316" ht="17.25" customHeight="1">
      <c r="A316" s="687">
        <f t="shared" si="3"/>
        <v>287</v>
      </c>
      <c r="B316" t="s">
        <v>2077</v>
      </c>
      <c r="C316" t="s">
        <v>2078</v>
      </c>
      <c r="D316" s="212">
        <v>8.0538958E9</v>
      </c>
      <c r="E316" s="1007">
        <v>34.2434788</v>
      </c>
      <c r="F316" s="1007">
        <v>-119.0200789</v>
      </c>
      <c r="G316" s="212"/>
      <c r="H316" s="212"/>
      <c r="I316" s="212"/>
      <c r="J316" s="1021">
        <f t="shared" si="1"/>
        <v>330.15112</v>
      </c>
      <c r="K316" s="1022">
        <f t="shared" si="2"/>
        <v>0.09825926189</v>
      </c>
      <c r="L316" s="1021"/>
      <c r="M316" s="1022"/>
    </row>
    <row r="317" ht="17.25" customHeight="1">
      <c r="A317" s="687">
        <f t="shared" si="3"/>
        <v>288</v>
      </c>
      <c r="B317" t="s">
        <v>2079</v>
      </c>
      <c r="C317" t="s">
        <v>2080</v>
      </c>
      <c r="D317" s="212">
        <v>8.0598825E9</v>
      </c>
      <c r="E317" s="1007">
        <v>34.216734</v>
      </c>
      <c r="F317" s="1007">
        <v>-119.1558831</v>
      </c>
      <c r="G317" s="212"/>
      <c r="H317" s="212"/>
      <c r="I317" s="212"/>
      <c r="J317" s="1021">
        <f t="shared" si="1"/>
        <v>327.0548388</v>
      </c>
      <c r="K317" s="1022">
        <f t="shared" si="2"/>
        <v>0.09733774964</v>
      </c>
      <c r="L317" s="1024"/>
      <c r="M317" s="1025"/>
    </row>
    <row r="318" ht="17.25" customHeight="1">
      <c r="A318" s="687">
        <f t="shared" si="3"/>
        <v>289</v>
      </c>
      <c r="B318" t="s">
        <v>2081</v>
      </c>
      <c r="C318" t="s">
        <v>2082</v>
      </c>
      <c r="D318" s="212">
        <v>7.074458121E9</v>
      </c>
      <c r="E318" s="1007">
        <v>40.7840947</v>
      </c>
      <c r="F318" s="1007">
        <v>-124.1421682</v>
      </c>
      <c r="G318" s="212"/>
      <c r="H318" s="212"/>
      <c r="I318" s="212"/>
      <c r="J318" s="1021">
        <f t="shared" si="1"/>
        <v>207.7310803</v>
      </c>
      <c r="K318" s="1022">
        <f t="shared" si="2"/>
        <v>0.06182472627</v>
      </c>
      <c r="L318" s="1021"/>
      <c r="M318" s="1022"/>
    </row>
    <row r="319" ht="17.25" customHeight="1">
      <c r="A319" s="687">
        <f t="shared" si="3"/>
        <v>290</v>
      </c>
      <c r="B319" t="s">
        <v>2081</v>
      </c>
      <c r="C319" t="s">
        <v>2083</v>
      </c>
      <c r="D319" s="212">
        <v>7.146339111E9</v>
      </c>
      <c r="E319" s="1007">
        <v>33.7820441</v>
      </c>
      <c r="F319" s="1007">
        <v>-117.8654245</v>
      </c>
      <c r="G319" s="212"/>
      <c r="H319" s="212"/>
      <c r="I319" s="212"/>
      <c r="J319" s="1021">
        <f t="shared" si="1"/>
        <v>396.7048921</v>
      </c>
      <c r="K319" s="1022">
        <f t="shared" si="2"/>
        <v>0.1180669322</v>
      </c>
      <c r="L319" s="1024"/>
      <c r="M319" s="1025"/>
    </row>
    <row r="320" ht="17.25" customHeight="1">
      <c r="A320" s="687">
        <f t="shared" si="3"/>
        <v>291</v>
      </c>
      <c r="B320" t="s">
        <v>2084</v>
      </c>
      <c r="C320" t="s">
        <v>2085</v>
      </c>
      <c r="D320" s="212">
        <v>2.099432E9</v>
      </c>
      <c r="E320" s="1007">
        <v>37.9698831</v>
      </c>
      <c r="F320" s="1007">
        <v>-121.2886669</v>
      </c>
      <c r="G320" s="212"/>
      <c r="H320" s="212"/>
      <c r="I320" s="212"/>
      <c r="J320" s="1021">
        <f t="shared" si="1"/>
        <v>74.01367431</v>
      </c>
      <c r="K320" s="1022">
        <f t="shared" si="2"/>
        <v>0.02202787926</v>
      </c>
      <c r="L320" s="1024"/>
      <c r="M320" s="1025"/>
    </row>
    <row r="321" ht="17.25" customHeight="1">
      <c r="A321" s="687">
        <f t="shared" si="3"/>
        <v>292</v>
      </c>
      <c r="B321" t="s">
        <v>2086</v>
      </c>
      <c r="C321" t="s">
        <v>2087</v>
      </c>
      <c r="D321" s="212">
        <v>7.149923E9</v>
      </c>
      <c r="E321" s="1007">
        <v>33.8943451</v>
      </c>
      <c r="F321" s="1007">
        <v>-117.9272201</v>
      </c>
      <c r="G321" s="212"/>
      <c r="H321" s="212"/>
      <c r="I321" s="212"/>
      <c r="J321" s="1021">
        <f t="shared" si="1"/>
        <v>388.5183836</v>
      </c>
      <c r="K321" s="1022">
        <f t="shared" si="2"/>
        <v>0.1156304713</v>
      </c>
      <c r="L321" s="1021"/>
      <c r="M321" s="1022"/>
    </row>
    <row r="322" ht="17.25" customHeight="1">
      <c r="A322" s="687">
        <f t="shared" si="3"/>
        <v>293</v>
      </c>
      <c r="B322" t="s">
        <v>2088</v>
      </c>
      <c r="C322" t="s">
        <v>2089</v>
      </c>
      <c r="D322" s="1026">
        <v>4.088482E9</v>
      </c>
      <c r="E322" s="1027">
        <v>37.0367167</v>
      </c>
      <c r="F322" s="1027">
        <v>-121.5711608</v>
      </c>
      <c r="G322" s="1026"/>
      <c r="H322" s="1026"/>
      <c r="I322" s="1026"/>
      <c r="J322" s="1021">
        <f t="shared" si="1"/>
        <v>89.60933445</v>
      </c>
      <c r="K322" s="1022">
        <f t="shared" si="2"/>
        <v>0.02666944478</v>
      </c>
      <c r="L322" s="1024"/>
      <c r="M322" s="1025"/>
    </row>
    <row r="323" ht="17.25" customHeight="1">
      <c r="A323" s="687">
        <f t="shared" si="3"/>
        <v>294</v>
      </c>
      <c r="B323" t="s">
        <v>2090</v>
      </c>
      <c r="C323" t="s">
        <v>1392</v>
      </c>
      <c r="D323" s="212">
        <v>5.624919E9</v>
      </c>
      <c r="E323" s="1007">
        <v>33.779809</v>
      </c>
      <c r="F323" s="1007">
        <v>-118.186299</v>
      </c>
      <c r="G323" s="212"/>
      <c r="H323" s="212"/>
      <c r="I323" s="212"/>
      <c r="J323" s="1021">
        <f t="shared" si="1"/>
        <v>384.9143784</v>
      </c>
      <c r="K323" s="1022">
        <f t="shared" si="2"/>
        <v>0.1145578507</v>
      </c>
      <c r="L323" s="1024"/>
      <c r="M323" s="1025"/>
    </row>
    <row r="324" ht="17.25" customHeight="1">
      <c r="A324" s="687">
        <f t="shared" si="3"/>
        <v>295</v>
      </c>
      <c r="B324" t="s">
        <v>2090</v>
      </c>
      <c r="C324" t="s">
        <v>2091</v>
      </c>
      <c r="D324" s="212">
        <v>7.602422311E9</v>
      </c>
      <c r="E324" s="1007">
        <v>34.5418476</v>
      </c>
      <c r="F324" s="1007">
        <v>-117.2655636</v>
      </c>
      <c r="G324" s="212"/>
      <c r="H324" s="212"/>
      <c r="I324" s="212"/>
      <c r="J324" s="1021">
        <f t="shared" si="1"/>
        <v>384.235589</v>
      </c>
      <c r="K324" s="1022">
        <f t="shared" si="2"/>
        <v>0.1143558301</v>
      </c>
      <c r="L324" s="1021"/>
      <c r="M324" s="1022"/>
    </row>
    <row r="325" ht="17.25" customHeight="1">
      <c r="A325" s="687">
        <f t="shared" si="3"/>
        <v>296</v>
      </c>
      <c r="B325" t="s">
        <v>2092</v>
      </c>
      <c r="C325" t="s">
        <v>2093</v>
      </c>
      <c r="D325" s="212">
        <v>4.156681E9</v>
      </c>
      <c r="E325" s="1007">
        <v>37.7740749</v>
      </c>
      <c r="F325" s="1007">
        <v>-122.4538893</v>
      </c>
      <c r="G325" s="212"/>
      <c r="H325" s="212"/>
      <c r="I325" s="212"/>
      <c r="J325" s="1021">
        <f t="shared" si="1"/>
        <v>19.53418353</v>
      </c>
      <c r="K325" s="1022">
        <f t="shared" si="2"/>
        <v>0.005813745097</v>
      </c>
      <c r="L325" s="1021"/>
      <c r="M325" s="1022"/>
    </row>
    <row r="326" ht="17.25" customHeight="1">
      <c r="A326" s="687">
        <f t="shared" si="3"/>
        <v>297</v>
      </c>
      <c r="B326" t="s">
        <v>2094</v>
      </c>
      <c r="C326" t="s">
        <v>2095</v>
      </c>
      <c r="D326" s="212" t="s">
        <v>1807</v>
      </c>
      <c r="E326" s="1007">
        <v>37.4330746</v>
      </c>
      <c r="F326" s="1007">
        <v>-122.1750485</v>
      </c>
      <c r="G326" s="212" t="s">
        <v>1230</v>
      </c>
      <c r="H326" s="212"/>
      <c r="I326" s="212" t="s">
        <v>1225</v>
      </c>
      <c r="J326" s="1021">
        <f t="shared" si="1"/>
        <v>47.63821759</v>
      </c>
      <c r="K326" s="1022">
        <f t="shared" si="2"/>
        <v>0.01417804095</v>
      </c>
      <c r="L326" s="1021"/>
      <c r="M326" s="1022"/>
    </row>
    <row r="327" ht="17.25" customHeight="1">
      <c r="A327" s="687">
        <f t="shared" si="3"/>
        <v>298</v>
      </c>
      <c r="B327" t="s">
        <v>2096</v>
      </c>
      <c r="C327" t="s">
        <v>2097</v>
      </c>
      <c r="D327" s="212">
        <v>2.0957227E9</v>
      </c>
      <c r="E327" s="1007">
        <v>37.6647978</v>
      </c>
      <c r="F327" s="1007">
        <v>-120.9583221</v>
      </c>
      <c r="G327" s="212"/>
      <c r="H327" s="212"/>
      <c r="I327" s="212"/>
      <c r="J327" s="1021">
        <f t="shared" si="1"/>
        <v>95.24433205</v>
      </c>
      <c r="K327" s="1022">
        <f t="shared" si="2"/>
        <v>0.0283465274</v>
      </c>
      <c r="L327" s="1021"/>
      <c r="M327" s="1022"/>
    </row>
    <row r="328" ht="17.25" customHeight="1">
      <c r="A328" s="687">
        <f t="shared" si="3"/>
        <v>299</v>
      </c>
      <c r="B328" t="s">
        <v>2098</v>
      </c>
      <c r="C328" t="s">
        <v>2099</v>
      </c>
      <c r="D328" s="1026">
        <v>5.302796111E9</v>
      </c>
      <c r="E328" s="1027">
        <v>41.5331981</v>
      </c>
      <c r="F328" s="1027">
        <v>-120.1718755</v>
      </c>
      <c r="G328" s="1026"/>
      <c r="H328" s="1026"/>
      <c r="I328" s="1026"/>
      <c r="J328" s="1021">
        <f t="shared" si="1"/>
        <v>276.7548842</v>
      </c>
      <c r="K328" s="1022">
        <f t="shared" si="2"/>
        <v>0.08236752505</v>
      </c>
      <c r="L328" s="1021"/>
      <c r="M328" s="1022"/>
    </row>
    <row r="329" ht="17.25" customHeight="1">
      <c r="A329" s="687">
        <f t="shared" si="3"/>
        <v>300</v>
      </c>
      <c r="B329" s="1017" t="s">
        <v>2100</v>
      </c>
      <c r="C329" s="1018" t="s">
        <v>2101</v>
      </c>
      <c r="D329" s="1019">
        <v>5.3088845E9</v>
      </c>
      <c r="E329" s="1020">
        <v>38.9452952</v>
      </c>
      <c r="F329" s="1020">
        <v>-121.1006825</v>
      </c>
      <c r="G329" s="1021"/>
      <c r="H329" s="1022"/>
      <c r="I329" s="1023"/>
      <c r="J329" s="1021">
        <f t="shared" si="1"/>
        <v>105.626833</v>
      </c>
      <c r="K329" s="1022">
        <f t="shared" si="2"/>
        <v>0.03143655745</v>
      </c>
      <c r="L329" s="1021"/>
      <c r="M329" s="1022"/>
    </row>
    <row r="330" ht="17.25" customHeight="1">
      <c r="A330" s="687">
        <f t="shared" si="3"/>
        <v>301</v>
      </c>
      <c r="B330" s="1017" t="s">
        <v>2102</v>
      </c>
      <c r="C330" s="1018" t="s">
        <v>2103</v>
      </c>
      <c r="D330" s="1030">
        <v>7.07464888E9</v>
      </c>
      <c r="E330" s="1020">
        <v>41.7736588</v>
      </c>
      <c r="F330" s="1020">
        <v>-124.1942469</v>
      </c>
      <c r="G330" s="1021"/>
      <c r="H330" s="1022"/>
      <c r="I330" s="1023"/>
      <c r="J330" s="1021">
        <f t="shared" si="1"/>
        <v>272.8325647</v>
      </c>
      <c r="K330" s="1022">
        <f t="shared" si="2"/>
        <v>0.08120016805</v>
      </c>
      <c r="L330" s="1021"/>
      <c r="M330" s="1022"/>
    </row>
    <row r="331" ht="17.25" customHeight="1">
      <c r="A331" s="687">
        <f t="shared" si="3"/>
        <v>302</v>
      </c>
      <c r="B331" s="689" t="s">
        <v>2104</v>
      </c>
      <c r="C331" s="689" t="s">
        <v>2105</v>
      </c>
      <c r="D331" s="1028">
        <v>5.30756644E9</v>
      </c>
      <c r="E331" s="1027">
        <v>38.5629168</v>
      </c>
      <c r="F331" s="1027">
        <v>-121.7713007</v>
      </c>
      <c r="G331" s="1021"/>
      <c r="H331" s="1022"/>
      <c r="I331" s="1023"/>
      <c r="J331" s="1021">
        <f t="shared" si="1"/>
        <v>60.82829103</v>
      </c>
      <c r="K331" s="1022">
        <f t="shared" si="2"/>
        <v>0.01810365804</v>
      </c>
      <c r="L331" s="1024"/>
      <c r="M331" s="1025"/>
    </row>
    <row r="332" ht="17.25" customHeight="1">
      <c r="A332" s="687">
        <f t="shared" si="3"/>
        <v>303</v>
      </c>
      <c r="B332" t="s">
        <v>2106</v>
      </c>
      <c r="C332" t="s">
        <v>2107</v>
      </c>
      <c r="D332" s="212">
        <v>9.2577972E9</v>
      </c>
      <c r="E332" s="1007">
        <v>37.9825348</v>
      </c>
      <c r="F332" s="1007">
        <v>-121.8029078</v>
      </c>
      <c r="G332" s="212"/>
      <c r="H332" s="212"/>
      <c r="I332" s="212"/>
      <c r="J332" s="1021">
        <f t="shared" si="1"/>
        <v>45.96410316</v>
      </c>
      <c r="K332" s="1022">
        <f t="shared" si="2"/>
        <v>0.01367979261</v>
      </c>
      <c r="L332" s="1021"/>
      <c r="M332" s="1022"/>
    </row>
    <row r="333" ht="17.25" customHeight="1">
      <c r="A333" s="687">
        <f t="shared" si="3"/>
        <v>304</v>
      </c>
      <c r="B333" s="1017" t="s">
        <v>2108</v>
      </c>
      <c r="C333" s="926" t="s">
        <v>2109</v>
      </c>
      <c r="D333" s="1019" t="s">
        <v>1810</v>
      </c>
      <c r="E333" s="1020">
        <v>37.6982685</v>
      </c>
      <c r="F333" s="1020">
        <v>-122.0903131</v>
      </c>
      <c r="G333" s="1021" t="s">
        <v>1274</v>
      </c>
      <c r="H333" s="1022"/>
      <c r="I333" s="1023" t="s">
        <v>1225</v>
      </c>
      <c r="J333" s="1021">
        <f t="shared" si="1"/>
        <v>37.30522071</v>
      </c>
      <c r="K333" s="1022">
        <f t="shared" si="2"/>
        <v>0.01110274426</v>
      </c>
      <c r="L333" s="1021"/>
      <c r="M333" s="1022"/>
    </row>
    <row r="334" ht="17.25" customHeight="1">
      <c r="A334" s="687">
        <f t="shared" si="3"/>
        <v>305</v>
      </c>
      <c r="B334" t="s">
        <v>2110</v>
      </c>
      <c r="C334" t="s">
        <v>2111</v>
      </c>
      <c r="D334" s="1026" t="s">
        <v>1845</v>
      </c>
      <c r="E334" s="1027">
        <v>39.1047076</v>
      </c>
      <c r="F334" s="1027">
        <v>-122.9069825</v>
      </c>
      <c r="G334" s="1026" t="s">
        <v>1247</v>
      </c>
      <c r="H334" s="1026"/>
      <c r="I334" s="1026" t="s">
        <v>1225</v>
      </c>
      <c r="J334" s="1021">
        <f t="shared" si="1"/>
        <v>76.85144073</v>
      </c>
      <c r="K334" s="1022">
        <f t="shared" si="2"/>
        <v>0.0228724526</v>
      </c>
      <c r="L334" s="1021"/>
      <c r="M334" s="1022"/>
    </row>
    <row r="335" ht="17.25" customHeight="1">
      <c r="A335" s="687">
        <f t="shared" si="3"/>
        <v>306</v>
      </c>
      <c r="B335" t="s">
        <v>2112</v>
      </c>
      <c r="C335" t="s">
        <v>2113</v>
      </c>
      <c r="D335" s="1026">
        <v>8.3147722E9</v>
      </c>
      <c r="E335" s="1027">
        <v>36.987682</v>
      </c>
      <c r="F335" s="1027">
        <v>-121.9774604</v>
      </c>
      <c r="G335" s="1026"/>
      <c r="H335" s="1026"/>
      <c r="I335" s="1026"/>
      <c r="J335" s="1021">
        <f t="shared" si="1"/>
        <v>79.81356833</v>
      </c>
      <c r="K335" s="1022">
        <f t="shared" si="2"/>
        <v>0.02375403819</v>
      </c>
      <c r="L335" s="1021"/>
      <c r="M335" s="1022"/>
    </row>
    <row r="336" ht="17.25" customHeight="1">
      <c r="A336" s="687">
        <f t="shared" si="3"/>
        <v>307</v>
      </c>
      <c r="B336" s="1017" t="s">
        <v>2114</v>
      </c>
      <c r="C336" s="1018" t="s">
        <v>2115</v>
      </c>
      <c r="D336" s="1019">
        <v>9.167338999E9</v>
      </c>
      <c r="E336" s="1020">
        <v>38.5709021</v>
      </c>
      <c r="F336" s="1020">
        <v>-121.4694505</v>
      </c>
      <c r="G336" s="1021"/>
      <c r="H336" s="1022"/>
      <c r="I336" s="1023"/>
      <c r="J336" s="1021">
        <f t="shared" si="1"/>
        <v>74.60468039</v>
      </c>
      <c r="K336" s="1022">
        <f t="shared" si="2"/>
        <v>0.02220377393</v>
      </c>
      <c r="L336" s="1021"/>
      <c r="M336" s="1022"/>
    </row>
    <row r="337" ht="17.25" customHeight="1">
      <c r="A337" s="687">
        <f t="shared" si="3"/>
        <v>308</v>
      </c>
      <c r="B337" t="s">
        <v>2116</v>
      </c>
      <c r="C337" t="s">
        <v>2117</v>
      </c>
      <c r="D337" s="212" t="s">
        <v>1813</v>
      </c>
      <c r="E337" s="1007">
        <v>38.766012</v>
      </c>
      <c r="F337" s="1007">
        <v>-121.2496326</v>
      </c>
      <c r="G337" s="212" t="s">
        <v>1274</v>
      </c>
      <c r="H337" s="212"/>
      <c r="I337" s="212" t="s">
        <v>1225</v>
      </c>
      <c r="J337" s="1021">
        <f t="shared" si="1"/>
        <v>91.87406479</v>
      </c>
      <c r="K337" s="1022">
        <f t="shared" si="2"/>
        <v>0.02734347166</v>
      </c>
      <c r="L337" s="1024"/>
      <c r="M337" s="1025"/>
    </row>
    <row r="338" ht="17.25" customHeight="1">
      <c r="A338" s="687">
        <f t="shared" si="3"/>
        <v>309</v>
      </c>
      <c r="B338" t="s">
        <v>2118</v>
      </c>
      <c r="C338" t="s">
        <v>2119</v>
      </c>
      <c r="D338" s="212">
        <v>7.075764E9</v>
      </c>
      <c r="E338" s="1027">
        <v>38.4950726</v>
      </c>
      <c r="F338" s="1027">
        <v>-122.7519949</v>
      </c>
      <c r="G338" s="1021"/>
      <c r="H338" s="1022"/>
      <c r="I338" s="1023"/>
      <c r="J338" s="1021">
        <f t="shared" si="1"/>
        <v>33.86658415</v>
      </c>
      <c r="K338" s="1022">
        <f t="shared" si="2"/>
        <v>0.01007934052</v>
      </c>
      <c r="L338" s="1021"/>
      <c r="M338" s="1022"/>
    </row>
    <row r="339" ht="17.25" customHeight="1">
      <c r="A339" s="687">
        <f t="shared" si="3"/>
        <v>310</v>
      </c>
      <c r="B339" t="s">
        <v>2120</v>
      </c>
      <c r="C339" t="s">
        <v>2121</v>
      </c>
      <c r="D339" s="1026">
        <v>7.07554528E9</v>
      </c>
      <c r="E339" s="1027">
        <v>38.1312888</v>
      </c>
      <c r="F339" s="1027">
        <v>-122.2373373</v>
      </c>
      <c r="G339" s="1026"/>
      <c r="H339" s="1026"/>
      <c r="I339" s="1026"/>
      <c r="J339" s="1021">
        <f t="shared" si="1"/>
        <v>23.67958751</v>
      </c>
      <c r="K339" s="1022">
        <f t="shared" si="2"/>
        <v>0.007047496282</v>
      </c>
      <c r="L339" s="1021"/>
      <c r="M339" s="1022"/>
    </row>
    <row r="340" ht="17.25" customHeight="1">
      <c r="A340" s="687">
        <f t="shared" si="3"/>
        <v>311</v>
      </c>
      <c r="B340" t="s">
        <v>2122</v>
      </c>
      <c r="C340" t="s">
        <v>2123</v>
      </c>
      <c r="D340" s="212">
        <v>5.3074957E9</v>
      </c>
      <c r="E340" s="1007">
        <v>39.1318175</v>
      </c>
      <c r="F340" s="1007">
        <v>-121.6134333</v>
      </c>
      <c r="G340" s="212"/>
      <c r="H340" s="212"/>
      <c r="I340" s="212"/>
      <c r="J340" s="1021">
        <f t="shared" si="1"/>
        <v>95.42721268</v>
      </c>
      <c r="K340" s="1022">
        <f t="shared" si="2"/>
        <v>0.02840095615</v>
      </c>
      <c r="L340" s="1024"/>
      <c r="M340" s="1025"/>
    </row>
    <row r="341" ht="17.25" customHeight="1">
      <c r="A341" s="687">
        <f t="shared" si="3"/>
        <v>312</v>
      </c>
      <c r="B341" t="s">
        <v>2124</v>
      </c>
      <c r="C341" t="s">
        <v>2125</v>
      </c>
      <c r="D341" s="1026">
        <v>2.0983515E9</v>
      </c>
      <c r="E341" s="1027">
        <v>37.7440116</v>
      </c>
      <c r="F341" s="1027">
        <v>-121.4343074</v>
      </c>
      <c r="G341" s="1026"/>
      <c r="H341" s="1026"/>
      <c r="I341" s="1026"/>
      <c r="J341" s="1021">
        <f t="shared" si="1"/>
        <v>68.67896579</v>
      </c>
      <c r="K341" s="1022">
        <f t="shared" si="2"/>
        <v>0.02044016839</v>
      </c>
      <c r="L341" s="1021"/>
      <c r="M341" s="1022"/>
    </row>
    <row r="342" ht="17.25" customHeight="1">
      <c r="A342" s="687">
        <f t="shared" si="3"/>
        <v>313</v>
      </c>
      <c r="B342" t="s">
        <v>2126</v>
      </c>
      <c r="C342" s="24" t="s">
        <v>2127</v>
      </c>
      <c r="D342" s="229">
        <v>5.305876011E9</v>
      </c>
      <c r="E342" s="1027">
        <v>39.3251652</v>
      </c>
      <c r="F342" s="1027">
        <v>-120.2008289</v>
      </c>
      <c r="G342" s="1021"/>
      <c r="H342" s="1022"/>
      <c r="I342" s="1023"/>
      <c r="J342" s="1021">
        <f t="shared" si="1"/>
        <v>160.2206145</v>
      </c>
      <c r="K342" s="1022">
        <f t="shared" si="2"/>
        <v>0.04768470671</v>
      </c>
      <c r="L342" s="1021"/>
      <c r="M342" s="1022"/>
    </row>
    <row r="343" ht="17.25" customHeight="1">
      <c r="A343" s="687">
        <f t="shared" si="3"/>
        <v>314</v>
      </c>
      <c r="B343" t="s">
        <v>2128</v>
      </c>
      <c r="C343" t="s">
        <v>2129</v>
      </c>
      <c r="D343" s="1026">
        <v>9.5133122E9</v>
      </c>
      <c r="E343" s="1027">
        <v>33.4811362</v>
      </c>
      <c r="F343" s="1027">
        <v>-117.1060989</v>
      </c>
      <c r="G343" s="1026"/>
      <c r="H343" s="1026"/>
      <c r="I343" s="1026"/>
      <c r="J343" s="1021">
        <f t="shared" si="1"/>
        <v>441.5407583</v>
      </c>
      <c r="K343" s="1022">
        <f t="shared" si="2"/>
        <v>0.13141094</v>
      </c>
      <c r="L343" s="1024"/>
      <c r="M343" s="1025"/>
    </row>
    <row r="344" ht="17.25" customHeight="1">
      <c r="A344" s="687">
        <f t="shared" si="3"/>
        <v>315</v>
      </c>
      <c r="B344" t="s">
        <v>2130</v>
      </c>
      <c r="C344" t="s">
        <v>2131</v>
      </c>
      <c r="D344" s="212" t="s">
        <v>1838</v>
      </c>
      <c r="E344" s="1027">
        <v>34.2029255</v>
      </c>
      <c r="F344" s="1027">
        <v>-118.6287791</v>
      </c>
      <c r="G344" s="1021"/>
      <c r="H344" s="1022" t="s">
        <v>1225</v>
      </c>
      <c r="I344" s="1023" t="s">
        <v>1225</v>
      </c>
      <c r="J344" s="1021">
        <f t="shared" si="1"/>
        <v>346.1650029</v>
      </c>
      <c r="K344" s="1022">
        <f t="shared" si="2"/>
        <v>0.1030252985</v>
      </c>
      <c r="L344" s="1021"/>
      <c r="M344" s="1022"/>
    </row>
    <row r="345" ht="17.25" customHeight="1">
      <c r="A345" s="687">
        <f t="shared" si="3"/>
        <v>316</v>
      </c>
      <c r="B345" s="1017" t="s">
        <v>2132</v>
      </c>
      <c r="C345" s="1018" t="s">
        <v>2133</v>
      </c>
      <c r="D345" s="1019">
        <v>3.10325911E9</v>
      </c>
      <c r="E345" s="1020">
        <v>33.8118946</v>
      </c>
      <c r="F345" s="1020">
        <v>-118.3435467</v>
      </c>
      <c r="G345" s="1021"/>
      <c r="H345" s="1022"/>
      <c r="I345" s="1023"/>
      <c r="J345" s="1021">
        <f t="shared" si="1"/>
        <v>377.5119164</v>
      </c>
      <c r="K345" s="1022">
        <f t="shared" si="2"/>
        <v>0.112354737</v>
      </c>
      <c r="L345" s="1021"/>
      <c r="M345" s="1022"/>
    </row>
    <row r="346" ht="17.25" customHeight="1">
      <c r="A346" s="687">
        <f t="shared" si="3"/>
        <v>317</v>
      </c>
      <c r="B346" s="1017" t="s">
        <v>2134</v>
      </c>
      <c r="C346" s="1018" t="s">
        <v>2135</v>
      </c>
      <c r="D346" s="1019">
        <v>7.607248411E9</v>
      </c>
      <c r="E346" s="1020">
        <v>33.1856484</v>
      </c>
      <c r="F346" s="1020">
        <v>-117.2904359</v>
      </c>
      <c r="G346" s="1021"/>
      <c r="H346" s="1022"/>
      <c r="I346" s="1023"/>
      <c r="J346" s="1021">
        <f t="shared" si="1"/>
        <v>449.6618832</v>
      </c>
      <c r="K346" s="1022">
        <f t="shared" si="2"/>
        <v>0.1338279414</v>
      </c>
      <c r="L346" s="1024"/>
      <c r="M346" s="1025"/>
    </row>
    <row r="347" ht="17.25" customHeight="1">
      <c r="A347" s="687">
        <f t="shared" si="3"/>
        <v>318</v>
      </c>
      <c r="B347" t="s">
        <v>2136</v>
      </c>
      <c r="C347" t="s">
        <v>2137</v>
      </c>
      <c r="D347" s="212">
        <v>5.306235541E9</v>
      </c>
      <c r="E347" s="1007">
        <v>40.7380728</v>
      </c>
      <c r="F347" s="1007">
        <v>-122.9395503</v>
      </c>
      <c r="G347" s="212"/>
      <c r="H347" s="212"/>
      <c r="I347" s="212"/>
      <c r="J347" s="1021">
        <f t="shared" si="1"/>
        <v>189.1750397</v>
      </c>
      <c r="K347" s="1022">
        <f t="shared" si="2"/>
        <v>0.05630209515</v>
      </c>
      <c r="L347" s="1021"/>
      <c r="M347" s="1022"/>
    </row>
    <row r="348" ht="17.25" customHeight="1">
      <c r="A348" s="687">
        <f t="shared" si="3"/>
        <v>319</v>
      </c>
      <c r="B348" t="s">
        <v>2138</v>
      </c>
      <c r="C348" t="s">
        <v>2139</v>
      </c>
      <c r="D348" s="1026">
        <v>8.0543435E9</v>
      </c>
      <c r="E348" s="1027">
        <v>35.5549761</v>
      </c>
      <c r="F348" s="1027">
        <v>-120.7193676</v>
      </c>
      <c r="G348" s="1026"/>
      <c r="H348" s="1026"/>
      <c r="I348" s="1026"/>
      <c r="J348" s="1021">
        <f t="shared" si="1"/>
        <v>200.7127518</v>
      </c>
      <c r="K348" s="1022">
        <f t="shared" si="2"/>
        <v>0.05973593804</v>
      </c>
      <c r="L348" s="1021"/>
      <c r="M348" s="1022"/>
    </row>
    <row r="349" ht="17.25" customHeight="1">
      <c r="A349" s="687">
        <f t="shared" si="3"/>
        <v>320</v>
      </c>
      <c r="B349" t="s">
        <v>2140</v>
      </c>
      <c r="C349" t="s">
        <v>2141</v>
      </c>
      <c r="D349" s="1026"/>
      <c r="E349" s="1027">
        <v>33.78728</v>
      </c>
      <c r="F349" s="1027">
        <v>-117.888284</v>
      </c>
      <c r="G349" s="1026" t="s">
        <v>1230</v>
      </c>
      <c r="H349" s="1026" t="s">
        <v>1225</v>
      </c>
      <c r="I349" s="1026" t="s">
        <v>1225</v>
      </c>
      <c r="J349" s="1021">
        <f t="shared" si="1"/>
        <v>395.5675975</v>
      </c>
      <c r="K349" s="1022">
        <f t="shared" si="2"/>
        <v>0.1177284516</v>
      </c>
      <c r="L349" s="1021"/>
      <c r="M349" s="1022"/>
    </row>
    <row r="350" ht="17.25" customHeight="1">
      <c r="A350" s="687">
        <f t="shared" si="3"/>
        <v>321</v>
      </c>
      <c r="B350" t="s">
        <v>2142</v>
      </c>
      <c r="C350" t="s">
        <v>2143</v>
      </c>
      <c r="D350" s="212">
        <v>6.195436222E9</v>
      </c>
      <c r="E350" s="1007">
        <v>32.7542698</v>
      </c>
      <c r="F350" s="1007">
        <v>-117.166135</v>
      </c>
      <c r="G350" s="212"/>
      <c r="H350" s="212"/>
      <c r="I350" s="212"/>
      <c r="J350" s="1021">
        <f t="shared" si="1"/>
        <v>477.2672501</v>
      </c>
      <c r="K350" s="1022">
        <f t="shared" si="2"/>
        <v>0.1420438244</v>
      </c>
      <c r="L350" s="1021"/>
      <c r="M350" s="1022"/>
    </row>
    <row r="351" ht="17.25" customHeight="1">
      <c r="A351" s="687">
        <f t="shared" si="3"/>
        <v>322</v>
      </c>
      <c r="B351" t="s">
        <v>2144</v>
      </c>
      <c r="C351" t="s">
        <v>2145</v>
      </c>
      <c r="D351" s="1026" t="s">
        <v>1819</v>
      </c>
      <c r="E351" s="1027">
        <v>32.7542698</v>
      </c>
      <c r="F351" s="1027">
        <v>-117.166135</v>
      </c>
      <c r="G351" s="1026" t="s">
        <v>1230</v>
      </c>
      <c r="H351" s="1026" t="s">
        <v>1225</v>
      </c>
      <c r="I351" s="1026" t="s">
        <v>1225</v>
      </c>
      <c r="J351" s="1021">
        <f t="shared" si="1"/>
        <v>477.2672501</v>
      </c>
      <c r="K351" s="1022">
        <f t="shared" si="2"/>
        <v>0.1420438244</v>
      </c>
      <c r="L351" s="1021"/>
      <c r="M351" s="1022"/>
    </row>
    <row r="352" ht="17.25" customHeight="1">
      <c r="A352" s="687">
        <f t="shared" si="3"/>
        <v>323</v>
      </c>
      <c r="B352" t="s">
        <v>2146</v>
      </c>
      <c r="C352" t="s">
        <v>2147</v>
      </c>
      <c r="D352" s="1026">
        <v>4.153532733E9</v>
      </c>
      <c r="E352" s="1027">
        <v>37.7627248</v>
      </c>
      <c r="F352" s="1027">
        <v>-122.4578922</v>
      </c>
      <c r="G352" s="1026"/>
      <c r="H352" s="1026"/>
      <c r="I352" s="1026"/>
      <c r="J352" s="1021">
        <f t="shared" si="1"/>
        <v>20.09023833</v>
      </c>
      <c r="K352" s="1022">
        <f t="shared" si="2"/>
        <v>0.005979237598</v>
      </c>
      <c r="L352" s="1021"/>
      <c r="M352" s="1022"/>
    </row>
    <row r="353" ht="17.25" customHeight="1">
      <c r="A353" s="687">
        <f t="shared" si="3"/>
        <v>324</v>
      </c>
      <c r="B353" t="s">
        <v>2148</v>
      </c>
      <c r="C353" t="s">
        <v>2149</v>
      </c>
      <c r="D353" s="212" t="s">
        <v>1895</v>
      </c>
      <c r="E353" s="1007">
        <v>36.160931</v>
      </c>
      <c r="F353" s="1007">
        <v>-115.168076</v>
      </c>
      <c r="G353" s="212" t="s">
        <v>1230</v>
      </c>
      <c r="H353" s="212"/>
      <c r="I353" s="212" t="s">
        <v>1225</v>
      </c>
      <c r="J353" s="1021">
        <f t="shared" si="1"/>
        <v>432.0174279</v>
      </c>
      <c r="K353" s="1022">
        <f t="shared" si="2"/>
        <v>0.1285766154</v>
      </c>
      <c r="L353" s="1021"/>
      <c r="M353" s="1022"/>
    </row>
    <row r="354" ht="17.25" customHeight="1">
      <c r="A354" s="687">
        <f t="shared" si="3"/>
        <v>325</v>
      </c>
      <c r="B354" t="s">
        <v>2150</v>
      </c>
      <c r="C354" t="s">
        <v>2151</v>
      </c>
      <c r="D354" s="1026">
        <v>7.144566112E9</v>
      </c>
      <c r="E354" s="1027">
        <v>33.78728</v>
      </c>
      <c r="F354" s="1027">
        <v>-117.888284</v>
      </c>
      <c r="G354" s="1026"/>
      <c r="H354" s="1026"/>
      <c r="I354" s="1026"/>
      <c r="J354" s="1021">
        <f t="shared" si="1"/>
        <v>395.5675975</v>
      </c>
      <c r="K354" s="1022">
        <f t="shared" si="2"/>
        <v>0.1177284516</v>
      </c>
      <c r="L354" s="1021"/>
      <c r="M354" s="1022"/>
    </row>
    <row r="355" ht="17.25" customHeight="1">
      <c r="A355" s="687">
        <f t="shared" si="3"/>
        <v>326</v>
      </c>
      <c r="B355" t="s">
        <v>2152</v>
      </c>
      <c r="C355" t="s">
        <v>2153</v>
      </c>
      <c r="D355" s="212" t="s">
        <v>1824</v>
      </c>
      <c r="E355" s="1007">
        <v>38.5549492</v>
      </c>
      <c r="F355" s="1007">
        <v>-121.4546344</v>
      </c>
      <c r="G355" s="212" t="s">
        <v>1230</v>
      </c>
      <c r="H355" s="212" t="s">
        <v>1225</v>
      </c>
      <c r="I355" s="212" t="s">
        <v>1225</v>
      </c>
      <c r="J355" s="1021">
        <f t="shared" si="1"/>
        <v>74.74035798</v>
      </c>
      <c r="K355" s="1022">
        <f t="shared" si="2"/>
        <v>0.02224415416</v>
      </c>
      <c r="L355" s="1021"/>
      <c r="M355" s="1022"/>
    </row>
    <row r="356" ht="17.25" customHeight="1">
      <c r="A356" s="687">
        <f t="shared" si="3"/>
        <v>327</v>
      </c>
      <c r="B356" t="s">
        <v>2154</v>
      </c>
      <c r="C356" t="s">
        <v>2155</v>
      </c>
      <c r="D356" s="1026">
        <v>3.238653E9</v>
      </c>
      <c r="E356" s="1027">
        <v>34.0615104</v>
      </c>
      <c r="F356" s="1027">
        <v>-118.2053422</v>
      </c>
      <c r="G356" s="1026"/>
      <c r="H356" s="1026"/>
      <c r="I356" s="1026"/>
      <c r="J356" s="1021">
        <f t="shared" si="1"/>
        <v>369.2904289</v>
      </c>
      <c r="K356" s="1022">
        <f t="shared" si="2"/>
        <v>0.1099078657</v>
      </c>
      <c r="L356" s="1021"/>
      <c r="M356" s="1022"/>
    </row>
    <row r="357" ht="17.25" customHeight="1">
      <c r="A357" s="687">
        <f t="shared" si="3"/>
        <v>328</v>
      </c>
      <c r="B357" t="s">
        <v>2156</v>
      </c>
      <c r="C357" t="s">
        <v>2157</v>
      </c>
      <c r="D357" s="212">
        <v>8.1879071E9</v>
      </c>
      <c r="E357" s="1007">
        <v>34.2045351</v>
      </c>
      <c r="F357" s="1007">
        <v>-118.216049</v>
      </c>
      <c r="G357" s="212"/>
      <c r="H357" s="212"/>
      <c r="I357" s="212"/>
      <c r="J357" s="1021">
        <f t="shared" si="1"/>
        <v>361.464752</v>
      </c>
      <c r="K357" s="1022">
        <f t="shared" si="2"/>
        <v>0.1075787952</v>
      </c>
      <c r="L357" s="1021"/>
      <c r="M357" s="1022"/>
    </row>
    <row r="358" ht="17.25" customHeight="1">
      <c r="A358" s="687">
        <f t="shared" si="3"/>
        <v>329</v>
      </c>
      <c r="B358" t="s">
        <v>2158</v>
      </c>
      <c r="C358" t="s">
        <v>2159</v>
      </c>
      <c r="D358" s="1026">
        <v>8.1878266E9</v>
      </c>
      <c r="E358" s="1027">
        <v>34.1950106</v>
      </c>
      <c r="F358" s="1027">
        <v>-118.4632201</v>
      </c>
      <c r="G358" s="1026"/>
      <c r="H358" s="1026"/>
      <c r="I358" s="1026"/>
      <c r="J358" s="1021">
        <f t="shared" si="1"/>
        <v>352.652351</v>
      </c>
      <c r="K358" s="1022">
        <f t="shared" si="2"/>
        <v>0.1049560569</v>
      </c>
      <c r="L358" s="1021"/>
      <c r="M358" s="1022"/>
    </row>
    <row r="359" ht="17.25" customHeight="1">
      <c r="A359" s="687">
        <f t="shared" si="3"/>
        <v>330</v>
      </c>
      <c r="B359" t="s">
        <v>2160</v>
      </c>
      <c r="C359" s="24" t="s">
        <v>2161</v>
      </c>
      <c r="D359" s="229" t="s">
        <v>1828</v>
      </c>
      <c r="E359" s="1027">
        <v>34.2769982</v>
      </c>
      <c r="F359" s="1027">
        <v>-119.2520998</v>
      </c>
      <c r="G359" s="1021" t="s">
        <v>1274</v>
      </c>
      <c r="H359" s="1022"/>
      <c r="I359" s="1023" t="s">
        <v>1225</v>
      </c>
      <c r="J359" s="1021">
        <f t="shared" si="1"/>
        <v>320.464841</v>
      </c>
      <c r="K359" s="1022">
        <f t="shared" si="2"/>
        <v>0.09537644076</v>
      </c>
      <c r="L359" s="1024"/>
      <c r="M359" s="1025"/>
    </row>
    <row r="360" ht="17.25" customHeight="1">
      <c r="A360" s="687">
        <f t="shared" si="3"/>
        <v>331</v>
      </c>
      <c r="B360" t="s">
        <v>2160</v>
      </c>
      <c r="C360" t="s">
        <v>2162</v>
      </c>
      <c r="D360" s="212">
        <v>8.056526075E9</v>
      </c>
      <c r="E360" s="1027">
        <v>34.2772969</v>
      </c>
      <c r="F360" s="1027">
        <v>-119.2529839</v>
      </c>
      <c r="G360" s="1021"/>
      <c r="H360" s="1022"/>
      <c r="I360" s="1023"/>
      <c r="J360" s="1021">
        <f t="shared" si="1"/>
        <v>320.4187603</v>
      </c>
      <c r="K360" s="1022">
        <f t="shared" si="2"/>
        <v>0.09536272628</v>
      </c>
      <c r="L360" s="1021"/>
      <c r="M360" s="1022"/>
    </row>
    <row r="361" ht="17.25" customHeight="1">
      <c r="A361" s="687">
        <f t="shared" si="3"/>
        <v>332</v>
      </c>
      <c r="B361" t="s">
        <v>2163</v>
      </c>
      <c r="C361" t="s">
        <v>2164</v>
      </c>
      <c r="D361" s="212">
        <v>7.602458691E9</v>
      </c>
      <c r="E361" s="1007">
        <v>34.5278898</v>
      </c>
      <c r="F361" s="1007">
        <v>-117.2936963</v>
      </c>
      <c r="G361" s="212"/>
      <c r="H361" s="212"/>
      <c r="I361" s="212"/>
      <c r="J361" s="1021">
        <f t="shared" si="1"/>
        <v>383.638701</v>
      </c>
      <c r="K361" s="1022">
        <f t="shared" si="2"/>
        <v>0.1141781848</v>
      </c>
      <c r="L361" s="1024"/>
      <c r="M361" s="1025"/>
    </row>
    <row r="362" ht="17.25" customHeight="1">
      <c r="A362" s="687">
        <f t="shared" si="3"/>
        <v>333</v>
      </c>
      <c r="B362" t="s">
        <v>2165</v>
      </c>
      <c r="C362" t="s">
        <v>2166</v>
      </c>
      <c r="D362" s="1026">
        <v>8.317244741E9</v>
      </c>
      <c r="E362" s="1027">
        <v>36.9266472</v>
      </c>
      <c r="F362" s="1027">
        <v>-121.7928359</v>
      </c>
      <c r="G362" s="1026"/>
      <c r="H362" s="1026"/>
      <c r="I362" s="1026"/>
      <c r="J362" s="1021">
        <f t="shared" si="1"/>
        <v>88.50855024</v>
      </c>
      <c r="K362" s="1022">
        <f t="shared" si="2"/>
        <v>0.02634183043</v>
      </c>
      <c r="L362" s="1021"/>
      <c r="M362" s="1022"/>
    </row>
    <row r="363" ht="17.25" customHeight="1">
      <c r="A363" s="687">
        <f t="shared" si="3"/>
        <v>334</v>
      </c>
      <c r="B363" t="s">
        <v>2167</v>
      </c>
      <c r="C363" t="s">
        <v>2168</v>
      </c>
      <c r="D363" s="1026">
        <v>7.148273E9</v>
      </c>
      <c r="E363" s="1027">
        <v>33.8252217</v>
      </c>
      <c r="F363" s="1027">
        <v>-117.9950032</v>
      </c>
      <c r="G363" s="1026"/>
      <c r="H363" s="1026"/>
      <c r="I363" s="1026"/>
      <c r="J363" s="1021">
        <f t="shared" si="1"/>
        <v>389.5663288</v>
      </c>
      <c r="K363" s="1022">
        <f t="shared" si="2"/>
        <v>0.1159423598</v>
      </c>
      <c r="L363" s="1021"/>
      <c r="M363" s="1022"/>
    </row>
    <row r="364" ht="17.25" customHeight="1">
      <c r="A364" s="687">
        <f t="shared" si="3"/>
        <v>335</v>
      </c>
      <c r="B364" t="s">
        <v>2169</v>
      </c>
      <c r="C364" t="s">
        <v>2170</v>
      </c>
      <c r="D364" s="1026">
        <v>6.263388481E9</v>
      </c>
      <c r="E364" s="1027">
        <v>34.071352</v>
      </c>
      <c r="F364" s="1027">
        <v>-117.944755</v>
      </c>
      <c r="G364" s="1026"/>
      <c r="H364" s="1026"/>
      <c r="I364" s="1026"/>
      <c r="J364" s="1021">
        <f t="shared" si="1"/>
        <v>378.744449</v>
      </c>
      <c r="K364" s="1022">
        <f t="shared" si="2"/>
        <v>0.1127215622</v>
      </c>
      <c r="L364" s="1024"/>
      <c r="M364" s="1025"/>
    </row>
    <row r="365" ht="17.25" customHeight="1">
      <c r="A365" s="687">
        <f t="shared" si="3"/>
        <v>336</v>
      </c>
      <c r="B365" t="s">
        <v>2171</v>
      </c>
      <c r="C365" t="s">
        <v>2172</v>
      </c>
      <c r="D365" s="212">
        <v>8.1867641E9</v>
      </c>
      <c r="E365" s="1027">
        <v>34.2029255</v>
      </c>
      <c r="F365" s="1027">
        <v>-118.6287791</v>
      </c>
      <c r="G365" s="1021"/>
      <c r="H365" s="1022"/>
      <c r="I365" s="1023"/>
      <c r="J365" s="1021">
        <f t="shared" si="1"/>
        <v>346.1650029</v>
      </c>
      <c r="K365" s="1022">
        <f t="shared" si="2"/>
        <v>0.1030252985</v>
      </c>
      <c r="L365" s="1024"/>
      <c r="M365" s="1025"/>
    </row>
    <row r="366" ht="17.25" customHeight="1">
      <c r="A366" s="687">
        <f t="shared" si="3"/>
        <v>337</v>
      </c>
      <c r="B366" t="s">
        <v>2173</v>
      </c>
      <c r="C366" t="s">
        <v>2174</v>
      </c>
      <c r="D366" s="212">
        <v>3.232685E9</v>
      </c>
      <c r="E366" s="1027">
        <v>34.0492967</v>
      </c>
      <c r="F366" s="1027">
        <v>-118.2171632</v>
      </c>
      <c r="G366" s="1021"/>
      <c r="H366" s="1022"/>
      <c r="I366" s="1023"/>
      <c r="J366" s="1021">
        <f t="shared" si="1"/>
        <v>369.4854274</v>
      </c>
      <c r="K366" s="1022">
        <f t="shared" si="2"/>
        <v>0.109965901</v>
      </c>
      <c r="L366" s="1021"/>
      <c r="M366" s="1022"/>
    </row>
    <row r="367" ht="17.25" customHeight="1">
      <c r="A367" s="687">
        <f t="shared" si="3"/>
        <v>338</v>
      </c>
      <c r="B367" t="s">
        <v>2175</v>
      </c>
      <c r="C367" t="s">
        <v>2176</v>
      </c>
      <c r="D367" s="212">
        <v>5.629453561E9</v>
      </c>
      <c r="E367" s="1007">
        <v>33.9498216</v>
      </c>
      <c r="F367" s="1007">
        <v>-118.0033296</v>
      </c>
      <c r="G367" s="212"/>
      <c r="H367" s="212"/>
      <c r="I367" s="212"/>
      <c r="J367" s="1021">
        <f t="shared" si="1"/>
        <v>382.7451652</v>
      </c>
      <c r="K367" s="1022">
        <f t="shared" si="2"/>
        <v>0.1139122516</v>
      </c>
      <c r="L367" s="1024"/>
      <c r="M367" s="1025"/>
    </row>
    <row r="368" ht="17.25" customHeight="1">
      <c r="A368" s="687">
        <f t="shared" si="3"/>
        <v>339</v>
      </c>
      <c r="B368" s="1017" t="s">
        <v>2177</v>
      </c>
      <c r="C368" s="1018" t="s">
        <v>2178</v>
      </c>
      <c r="D368" s="1019">
        <v>5.306623961E9</v>
      </c>
      <c r="E368" s="1020">
        <v>38.6641007</v>
      </c>
      <c r="F368" s="1020">
        <v>-121.7920967</v>
      </c>
      <c r="G368" s="1021"/>
      <c r="H368" s="1022"/>
      <c r="I368" s="1023"/>
      <c r="J368" s="1021">
        <f t="shared" si="1"/>
        <v>64.5984833</v>
      </c>
      <c r="K368" s="1022">
        <f t="shared" si="2"/>
        <v>0.01922573908</v>
      </c>
      <c r="L368" s="1021"/>
      <c r="M368" s="1022"/>
    </row>
    <row r="369" ht="17.25" customHeight="1">
      <c r="A369" s="687">
        <f t="shared" si="3"/>
        <v>340</v>
      </c>
      <c r="B369" s="1017" t="s">
        <v>2179</v>
      </c>
      <c r="C369" s="1018" t="s">
        <v>2180</v>
      </c>
      <c r="D369" s="1019" t="s">
        <v>1853</v>
      </c>
      <c r="E369" s="1020">
        <v>32.6819471</v>
      </c>
      <c r="F369" s="1020">
        <v>-114.6353801</v>
      </c>
      <c r="G369" s="1021" t="s">
        <v>1247</v>
      </c>
      <c r="H369" s="1022"/>
      <c r="I369" s="1023" t="s">
        <v>1225</v>
      </c>
      <c r="J369" s="1021">
        <f t="shared" si="1"/>
        <v>583.2699367</v>
      </c>
      <c r="K369" s="1022">
        <f t="shared" si="2"/>
        <v>0.1735922431</v>
      </c>
      <c r="L369" s="1021"/>
      <c r="M369" s="1022"/>
    </row>
    <row r="370" ht="17.25" customHeight="1">
      <c r="A370" s="687">
        <f t="shared" si="3"/>
        <v>341</v>
      </c>
      <c r="B370" s="1017" t="s">
        <v>2181</v>
      </c>
      <c r="C370" s="926" t="s">
        <v>2182</v>
      </c>
      <c r="D370" s="1019" t="s">
        <v>1831</v>
      </c>
      <c r="E370" s="1020">
        <v>37.7557265</v>
      </c>
      <c r="F370" s="1020">
        <v>-122.4047381</v>
      </c>
      <c r="G370" s="1021" t="s">
        <v>1230</v>
      </c>
      <c r="H370" s="1022" t="s">
        <v>1225</v>
      </c>
      <c r="I370" s="1023" t="s">
        <v>1281</v>
      </c>
      <c r="J370" s="1021">
        <f t="shared" si="1"/>
        <v>22.09960893</v>
      </c>
      <c r="K370" s="1022" t="str">
        <f t="shared" si="2"/>
        <v/>
      </c>
      <c r="L370" s="1021"/>
      <c r="M370" s="1022"/>
    </row>
    <row r="371" ht="17.25" customHeight="1">
      <c r="A371" s="687">
        <f t="shared" si="3"/>
        <v>342</v>
      </c>
      <c r="B371" s="1017" t="s">
        <v>2183</v>
      </c>
      <c r="C371" s="1018" t="s">
        <v>2184</v>
      </c>
      <c r="D371" s="1019" t="s">
        <v>2185</v>
      </c>
      <c r="E371" s="1020">
        <v>37.6935</v>
      </c>
      <c r="F371" s="1020">
        <v>-121.8803</v>
      </c>
      <c r="G371" s="1021"/>
      <c r="H371" s="1022"/>
      <c r="I371" s="1023" t="s">
        <v>1225</v>
      </c>
      <c r="J371" s="1021">
        <f t="shared" si="1"/>
        <v>47.25559667</v>
      </c>
      <c r="K371" s="1022">
        <f t="shared" si="2"/>
        <v>0.01406416568</v>
      </c>
      <c r="L371" s="1021"/>
      <c r="M371" s="1022"/>
    </row>
    <row r="372" ht="17.25" customHeight="1">
      <c r="A372" s="687">
        <f t="shared" si="3"/>
        <v>343</v>
      </c>
      <c r="B372" t="s">
        <v>2186</v>
      </c>
      <c r="C372" t="s">
        <v>2187</v>
      </c>
      <c r="D372" s="212" t="s">
        <v>2188</v>
      </c>
      <c r="E372" s="1007">
        <v>37.5567</v>
      </c>
      <c r="F372" s="1007">
        <v>-121.9798</v>
      </c>
      <c r="G372" s="212"/>
      <c r="H372" s="212"/>
      <c r="I372" s="212" t="s">
        <v>1225</v>
      </c>
      <c r="J372" s="1021">
        <f t="shared" si="1"/>
        <v>48.14962283</v>
      </c>
      <c r="K372" s="1022">
        <f t="shared" si="2"/>
        <v>0.01433024489</v>
      </c>
      <c r="L372" s="1021"/>
      <c r="M372" s="1022"/>
    </row>
    <row r="373" ht="17.25" customHeight="1">
      <c r="A373" s="687" t="str">
        <f t="shared" si="3"/>
        <v/>
      </c>
      <c r="D373" s="212"/>
      <c r="E373" s="1007"/>
      <c r="F373" s="1007"/>
      <c r="G373" s="212"/>
      <c r="H373" s="212"/>
      <c r="I373" s="212"/>
      <c r="J373" s="1021" t="str">
        <f t="shared" si="1"/>
        <v/>
      </c>
      <c r="K373" s="1022" t="str">
        <f t="shared" si="2"/>
        <v/>
      </c>
      <c r="L373" s="1021"/>
      <c r="M373" s="1022"/>
    </row>
    <row r="374" ht="17.25" customHeight="1">
      <c r="A374" s="687" t="str">
        <f t="shared" si="3"/>
        <v/>
      </c>
      <c r="D374" s="212"/>
      <c r="E374" s="1007"/>
      <c r="F374" s="1007"/>
      <c r="G374" s="212"/>
      <c r="H374" s="212"/>
      <c r="I374" s="212"/>
      <c r="J374" s="1021" t="str">
        <f t="shared" si="1"/>
        <v/>
      </c>
      <c r="K374" s="1022" t="str">
        <f t="shared" si="2"/>
        <v/>
      </c>
      <c r="L374" s="1021"/>
      <c r="M374" s="1022"/>
    </row>
    <row r="375" ht="17.25" customHeight="1">
      <c r="A375" s="687" t="str">
        <f t="shared" si="3"/>
        <v/>
      </c>
      <c r="D375" s="212"/>
      <c r="E375" s="1007"/>
      <c r="F375" s="1007"/>
      <c r="G375" s="212"/>
      <c r="H375" s="212"/>
      <c r="I375" s="212"/>
      <c r="J375" s="1021" t="str">
        <f t="shared" si="1"/>
        <v/>
      </c>
      <c r="K375" s="1022" t="str">
        <f t="shared" si="2"/>
        <v/>
      </c>
      <c r="L375" s="1021"/>
      <c r="M375" s="1022"/>
    </row>
    <row r="376" ht="17.25" customHeight="1">
      <c r="A376" s="687" t="str">
        <f t="shared" si="3"/>
        <v/>
      </c>
      <c r="D376" s="212"/>
      <c r="E376" s="1007"/>
      <c r="F376" s="1007"/>
      <c r="G376" s="212"/>
      <c r="H376" s="212"/>
      <c r="I376" s="212"/>
      <c r="J376" s="1021" t="str">
        <f t="shared" si="1"/>
        <v/>
      </c>
      <c r="K376" s="1022" t="str">
        <f t="shared" si="2"/>
        <v/>
      </c>
      <c r="L376" s="1021"/>
      <c r="M376" s="1022"/>
    </row>
    <row r="377" ht="17.25" customHeight="1">
      <c r="A377" s="687" t="str">
        <f t="shared" si="3"/>
        <v/>
      </c>
      <c r="D377" s="212"/>
      <c r="E377" s="1007"/>
      <c r="F377" s="1007"/>
      <c r="G377" s="212"/>
      <c r="H377" s="212"/>
      <c r="I377" s="212"/>
      <c r="J377" s="1021" t="str">
        <f t="shared" si="1"/>
        <v/>
      </c>
      <c r="K377" s="1022" t="str">
        <f t="shared" si="2"/>
        <v/>
      </c>
      <c r="L377" s="1021"/>
      <c r="M377" s="1022"/>
    </row>
    <row r="378" ht="17.25" customHeight="1">
      <c r="A378" s="687" t="str">
        <f t="shared" si="3"/>
        <v/>
      </c>
      <c r="D378" s="212"/>
      <c r="E378" s="1007"/>
      <c r="F378" s="1007"/>
      <c r="G378" s="212"/>
      <c r="H378" s="212"/>
      <c r="I378" s="212"/>
      <c r="J378" s="1021" t="str">
        <f t="shared" si="1"/>
        <v/>
      </c>
      <c r="K378" s="1022" t="str">
        <f t="shared" si="2"/>
        <v/>
      </c>
      <c r="L378" s="1021"/>
      <c r="M378" s="1022"/>
    </row>
    <row r="379" ht="17.25" customHeight="1">
      <c r="A379" s="687" t="str">
        <f t="shared" si="3"/>
        <v/>
      </c>
      <c r="D379" s="212"/>
      <c r="E379" s="1007"/>
      <c r="F379" s="1007"/>
      <c r="G379" s="212"/>
      <c r="H379" s="212"/>
      <c r="I379" s="212"/>
      <c r="J379" s="1021" t="str">
        <f t="shared" si="1"/>
        <v/>
      </c>
      <c r="K379" s="1022" t="str">
        <f t="shared" si="2"/>
        <v/>
      </c>
      <c r="L379" s="1021"/>
      <c r="M379" s="1022"/>
    </row>
    <row r="380" ht="17.25" customHeight="1">
      <c r="A380" s="687" t="str">
        <f t="shared" si="3"/>
        <v/>
      </c>
      <c r="D380" s="212"/>
      <c r="E380" s="1007"/>
      <c r="F380" s="1007"/>
      <c r="G380" s="212"/>
      <c r="H380" s="212"/>
      <c r="I380" s="212"/>
      <c r="J380" s="1021" t="str">
        <f t="shared" si="1"/>
        <v/>
      </c>
      <c r="K380" s="1022" t="str">
        <f t="shared" si="2"/>
        <v/>
      </c>
      <c r="L380" s="1021"/>
      <c r="M380" s="1022"/>
    </row>
    <row r="381" ht="17.25" customHeight="1">
      <c r="A381" s="687" t="str">
        <f t="shared" si="3"/>
        <v/>
      </c>
      <c r="D381" s="212"/>
      <c r="E381" s="1007"/>
      <c r="F381" s="1007"/>
      <c r="G381" s="212"/>
      <c r="H381" s="212"/>
      <c r="I381" s="212"/>
      <c r="J381" s="1021" t="str">
        <f t="shared" si="1"/>
        <v/>
      </c>
      <c r="K381" s="1022" t="str">
        <f t="shared" si="2"/>
        <v/>
      </c>
      <c r="L381" s="1021"/>
      <c r="M381" s="1022"/>
    </row>
    <row r="382" ht="17.25" customHeight="1">
      <c r="A382" s="687" t="str">
        <f t="shared" si="3"/>
        <v/>
      </c>
      <c r="D382" s="212"/>
      <c r="E382" s="1007"/>
      <c r="F382" s="1007"/>
      <c r="G382" s="212"/>
      <c r="H382" s="212"/>
      <c r="I382" s="212"/>
      <c r="J382" s="1021" t="str">
        <f t="shared" si="1"/>
        <v/>
      </c>
      <c r="K382" s="1022" t="str">
        <f t="shared" si="2"/>
        <v/>
      </c>
      <c r="L382" s="1021"/>
      <c r="M382" s="1022"/>
    </row>
    <row r="383" ht="17.25" customHeight="1">
      <c r="A383" s="687" t="str">
        <f t="shared" si="3"/>
        <v/>
      </c>
      <c r="D383" s="212"/>
      <c r="E383" s="1007"/>
      <c r="F383" s="1007"/>
      <c r="G383" s="212"/>
      <c r="H383" s="212"/>
      <c r="I383" s="212"/>
      <c r="J383" s="1021" t="str">
        <f t="shared" si="1"/>
        <v/>
      </c>
      <c r="K383" s="1022" t="str">
        <f t="shared" si="2"/>
        <v/>
      </c>
      <c r="L383" s="1021"/>
      <c r="M383" s="1022"/>
    </row>
    <row r="384" ht="17.25" customHeight="1">
      <c r="A384" s="687" t="str">
        <f t="shared" si="3"/>
        <v/>
      </c>
      <c r="D384" s="212"/>
      <c r="E384" s="1007"/>
      <c r="F384" s="1007"/>
      <c r="G384" s="212"/>
      <c r="H384" s="212"/>
      <c r="I384" s="212"/>
      <c r="J384" s="1021" t="str">
        <f t="shared" si="1"/>
        <v/>
      </c>
      <c r="K384" s="1022" t="str">
        <f t="shared" si="2"/>
        <v/>
      </c>
      <c r="L384" s="1021"/>
      <c r="M384" s="1022"/>
    </row>
    <row r="385" ht="17.25" customHeight="1">
      <c r="A385" s="687" t="str">
        <f t="shared" si="3"/>
        <v/>
      </c>
      <c r="D385" s="212"/>
      <c r="E385" s="1007"/>
      <c r="F385" s="1007"/>
      <c r="G385" s="212"/>
      <c r="H385" s="212"/>
      <c r="I385" s="212"/>
      <c r="J385" s="1021" t="str">
        <f t="shared" si="1"/>
        <v/>
      </c>
      <c r="K385" s="1022" t="str">
        <f t="shared" si="2"/>
        <v/>
      </c>
      <c r="L385" s="1021"/>
      <c r="M385" s="1022"/>
    </row>
    <row r="386" ht="17.25" customHeight="1">
      <c r="A386" s="687" t="str">
        <f t="shared" si="3"/>
        <v/>
      </c>
      <c r="D386" s="212"/>
      <c r="E386" s="1007"/>
      <c r="F386" s="1007"/>
      <c r="G386" s="212"/>
      <c r="H386" s="212"/>
      <c r="I386" s="212"/>
      <c r="J386" s="1021" t="str">
        <f t="shared" si="1"/>
        <v/>
      </c>
      <c r="K386" s="1022" t="str">
        <f t="shared" si="2"/>
        <v/>
      </c>
      <c r="L386" s="1021"/>
      <c r="M386" s="1022"/>
    </row>
    <row r="387" ht="17.25" customHeight="1">
      <c r="A387" s="687" t="str">
        <f t="shared" si="3"/>
        <v/>
      </c>
      <c r="D387" s="212"/>
      <c r="E387" s="1007"/>
      <c r="F387" s="1007"/>
      <c r="G387" s="212"/>
      <c r="H387" s="212"/>
      <c r="I387" s="212"/>
      <c r="J387" s="1021" t="str">
        <f t="shared" si="1"/>
        <v/>
      </c>
      <c r="K387" s="1022" t="str">
        <f t="shared" si="2"/>
        <v/>
      </c>
      <c r="L387" s="1021"/>
      <c r="M387" s="1022"/>
    </row>
    <row r="388" ht="17.25" customHeight="1">
      <c r="A388" s="687" t="str">
        <f t="shared" si="3"/>
        <v/>
      </c>
      <c r="D388" s="212"/>
      <c r="E388" s="1007"/>
      <c r="F388" s="1007"/>
      <c r="G388" s="212"/>
      <c r="H388" s="212"/>
      <c r="I388" s="212"/>
      <c r="J388" s="1021" t="str">
        <f t="shared" si="1"/>
        <v/>
      </c>
      <c r="K388" s="1022" t="str">
        <f t="shared" si="2"/>
        <v/>
      </c>
      <c r="L388" s="1021"/>
      <c r="M388" s="1022"/>
    </row>
    <row r="389" ht="17.25" customHeight="1">
      <c r="A389" s="687" t="str">
        <f t="shared" si="3"/>
        <v/>
      </c>
      <c r="D389" s="212"/>
      <c r="E389" s="1007"/>
      <c r="F389" s="1007"/>
      <c r="G389" s="212"/>
      <c r="H389" s="212"/>
      <c r="I389" s="212"/>
      <c r="J389" s="1021" t="str">
        <f t="shared" si="1"/>
        <v/>
      </c>
      <c r="K389" s="1022" t="str">
        <f t="shared" si="2"/>
        <v/>
      </c>
      <c r="L389" s="1021"/>
      <c r="M389" s="1022"/>
    </row>
    <row r="390" ht="17.25" customHeight="1">
      <c r="A390" s="687" t="str">
        <f t="shared" si="3"/>
        <v/>
      </c>
      <c r="D390" s="212"/>
      <c r="E390" s="1007"/>
      <c r="F390" s="1007"/>
      <c r="G390" s="212"/>
      <c r="H390" s="212"/>
      <c r="I390" s="212"/>
      <c r="J390" s="1021" t="str">
        <f t="shared" si="1"/>
        <v/>
      </c>
      <c r="K390" s="1022" t="str">
        <f t="shared" si="2"/>
        <v/>
      </c>
      <c r="L390" s="1021"/>
      <c r="M390" s="1022"/>
    </row>
    <row r="391" ht="17.25" customHeight="1">
      <c r="A391" s="687" t="str">
        <f t="shared" si="3"/>
        <v/>
      </c>
      <c r="D391" s="212"/>
      <c r="E391" s="1007"/>
      <c r="F391" s="1007"/>
      <c r="G391" s="212"/>
      <c r="H391" s="212"/>
      <c r="I391" s="212"/>
      <c r="J391" s="1021" t="str">
        <f t="shared" si="1"/>
        <v/>
      </c>
      <c r="K391" s="1022" t="str">
        <f t="shared" si="2"/>
        <v/>
      </c>
      <c r="L391" s="1021"/>
      <c r="M391" s="1022"/>
    </row>
    <row r="392" ht="17.25" customHeight="1">
      <c r="A392" s="687" t="str">
        <f t="shared" si="3"/>
        <v/>
      </c>
      <c r="D392" s="212"/>
      <c r="E392" s="1007"/>
      <c r="F392" s="1007"/>
      <c r="G392" s="212"/>
      <c r="H392" s="212"/>
      <c r="I392" s="212"/>
      <c r="J392" s="1021" t="str">
        <f t="shared" si="1"/>
        <v/>
      </c>
      <c r="K392" s="1022" t="str">
        <f t="shared" si="2"/>
        <v/>
      </c>
      <c r="L392" s="1021"/>
      <c r="M392" s="1022"/>
    </row>
    <row r="393" ht="17.25" customHeight="1">
      <c r="A393" s="687" t="str">
        <f t="shared" si="3"/>
        <v/>
      </c>
      <c r="D393" s="212"/>
      <c r="E393" s="1007"/>
      <c r="F393" s="1007"/>
      <c r="G393" s="212"/>
      <c r="H393" s="212"/>
      <c r="I393" s="212"/>
      <c r="J393" s="1021" t="str">
        <f t="shared" si="1"/>
        <v/>
      </c>
      <c r="K393" s="1022" t="str">
        <f t="shared" si="2"/>
        <v/>
      </c>
      <c r="L393" s="1021"/>
      <c r="M393" s="1022"/>
    </row>
    <row r="394" ht="17.25" customHeight="1">
      <c r="A394" s="687" t="str">
        <f t="shared" si="3"/>
        <v/>
      </c>
      <c r="D394" s="212"/>
      <c r="E394" s="1007"/>
      <c r="F394" s="1007"/>
      <c r="G394" s="212"/>
      <c r="H394" s="212"/>
      <c r="I394" s="212"/>
      <c r="J394" s="1021" t="str">
        <f t="shared" si="1"/>
        <v/>
      </c>
      <c r="K394" s="1022" t="str">
        <f t="shared" si="2"/>
        <v/>
      </c>
      <c r="L394" s="1021"/>
      <c r="M394" s="1022"/>
    </row>
    <row r="395" ht="17.25" customHeight="1">
      <c r="A395" s="687" t="str">
        <f t="shared" si="3"/>
        <v/>
      </c>
      <c r="D395" s="212"/>
      <c r="E395" s="1007"/>
      <c r="F395" s="1007"/>
      <c r="G395" s="212"/>
      <c r="H395" s="212"/>
      <c r="I395" s="212"/>
      <c r="J395" s="1021" t="str">
        <f t="shared" si="1"/>
        <v/>
      </c>
      <c r="K395" s="1022" t="str">
        <f t="shared" si="2"/>
        <v/>
      </c>
      <c r="L395" s="1021"/>
      <c r="M395" s="1022"/>
    </row>
    <row r="396" ht="17.25" customHeight="1">
      <c r="A396" s="687" t="str">
        <f t="shared" si="3"/>
        <v/>
      </c>
      <c r="D396" s="212"/>
      <c r="E396" s="1007"/>
      <c r="F396" s="1007"/>
      <c r="G396" s="212"/>
      <c r="H396" s="212"/>
      <c r="I396" s="212"/>
      <c r="J396" s="1021" t="str">
        <f t="shared" si="1"/>
        <v/>
      </c>
      <c r="K396" s="1022" t="str">
        <f t="shared" si="2"/>
        <v/>
      </c>
      <c r="L396" s="1021"/>
      <c r="M396" s="1022"/>
    </row>
    <row r="397" ht="17.25" customHeight="1">
      <c r="A397" s="687" t="str">
        <f t="shared" si="3"/>
        <v/>
      </c>
      <c r="D397" s="212"/>
      <c r="E397" s="1007"/>
      <c r="F397" s="1007"/>
      <c r="G397" s="212"/>
      <c r="H397" s="212"/>
      <c r="I397" s="212" t="s">
        <v>1225</v>
      </c>
      <c r="J397" s="1021" t="str">
        <f t="shared" si="1"/>
        <v/>
      </c>
      <c r="K397" s="1022" t="str">
        <f t="shared" si="2"/>
        <v/>
      </c>
      <c r="L397" s="1021"/>
      <c r="M397" s="1022"/>
    </row>
    <row r="398" ht="17.25" customHeight="1">
      <c r="A398" s="687" t="str">
        <f t="shared" si="3"/>
        <v/>
      </c>
      <c r="D398" s="212"/>
      <c r="E398" s="1007"/>
      <c r="F398" s="1007"/>
      <c r="G398" s="212"/>
      <c r="H398" s="212"/>
      <c r="I398" s="212"/>
      <c r="J398" s="1021" t="str">
        <f t="shared" si="1"/>
        <v/>
      </c>
      <c r="K398" s="1022" t="str">
        <f t="shared" si="2"/>
        <v/>
      </c>
      <c r="L398" s="1021"/>
      <c r="M398" s="1022"/>
    </row>
    <row r="399" ht="17.25" customHeight="1">
      <c r="A399" s="687" t="str">
        <f t="shared" si="3"/>
        <v/>
      </c>
      <c r="D399" s="212"/>
      <c r="E399" s="1007"/>
      <c r="F399" s="1007"/>
      <c r="G399" s="212"/>
      <c r="H399" s="212"/>
      <c r="I399" s="212"/>
      <c r="J399" s="1021" t="str">
        <f t="shared" si="1"/>
        <v/>
      </c>
      <c r="K399" s="1022" t="str">
        <f t="shared" si="2"/>
        <v/>
      </c>
      <c r="L399" s="1021"/>
      <c r="M399" s="1022"/>
    </row>
    <row r="400" ht="17.25" customHeight="1">
      <c r="A400" s="687" t="str">
        <f t="shared" si="3"/>
        <v/>
      </c>
      <c r="D400" s="212"/>
      <c r="E400" s="1007"/>
      <c r="F400" s="1007"/>
      <c r="G400" s="212"/>
      <c r="H400" s="212"/>
      <c r="I400" s="212"/>
      <c r="J400" s="1021" t="str">
        <f t="shared" si="1"/>
        <v/>
      </c>
      <c r="K400" s="1022" t="str">
        <f t="shared" si="2"/>
        <v/>
      </c>
      <c r="L400" s="1021"/>
      <c r="M400" s="1022"/>
    </row>
    <row r="401" ht="17.25" customHeight="1">
      <c r="A401" s="687" t="str">
        <f t="shared" si="3"/>
        <v/>
      </c>
      <c r="D401" s="212"/>
      <c r="E401" s="1007"/>
      <c r="F401" s="1007"/>
      <c r="G401" s="212"/>
      <c r="H401" s="212"/>
      <c r="I401" s="212"/>
      <c r="J401" s="1021" t="str">
        <f t="shared" si="1"/>
        <v/>
      </c>
      <c r="K401" s="1022" t="str">
        <f t="shared" si="2"/>
        <v/>
      </c>
      <c r="L401" s="1021"/>
      <c r="M401" s="1022"/>
    </row>
    <row r="402" ht="17.25" customHeight="1">
      <c r="A402" s="687" t="str">
        <f t="shared" si="3"/>
        <v/>
      </c>
      <c r="D402" s="212"/>
      <c r="E402" s="1007"/>
      <c r="F402" s="1007"/>
      <c r="G402" s="212"/>
      <c r="H402" s="212"/>
      <c r="I402" s="212"/>
      <c r="J402" s="1021" t="str">
        <f t="shared" si="1"/>
        <v/>
      </c>
      <c r="K402" s="1022" t="str">
        <f t="shared" si="2"/>
        <v/>
      </c>
      <c r="L402" s="1021"/>
      <c r="M402" s="1022"/>
    </row>
    <row r="403" ht="17.25" customHeight="1">
      <c r="A403" s="687" t="str">
        <f t="shared" si="3"/>
        <v/>
      </c>
      <c r="D403" s="212"/>
      <c r="E403" s="1007"/>
      <c r="F403" s="1007"/>
      <c r="G403" s="212"/>
      <c r="H403" s="212"/>
      <c r="I403" s="212"/>
      <c r="J403" s="1021" t="str">
        <f t="shared" si="1"/>
        <v/>
      </c>
      <c r="K403" s="1022" t="str">
        <f t="shared" si="2"/>
        <v/>
      </c>
      <c r="L403" s="1021"/>
      <c r="M403" s="1022"/>
    </row>
    <row r="404" ht="17.25" customHeight="1">
      <c r="A404" s="687" t="str">
        <f t="shared" si="3"/>
        <v/>
      </c>
      <c r="D404" s="212"/>
      <c r="E404" s="1007"/>
      <c r="F404" s="1007"/>
      <c r="G404" s="212"/>
      <c r="H404" s="212"/>
      <c r="I404" s="212"/>
      <c r="J404" s="1021" t="str">
        <f t="shared" si="1"/>
        <v/>
      </c>
      <c r="K404" s="1022" t="str">
        <f t="shared" si="2"/>
        <v/>
      </c>
      <c r="L404" s="1021"/>
      <c r="M404" s="1022"/>
    </row>
    <row r="405" ht="17.25" customHeight="1">
      <c r="A405" s="687" t="str">
        <f t="shared" si="3"/>
        <v/>
      </c>
      <c r="D405" s="212"/>
      <c r="E405" s="1007"/>
      <c r="F405" s="1007"/>
      <c r="G405" s="212"/>
      <c r="H405" s="212"/>
      <c r="I405" s="212"/>
      <c r="J405" s="1021" t="str">
        <f t="shared" si="1"/>
        <v/>
      </c>
      <c r="K405" s="1022" t="str">
        <f t="shared" si="2"/>
        <v/>
      </c>
      <c r="L405" s="1021"/>
      <c r="M405" s="1022"/>
    </row>
    <row r="406" ht="17.25" customHeight="1">
      <c r="A406" s="687" t="str">
        <f t="shared" si="3"/>
        <v/>
      </c>
      <c r="D406" s="212"/>
      <c r="E406" s="1007"/>
      <c r="F406" s="1007"/>
      <c r="G406" s="212"/>
      <c r="H406" s="212"/>
      <c r="I406" s="212"/>
      <c r="J406" s="1021" t="str">
        <f t="shared" si="1"/>
        <v/>
      </c>
      <c r="K406" s="1022" t="str">
        <f t="shared" si="2"/>
        <v/>
      </c>
      <c r="L406" s="1021"/>
      <c r="M406" s="1022"/>
    </row>
    <row r="407" ht="17.25" customHeight="1">
      <c r="A407" s="687" t="str">
        <f t="shared" si="3"/>
        <v/>
      </c>
      <c r="D407" s="212"/>
      <c r="E407" s="1007"/>
      <c r="F407" s="1007"/>
      <c r="G407" s="212"/>
      <c r="H407" s="212"/>
      <c r="I407" s="212"/>
      <c r="J407" s="1021" t="str">
        <f t="shared" si="1"/>
        <v/>
      </c>
      <c r="K407" s="1022" t="str">
        <f t="shared" si="2"/>
        <v/>
      </c>
      <c r="L407" s="1021"/>
      <c r="M407" s="1022"/>
    </row>
    <row r="408" ht="17.25" customHeight="1">
      <c r="A408" s="687" t="str">
        <f t="shared" si="3"/>
        <v/>
      </c>
      <c r="D408" s="212"/>
      <c r="E408" s="1007"/>
      <c r="F408" s="1007"/>
      <c r="G408" s="212"/>
      <c r="H408" s="212"/>
      <c r="I408" s="212"/>
      <c r="J408" s="1021" t="str">
        <f t="shared" si="1"/>
        <v/>
      </c>
      <c r="K408" s="1022" t="str">
        <f t="shared" si="2"/>
        <v/>
      </c>
      <c r="L408" s="1021"/>
      <c r="M408" s="1022"/>
    </row>
    <row r="409" ht="17.25" customHeight="1">
      <c r="A409" s="687" t="str">
        <f t="shared" si="3"/>
        <v/>
      </c>
      <c r="D409" s="212"/>
      <c r="E409" s="1007"/>
      <c r="F409" s="1007"/>
      <c r="G409" s="212"/>
      <c r="H409" s="212"/>
      <c r="I409" s="212"/>
      <c r="J409" s="1021" t="str">
        <f t="shared" si="1"/>
        <v/>
      </c>
      <c r="K409" s="1022" t="str">
        <f t="shared" si="2"/>
        <v/>
      </c>
      <c r="L409" s="1021"/>
      <c r="M409" s="1022"/>
    </row>
    <row r="410" ht="17.25" customHeight="1">
      <c r="A410" s="687" t="str">
        <f t="shared" si="3"/>
        <v/>
      </c>
      <c r="D410" s="212"/>
      <c r="E410" s="1007"/>
      <c r="F410" s="1007"/>
      <c r="G410" s="212"/>
      <c r="H410" s="212"/>
      <c r="I410" s="212"/>
      <c r="J410" s="1021" t="str">
        <f t="shared" si="1"/>
        <v/>
      </c>
      <c r="K410" s="1022" t="str">
        <f t="shared" si="2"/>
        <v/>
      </c>
      <c r="L410" s="1021"/>
      <c r="M410" s="1022"/>
    </row>
    <row r="411" ht="17.25" customHeight="1">
      <c r="A411" s="687" t="str">
        <f t="shared" si="3"/>
        <v/>
      </c>
      <c r="D411" s="212"/>
      <c r="E411" s="1007"/>
      <c r="F411" s="1007"/>
      <c r="G411" s="212"/>
      <c r="H411" s="212"/>
      <c r="I411" s="212"/>
      <c r="J411" s="1021" t="str">
        <f t="shared" si="1"/>
        <v/>
      </c>
      <c r="K411" s="1022" t="str">
        <f t="shared" si="2"/>
        <v/>
      </c>
      <c r="L411" s="1021"/>
      <c r="M411" s="1022"/>
    </row>
    <row r="412" ht="17.25" customHeight="1">
      <c r="A412" s="687" t="str">
        <f t="shared" si="3"/>
        <v/>
      </c>
      <c r="D412" s="212"/>
      <c r="E412" s="1007"/>
      <c r="F412" s="1007"/>
      <c r="G412" s="212"/>
      <c r="H412" s="212"/>
      <c r="I412" s="212"/>
      <c r="J412" s="1021" t="str">
        <f t="shared" si="1"/>
        <v/>
      </c>
      <c r="K412" s="1022" t="str">
        <f t="shared" si="2"/>
        <v/>
      </c>
      <c r="L412" s="1021"/>
      <c r="M412" s="1022"/>
    </row>
    <row r="413" ht="17.25" customHeight="1">
      <c r="A413" s="687" t="str">
        <f t="shared" si="3"/>
        <v/>
      </c>
      <c r="D413" s="212"/>
      <c r="E413" s="1007"/>
      <c r="F413" s="1007"/>
      <c r="G413" s="212"/>
      <c r="H413" s="212"/>
      <c r="I413" s="212"/>
      <c r="J413" s="1021" t="str">
        <f t="shared" si="1"/>
        <v/>
      </c>
      <c r="K413" s="1022" t="str">
        <f t="shared" si="2"/>
        <v/>
      </c>
      <c r="L413" s="1021"/>
      <c r="M413" s="1022"/>
    </row>
    <row r="414" ht="17.25" customHeight="1">
      <c r="A414" s="687" t="str">
        <f t="shared" si="3"/>
        <v/>
      </c>
      <c r="D414" s="212"/>
      <c r="E414" s="1007"/>
      <c r="F414" s="1007"/>
      <c r="G414" s="212"/>
      <c r="H414" s="212"/>
      <c r="I414" s="212"/>
      <c r="J414" s="1021" t="str">
        <f t="shared" si="1"/>
        <v/>
      </c>
      <c r="K414" s="1022" t="str">
        <f t="shared" si="2"/>
        <v/>
      </c>
      <c r="L414" s="1021"/>
      <c r="M414" s="1022"/>
    </row>
    <row r="415" ht="17.25" customHeight="1">
      <c r="A415" s="687" t="str">
        <f t="shared" si="3"/>
        <v/>
      </c>
      <c r="D415" s="212"/>
      <c r="E415" s="1007"/>
      <c r="F415" s="1007"/>
      <c r="G415" s="212"/>
      <c r="H415" s="212"/>
      <c r="I415" s="212"/>
      <c r="J415" s="1021" t="str">
        <f t="shared" si="1"/>
        <v/>
      </c>
      <c r="K415" s="1022" t="str">
        <f t="shared" si="2"/>
        <v/>
      </c>
      <c r="L415" s="1021"/>
      <c r="M415" s="1022"/>
    </row>
    <row r="416" ht="17.25" customHeight="1">
      <c r="A416" s="687" t="str">
        <f t="shared" si="3"/>
        <v/>
      </c>
      <c r="D416" s="212"/>
      <c r="E416" s="1007"/>
      <c r="F416" s="1007"/>
      <c r="G416" s="212"/>
      <c r="H416" s="212"/>
      <c r="I416" s="212"/>
      <c r="J416" s="1021" t="str">
        <f t="shared" si="1"/>
        <v/>
      </c>
      <c r="K416" s="1022" t="str">
        <f t="shared" si="2"/>
        <v/>
      </c>
      <c r="L416" s="1021"/>
      <c r="M416" s="1022"/>
    </row>
    <row r="417" ht="17.25" customHeight="1">
      <c r="A417" s="687" t="str">
        <f t="shared" si="3"/>
        <v/>
      </c>
      <c r="D417" s="212"/>
      <c r="E417" s="1007"/>
      <c r="F417" s="1007"/>
      <c r="G417" s="212"/>
      <c r="H417" s="212"/>
      <c r="I417" s="212"/>
      <c r="J417" s="1021" t="str">
        <f t="shared" si="1"/>
        <v/>
      </c>
      <c r="K417" s="1022" t="str">
        <f t="shared" si="2"/>
        <v/>
      </c>
      <c r="L417" s="1021"/>
      <c r="M417" s="1022"/>
    </row>
    <row r="418" ht="17.25" customHeight="1">
      <c r="A418" s="687" t="str">
        <f t="shared" si="3"/>
        <v/>
      </c>
      <c r="D418" s="212"/>
      <c r="E418" s="1007"/>
      <c r="F418" s="1007"/>
      <c r="G418" s="212"/>
      <c r="H418" s="212"/>
      <c r="I418" s="212"/>
      <c r="J418" s="1021" t="str">
        <f t="shared" si="1"/>
        <v/>
      </c>
      <c r="K418" s="1022" t="str">
        <f t="shared" si="2"/>
        <v/>
      </c>
      <c r="L418" s="1021"/>
      <c r="M418" s="1022"/>
    </row>
    <row r="419" ht="17.25" customHeight="1">
      <c r="A419" s="687" t="str">
        <f t="shared" si="3"/>
        <v/>
      </c>
      <c r="D419" s="212"/>
      <c r="E419" s="1007"/>
      <c r="F419" s="1007"/>
      <c r="G419" s="212"/>
      <c r="H419" s="212"/>
      <c r="I419" s="212"/>
      <c r="J419" s="1021" t="str">
        <f t="shared" si="1"/>
        <v/>
      </c>
      <c r="K419" s="1022" t="str">
        <f t="shared" si="2"/>
        <v/>
      </c>
      <c r="L419" s="1021"/>
      <c r="M419" s="1022"/>
    </row>
    <row r="420" ht="17.25" customHeight="1">
      <c r="A420" s="687" t="str">
        <f t="shared" si="3"/>
        <v/>
      </c>
      <c r="D420" s="212"/>
      <c r="E420" s="1007"/>
      <c r="F420" s="1007"/>
      <c r="G420" s="212"/>
      <c r="H420" s="212"/>
      <c r="I420" s="212"/>
      <c r="J420" s="1021" t="str">
        <f t="shared" si="1"/>
        <v/>
      </c>
      <c r="K420" s="1022" t="str">
        <f t="shared" si="2"/>
        <v/>
      </c>
      <c r="L420" s="1021"/>
      <c r="M420" s="1022"/>
    </row>
    <row r="421" ht="17.25" customHeight="1">
      <c r="A421" s="687" t="str">
        <f t="shared" si="3"/>
        <v/>
      </c>
      <c r="D421" s="212"/>
      <c r="E421" s="1007"/>
      <c r="F421" s="1007"/>
      <c r="G421" s="212"/>
      <c r="H421" s="212"/>
      <c r="I421" s="212"/>
      <c r="J421" s="1021" t="str">
        <f t="shared" si="1"/>
        <v/>
      </c>
      <c r="K421" s="1022" t="str">
        <f t="shared" si="2"/>
        <v/>
      </c>
      <c r="L421" s="1021"/>
      <c r="M421" s="1022"/>
    </row>
    <row r="422" ht="17.25" customHeight="1">
      <c r="A422" s="687" t="str">
        <f t="shared" si="3"/>
        <v/>
      </c>
      <c r="D422" s="212"/>
      <c r="E422" s="1007"/>
      <c r="F422" s="1007"/>
      <c r="G422" s="212"/>
      <c r="H422" s="212"/>
      <c r="I422" s="212"/>
      <c r="J422" s="1021" t="str">
        <f t="shared" si="1"/>
        <v/>
      </c>
      <c r="K422" s="1022" t="str">
        <f t="shared" si="2"/>
        <v/>
      </c>
      <c r="L422" s="1021"/>
      <c r="M422" s="1022"/>
    </row>
    <row r="423" ht="17.25" customHeight="1">
      <c r="A423" s="687" t="str">
        <f t="shared" si="3"/>
        <v/>
      </c>
      <c r="D423" s="212"/>
      <c r="E423" s="1007"/>
      <c r="F423" s="1007"/>
      <c r="G423" s="212"/>
      <c r="H423" s="212"/>
      <c r="I423" s="212"/>
      <c r="J423" s="1021" t="str">
        <f t="shared" si="1"/>
        <v/>
      </c>
      <c r="K423" s="1022" t="str">
        <f t="shared" si="2"/>
        <v/>
      </c>
      <c r="L423" s="1021"/>
      <c r="M423" s="1022"/>
    </row>
    <row r="424" ht="17.25" customHeight="1">
      <c r="A424" s="687" t="str">
        <f t="shared" si="3"/>
        <v/>
      </c>
      <c r="D424" s="212"/>
      <c r="E424" s="1007"/>
      <c r="F424" s="1007"/>
      <c r="G424" s="212"/>
      <c r="H424" s="212"/>
      <c r="I424" s="212"/>
      <c r="J424" s="1021" t="str">
        <f t="shared" si="1"/>
        <v/>
      </c>
      <c r="K424" s="1022" t="str">
        <f t="shared" si="2"/>
        <v/>
      </c>
      <c r="L424" s="1021"/>
      <c r="M424" s="1022"/>
    </row>
    <row r="425" ht="17.25" customHeight="1">
      <c r="A425" s="687" t="str">
        <f t="shared" si="3"/>
        <v/>
      </c>
      <c r="D425" s="212"/>
      <c r="E425" s="1007"/>
      <c r="F425" s="1007"/>
      <c r="G425" s="212"/>
      <c r="H425" s="212"/>
      <c r="I425" s="212"/>
      <c r="J425" s="1021" t="str">
        <f t="shared" si="1"/>
        <v/>
      </c>
      <c r="K425" s="1022" t="str">
        <f t="shared" si="2"/>
        <v/>
      </c>
      <c r="L425" s="1021"/>
      <c r="M425" s="1022"/>
    </row>
    <row r="426" ht="17.25" customHeight="1">
      <c r="A426" s="687" t="str">
        <f t="shared" si="3"/>
        <v/>
      </c>
      <c r="D426" s="212"/>
      <c r="E426" s="1007"/>
      <c r="F426" s="1007"/>
      <c r="G426" s="212"/>
      <c r="H426" s="212"/>
      <c r="I426" s="212"/>
      <c r="J426" s="1021" t="str">
        <f t="shared" si="1"/>
        <v/>
      </c>
      <c r="K426" s="1022" t="str">
        <f t="shared" si="2"/>
        <v/>
      </c>
      <c r="L426" s="1021"/>
      <c r="M426" s="1022"/>
    </row>
    <row r="427" ht="17.25" customHeight="1">
      <c r="A427" s="687" t="str">
        <f t="shared" si="3"/>
        <v/>
      </c>
      <c r="D427" s="212"/>
      <c r="E427" s="1007"/>
      <c r="F427" s="1007"/>
      <c r="G427" s="212"/>
      <c r="H427" s="212"/>
      <c r="I427" s="212"/>
      <c r="J427" s="1021" t="str">
        <f t="shared" si="1"/>
        <v/>
      </c>
      <c r="K427" s="1022" t="str">
        <f t="shared" si="2"/>
        <v/>
      </c>
      <c r="L427" s="1021"/>
      <c r="M427" s="1022"/>
    </row>
    <row r="428" ht="17.25" customHeight="1">
      <c r="A428" s="687" t="str">
        <f t="shared" si="3"/>
        <v/>
      </c>
      <c r="D428" s="212"/>
      <c r="E428" s="1007"/>
      <c r="F428" s="1007"/>
      <c r="G428" s="212"/>
      <c r="H428" s="212"/>
      <c r="I428" s="212"/>
      <c r="J428" s="1021" t="str">
        <f t="shared" si="1"/>
        <v/>
      </c>
      <c r="K428" s="1022" t="str">
        <f t="shared" si="2"/>
        <v/>
      </c>
      <c r="L428" s="1021"/>
      <c r="M428" s="1022"/>
    </row>
    <row r="429" ht="17.25" customHeight="1">
      <c r="A429" s="687" t="str">
        <f t="shared" si="3"/>
        <v/>
      </c>
      <c r="D429" s="212"/>
      <c r="E429" s="1007"/>
      <c r="F429" s="1007"/>
      <c r="G429" s="212"/>
      <c r="H429" s="212"/>
      <c r="I429" s="212"/>
      <c r="J429" s="1021" t="str">
        <f t="shared" si="1"/>
        <v/>
      </c>
      <c r="K429" s="1022" t="str">
        <f t="shared" si="2"/>
        <v/>
      </c>
      <c r="L429" s="1021"/>
      <c r="M429" s="1022"/>
    </row>
    <row r="430" ht="17.25" customHeight="1">
      <c r="A430" s="687" t="str">
        <f t="shared" si="3"/>
        <v/>
      </c>
      <c r="D430" s="212"/>
      <c r="E430" s="1007"/>
      <c r="F430" s="1007"/>
      <c r="G430" s="212"/>
      <c r="H430" s="212"/>
      <c r="I430" s="212"/>
      <c r="J430" s="1021" t="str">
        <f t="shared" si="1"/>
        <v/>
      </c>
      <c r="K430" s="1022" t="str">
        <f t="shared" si="2"/>
        <v/>
      </c>
      <c r="L430" s="1021"/>
      <c r="M430" s="1022"/>
    </row>
    <row r="431" ht="17.25" customHeight="1">
      <c r="A431" s="687" t="str">
        <f t="shared" si="3"/>
        <v/>
      </c>
      <c r="D431" s="212"/>
      <c r="E431" s="1007"/>
      <c r="F431" s="1007"/>
      <c r="G431" s="212"/>
      <c r="H431" s="212"/>
      <c r="I431" s="212"/>
      <c r="J431" s="1021" t="str">
        <f t="shared" si="1"/>
        <v/>
      </c>
      <c r="K431" s="1022" t="str">
        <f t="shared" si="2"/>
        <v/>
      </c>
      <c r="L431" s="1021"/>
      <c r="M431" s="1022"/>
    </row>
    <row r="432" ht="17.25" customHeight="1">
      <c r="A432" s="687" t="str">
        <f t="shared" si="3"/>
        <v/>
      </c>
      <c r="D432" s="212"/>
      <c r="E432" s="1007"/>
      <c r="F432" s="1007"/>
      <c r="G432" s="212"/>
      <c r="H432" s="212"/>
      <c r="I432" s="212"/>
      <c r="J432" s="1021" t="str">
        <f t="shared" si="1"/>
        <v/>
      </c>
      <c r="K432" s="1022" t="str">
        <f t="shared" si="2"/>
        <v/>
      </c>
      <c r="L432" s="1021"/>
      <c r="M432" s="1022"/>
    </row>
    <row r="433" ht="17.25" customHeight="1">
      <c r="A433" s="687" t="str">
        <f t="shared" si="3"/>
        <v/>
      </c>
      <c r="D433" s="212"/>
      <c r="E433" s="1007"/>
      <c r="F433" s="1007"/>
      <c r="G433" s="212"/>
      <c r="H433" s="212"/>
      <c r="I433" s="212"/>
      <c r="J433" s="1021" t="str">
        <f t="shared" si="1"/>
        <v/>
      </c>
      <c r="K433" s="1022" t="str">
        <f t="shared" si="2"/>
        <v/>
      </c>
      <c r="L433" s="1021"/>
      <c r="M433" s="1022"/>
    </row>
    <row r="434" ht="17.25" customHeight="1">
      <c r="A434" s="687" t="str">
        <f t="shared" si="3"/>
        <v/>
      </c>
      <c r="D434" s="212"/>
      <c r="E434" s="1007"/>
      <c r="F434" s="1007"/>
      <c r="G434" s="212"/>
      <c r="H434" s="212"/>
      <c r="I434" s="212"/>
      <c r="J434" s="1021" t="str">
        <f t="shared" si="1"/>
        <v/>
      </c>
      <c r="K434" s="1022" t="str">
        <f t="shared" si="2"/>
        <v/>
      </c>
      <c r="L434" s="1021"/>
      <c r="M434" s="1022"/>
    </row>
    <row r="435" ht="17.25" customHeight="1">
      <c r="A435" s="687" t="str">
        <f t="shared" si="3"/>
        <v/>
      </c>
      <c r="D435" s="212"/>
      <c r="E435" s="1007"/>
      <c r="F435" s="1007"/>
      <c r="G435" s="212"/>
      <c r="H435" s="212"/>
      <c r="I435" s="212"/>
      <c r="J435" s="1021" t="str">
        <f t="shared" si="1"/>
        <v/>
      </c>
      <c r="K435" s="1022" t="str">
        <f t="shared" si="2"/>
        <v/>
      </c>
      <c r="L435" s="1021"/>
      <c r="M435" s="1022"/>
    </row>
    <row r="436" ht="17.25" customHeight="1">
      <c r="A436" s="687" t="str">
        <f t="shared" si="3"/>
        <v/>
      </c>
      <c r="D436" s="212"/>
      <c r="E436" s="1007"/>
      <c r="F436" s="1007"/>
      <c r="G436" s="212"/>
      <c r="H436" s="212"/>
      <c r="I436" s="212"/>
      <c r="J436" s="1021" t="str">
        <f t="shared" si="1"/>
        <v/>
      </c>
      <c r="K436" s="1022" t="str">
        <f t="shared" si="2"/>
        <v/>
      </c>
      <c r="L436" s="1021"/>
      <c r="M436" s="1022"/>
    </row>
    <row r="437" ht="17.25" customHeight="1">
      <c r="A437" s="687" t="str">
        <f t="shared" si="3"/>
        <v/>
      </c>
      <c r="D437" s="212"/>
      <c r="E437" s="1007"/>
      <c r="F437" s="1007"/>
      <c r="G437" s="212"/>
      <c r="H437" s="212"/>
      <c r="I437" s="212"/>
      <c r="J437" s="1021" t="str">
        <f t="shared" si="1"/>
        <v/>
      </c>
      <c r="K437" s="1022" t="str">
        <f t="shared" si="2"/>
        <v/>
      </c>
      <c r="L437" s="1021"/>
      <c r="M437" s="1022"/>
    </row>
    <row r="438" ht="17.25" customHeight="1">
      <c r="A438" s="687" t="str">
        <f t="shared" si="3"/>
        <v/>
      </c>
      <c r="D438" s="212"/>
      <c r="E438" s="1007"/>
      <c r="F438" s="1007"/>
      <c r="G438" s="212"/>
      <c r="H438" s="212"/>
      <c r="I438" s="212"/>
      <c r="J438" s="1021" t="str">
        <f t="shared" si="1"/>
        <v/>
      </c>
      <c r="K438" s="1022" t="str">
        <f t="shared" si="2"/>
        <v/>
      </c>
      <c r="L438" s="1021"/>
      <c r="M438" s="1022"/>
    </row>
    <row r="439" ht="17.25" customHeight="1">
      <c r="A439" s="687" t="str">
        <f t="shared" si="3"/>
        <v/>
      </c>
      <c r="D439" s="212"/>
      <c r="E439" s="1007"/>
      <c r="F439" s="1007"/>
      <c r="G439" s="212"/>
      <c r="H439" s="212"/>
      <c r="I439" s="212"/>
      <c r="J439" s="1021" t="str">
        <f t="shared" si="1"/>
        <v/>
      </c>
      <c r="K439" s="1022" t="str">
        <f t="shared" si="2"/>
        <v/>
      </c>
      <c r="L439" s="1021"/>
      <c r="M439" s="1022"/>
    </row>
    <row r="440" ht="17.25" customHeight="1">
      <c r="A440" s="687" t="str">
        <f t="shared" si="3"/>
        <v/>
      </c>
      <c r="D440" s="212"/>
      <c r="E440" s="1007"/>
      <c r="F440" s="1007"/>
      <c r="G440" s="212"/>
      <c r="H440" s="212"/>
      <c r="I440" s="212"/>
      <c r="J440" s="1021" t="str">
        <f t="shared" si="1"/>
        <v/>
      </c>
      <c r="K440" s="1022" t="str">
        <f t="shared" si="2"/>
        <v/>
      </c>
      <c r="L440" s="1021"/>
      <c r="M440" s="1022"/>
    </row>
    <row r="441" ht="17.25" customHeight="1">
      <c r="A441" s="687" t="str">
        <f t="shared" si="3"/>
        <v/>
      </c>
      <c r="D441" s="212"/>
      <c r="E441" s="1007"/>
      <c r="F441" s="1007"/>
      <c r="G441" s="212"/>
      <c r="H441" s="212"/>
      <c r="I441" s="212"/>
      <c r="J441" s="1021" t="str">
        <f t="shared" si="1"/>
        <v/>
      </c>
      <c r="K441" s="1022" t="str">
        <f t="shared" si="2"/>
        <v/>
      </c>
      <c r="L441" s="1021"/>
      <c r="M441" s="1022"/>
    </row>
    <row r="442" ht="17.25" customHeight="1">
      <c r="A442" s="687" t="str">
        <f t="shared" si="3"/>
        <v/>
      </c>
      <c r="D442" s="212"/>
      <c r="E442" s="1007"/>
      <c r="F442" s="1007"/>
      <c r="G442" s="212"/>
      <c r="H442" s="212"/>
      <c r="I442" s="212"/>
      <c r="J442" s="1021" t="str">
        <f t="shared" si="1"/>
        <v/>
      </c>
      <c r="K442" s="1022" t="str">
        <f t="shared" si="2"/>
        <v/>
      </c>
      <c r="L442" s="1021"/>
      <c r="M442" s="1022"/>
    </row>
    <row r="443" ht="17.25" customHeight="1">
      <c r="A443" s="687" t="str">
        <f t="shared" si="3"/>
        <v/>
      </c>
      <c r="D443" s="212"/>
      <c r="E443" s="1007"/>
      <c r="F443" s="1007"/>
      <c r="G443" s="212"/>
      <c r="H443" s="212"/>
      <c r="I443" s="212"/>
      <c r="J443" s="1021" t="str">
        <f t="shared" si="1"/>
        <v/>
      </c>
      <c r="K443" s="1022" t="str">
        <f t="shared" si="2"/>
        <v/>
      </c>
      <c r="L443" s="1021"/>
      <c r="M443" s="1022"/>
    </row>
    <row r="444" ht="17.25" customHeight="1">
      <c r="A444" s="687" t="str">
        <f t="shared" si="3"/>
        <v/>
      </c>
      <c r="D444" s="212"/>
      <c r="E444" s="1007"/>
      <c r="F444" s="1007"/>
      <c r="G444" s="212"/>
      <c r="H444" s="212"/>
      <c r="I444" s="212"/>
      <c r="J444" s="1021" t="str">
        <f t="shared" si="1"/>
        <v/>
      </c>
      <c r="K444" s="1022" t="str">
        <f t="shared" si="2"/>
        <v/>
      </c>
      <c r="L444" s="1021"/>
      <c r="M444" s="1022"/>
    </row>
    <row r="445" ht="17.25" customHeight="1">
      <c r="A445" s="687" t="str">
        <f t="shared" si="3"/>
        <v/>
      </c>
      <c r="D445" s="212"/>
      <c r="E445" s="1007"/>
      <c r="F445" s="1007"/>
      <c r="G445" s="212"/>
      <c r="H445" s="212"/>
      <c r="I445" s="212"/>
      <c r="J445" s="1021" t="str">
        <f t="shared" si="1"/>
        <v/>
      </c>
      <c r="K445" s="1022" t="str">
        <f t="shared" si="2"/>
        <v/>
      </c>
      <c r="L445" s="1021"/>
      <c r="M445" s="1022"/>
    </row>
    <row r="446" ht="17.25" customHeight="1">
      <c r="A446" s="687" t="str">
        <f t="shared" si="3"/>
        <v/>
      </c>
      <c r="D446" s="212"/>
      <c r="E446" s="1007"/>
      <c r="F446" s="1007"/>
      <c r="G446" s="212"/>
      <c r="H446" s="212"/>
      <c r="I446" s="212"/>
      <c r="J446" s="1021" t="str">
        <f t="shared" si="1"/>
        <v/>
      </c>
      <c r="K446" s="1022" t="str">
        <f t="shared" si="2"/>
        <v/>
      </c>
      <c r="L446" s="1021"/>
      <c r="M446" s="1022"/>
    </row>
    <row r="447" ht="17.25" customHeight="1">
      <c r="A447" s="687" t="str">
        <f t="shared" si="3"/>
        <v/>
      </c>
      <c r="D447" s="212"/>
      <c r="E447" s="1007"/>
      <c r="F447" s="1007"/>
      <c r="G447" s="212"/>
      <c r="H447" s="212"/>
      <c r="I447" s="212"/>
      <c r="J447" s="1021" t="str">
        <f t="shared" si="1"/>
        <v/>
      </c>
      <c r="K447" s="1022" t="str">
        <f t="shared" si="2"/>
        <v/>
      </c>
      <c r="L447" s="1021"/>
      <c r="M447" s="1022"/>
    </row>
    <row r="448" ht="17.25" customHeight="1">
      <c r="A448" s="687" t="str">
        <f t="shared" si="3"/>
        <v/>
      </c>
      <c r="D448" s="212"/>
      <c r="E448" s="1007"/>
      <c r="F448" s="1007"/>
      <c r="G448" s="212"/>
      <c r="H448" s="212"/>
      <c r="I448" s="212"/>
      <c r="J448" s="1021" t="str">
        <f t="shared" si="1"/>
        <v/>
      </c>
      <c r="K448" s="1022" t="str">
        <f t="shared" si="2"/>
        <v/>
      </c>
      <c r="L448" s="1021"/>
      <c r="M448" s="1022"/>
    </row>
    <row r="449" ht="17.25" customHeight="1">
      <c r="A449" s="687" t="str">
        <f t="shared" si="3"/>
        <v/>
      </c>
      <c r="D449" s="212"/>
      <c r="E449" s="1007"/>
      <c r="F449" s="1007"/>
      <c r="G449" s="212"/>
      <c r="H449" s="212"/>
      <c r="I449" s="212"/>
      <c r="J449" s="1021" t="str">
        <f t="shared" si="1"/>
        <v/>
      </c>
      <c r="K449" s="1022" t="str">
        <f t="shared" si="2"/>
        <v/>
      </c>
      <c r="L449" s="1021"/>
      <c r="M449" s="1022"/>
    </row>
    <row r="450" ht="17.25" customHeight="1">
      <c r="A450" s="687" t="str">
        <f t="shared" si="3"/>
        <v/>
      </c>
      <c r="D450" s="212"/>
      <c r="E450" s="1007"/>
      <c r="F450" s="1007"/>
      <c r="G450" s="212"/>
      <c r="H450" s="212"/>
      <c r="I450" s="212"/>
      <c r="J450" s="1021" t="str">
        <f t="shared" si="1"/>
        <v/>
      </c>
      <c r="K450" s="1022" t="str">
        <f t="shared" si="2"/>
        <v/>
      </c>
      <c r="L450" s="1021"/>
      <c r="M450" s="1022"/>
    </row>
    <row r="451" ht="17.25" customHeight="1">
      <c r="A451" s="687" t="str">
        <f t="shared" si="3"/>
        <v/>
      </c>
      <c r="D451" s="212"/>
      <c r="E451" s="1007"/>
      <c r="F451" s="1007"/>
      <c r="G451" s="212"/>
      <c r="H451" s="212"/>
      <c r="I451" s="212"/>
      <c r="J451" s="1021" t="str">
        <f t="shared" si="1"/>
        <v/>
      </c>
      <c r="K451" s="1022" t="str">
        <f t="shared" si="2"/>
        <v/>
      </c>
      <c r="L451" s="1021"/>
      <c r="M451" s="1022"/>
    </row>
    <row r="452" ht="17.25" customHeight="1">
      <c r="A452" s="687" t="str">
        <f t="shared" si="3"/>
        <v/>
      </c>
      <c r="D452" s="212"/>
      <c r="E452" s="1007"/>
      <c r="F452" s="1007"/>
      <c r="G452" s="212"/>
      <c r="H452" s="212"/>
      <c r="I452" s="212"/>
      <c r="J452" s="1021" t="str">
        <f t="shared" si="1"/>
        <v/>
      </c>
      <c r="K452" s="1022" t="str">
        <f t="shared" si="2"/>
        <v/>
      </c>
      <c r="L452" s="1021"/>
      <c r="M452" s="1022"/>
    </row>
    <row r="453" ht="17.25" customHeight="1">
      <c r="A453" s="687" t="str">
        <f t="shared" si="3"/>
        <v/>
      </c>
      <c r="D453" s="212"/>
      <c r="E453" s="1007"/>
      <c r="F453" s="1007"/>
      <c r="G453" s="212"/>
      <c r="H453" s="212"/>
      <c r="I453" s="212"/>
      <c r="J453" s="1021" t="str">
        <f t="shared" si="1"/>
        <v/>
      </c>
      <c r="K453" s="1022" t="str">
        <f t="shared" si="2"/>
        <v/>
      </c>
      <c r="L453" s="1021"/>
      <c r="M453" s="1022"/>
    </row>
    <row r="454" ht="17.25" customHeight="1">
      <c r="A454" s="687" t="str">
        <f t="shared" si="3"/>
        <v/>
      </c>
      <c r="D454" s="212"/>
      <c r="E454" s="1007"/>
      <c r="F454" s="1007"/>
      <c r="G454" s="212"/>
      <c r="H454" s="212"/>
      <c r="I454" s="212"/>
      <c r="J454" s="1021" t="str">
        <f t="shared" si="1"/>
        <v/>
      </c>
      <c r="K454" s="1022" t="str">
        <f t="shared" si="2"/>
        <v/>
      </c>
      <c r="L454" s="1021"/>
      <c r="M454" s="1022"/>
    </row>
    <row r="455" ht="17.25" customHeight="1">
      <c r="A455" s="687" t="str">
        <f t="shared" si="3"/>
        <v/>
      </c>
      <c r="D455" s="212"/>
      <c r="E455" s="1007"/>
      <c r="F455" s="1007"/>
      <c r="G455" s="212"/>
      <c r="H455" s="212"/>
      <c r="I455" s="212"/>
      <c r="J455" s="1021" t="str">
        <f t="shared" si="1"/>
        <v/>
      </c>
      <c r="K455" s="1022" t="str">
        <f t="shared" si="2"/>
        <v/>
      </c>
      <c r="L455" s="1021"/>
      <c r="M455" s="1022"/>
    </row>
    <row r="456" ht="17.25" customHeight="1">
      <c r="A456" s="687" t="str">
        <f t="shared" si="3"/>
        <v/>
      </c>
      <c r="D456" s="212"/>
      <c r="E456" s="1007"/>
      <c r="F456" s="1007"/>
      <c r="G456" s="212"/>
      <c r="H456" s="212"/>
      <c r="I456" s="212"/>
      <c r="J456" s="1021" t="str">
        <f t="shared" si="1"/>
        <v/>
      </c>
      <c r="K456" s="1022" t="str">
        <f t="shared" si="2"/>
        <v/>
      </c>
      <c r="L456" s="1021"/>
      <c r="M456" s="1022"/>
    </row>
    <row r="457" ht="17.25" customHeight="1">
      <c r="A457" s="687" t="str">
        <f t="shared" si="3"/>
        <v/>
      </c>
      <c r="D457" s="212"/>
      <c r="E457" s="1007"/>
      <c r="F457" s="1007"/>
      <c r="G457" s="212"/>
      <c r="H457" s="212"/>
      <c r="I457" s="212"/>
      <c r="J457" s="1021" t="str">
        <f t="shared" si="1"/>
        <v/>
      </c>
      <c r="K457" s="1022" t="str">
        <f t="shared" si="2"/>
        <v/>
      </c>
      <c r="L457" s="1021"/>
      <c r="M457" s="1022"/>
    </row>
    <row r="458" ht="17.25" customHeight="1">
      <c r="A458" s="687" t="str">
        <f t="shared" si="3"/>
        <v/>
      </c>
      <c r="D458" s="212"/>
      <c r="E458" s="1007"/>
      <c r="F458" s="1007"/>
      <c r="G458" s="212"/>
      <c r="H458" s="212"/>
      <c r="I458" s="212"/>
      <c r="J458" s="1021" t="str">
        <f t="shared" si="1"/>
        <v/>
      </c>
      <c r="K458" s="1022" t="str">
        <f t="shared" si="2"/>
        <v/>
      </c>
      <c r="L458" s="1021"/>
      <c r="M458" s="1022"/>
    </row>
    <row r="459" ht="17.25" customHeight="1">
      <c r="A459" s="687" t="str">
        <f t="shared" si="3"/>
        <v/>
      </c>
      <c r="D459" s="212"/>
      <c r="E459" s="1007"/>
      <c r="F459" s="1007"/>
      <c r="G459" s="212"/>
      <c r="H459" s="212"/>
      <c r="I459" s="212"/>
      <c r="J459" s="1021" t="str">
        <f t="shared" si="1"/>
        <v/>
      </c>
      <c r="K459" s="1022" t="str">
        <f t="shared" si="2"/>
        <v/>
      </c>
      <c r="L459" s="1021"/>
      <c r="M459" s="1022"/>
    </row>
    <row r="460" ht="17.25" customHeight="1">
      <c r="A460" s="687" t="str">
        <f t="shared" si="3"/>
        <v/>
      </c>
      <c r="D460" s="212"/>
      <c r="E460" s="1007"/>
      <c r="F460" s="1007"/>
      <c r="G460" s="212"/>
      <c r="H460" s="212"/>
      <c r="I460" s="212"/>
      <c r="J460" s="1021" t="str">
        <f t="shared" si="1"/>
        <v/>
      </c>
      <c r="K460" s="1022" t="str">
        <f t="shared" si="2"/>
        <v/>
      </c>
      <c r="L460" s="1021"/>
      <c r="M460" s="1022"/>
    </row>
    <row r="461" ht="17.25" customHeight="1">
      <c r="A461" s="687" t="str">
        <f t="shared" si="3"/>
        <v/>
      </c>
      <c r="D461" s="212"/>
      <c r="E461" s="1007"/>
      <c r="F461" s="1007"/>
      <c r="G461" s="212"/>
      <c r="H461" s="212"/>
      <c r="I461" s="212"/>
      <c r="J461" s="1021" t="str">
        <f t="shared" si="1"/>
        <v/>
      </c>
      <c r="K461" s="1022" t="str">
        <f t="shared" si="2"/>
        <v/>
      </c>
      <c r="L461" s="1021"/>
      <c r="M461" s="1022"/>
    </row>
    <row r="462" ht="17.25" customHeight="1">
      <c r="A462" s="687" t="str">
        <f t="shared" si="3"/>
        <v/>
      </c>
      <c r="D462" s="212"/>
      <c r="E462" s="1007"/>
      <c r="F462" s="1007"/>
      <c r="G462" s="212"/>
      <c r="H462" s="212"/>
      <c r="I462" s="212"/>
      <c r="J462" s="1021" t="str">
        <f t="shared" si="1"/>
        <v/>
      </c>
      <c r="K462" s="1022" t="str">
        <f t="shared" si="2"/>
        <v/>
      </c>
      <c r="L462" s="1021"/>
      <c r="M462" s="1022"/>
    </row>
    <row r="463" ht="17.25" customHeight="1">
      <c r="A463" s="687" t="str">
        <f t="shared" si="3"/>
        <v/>
      </c>
      <c r="D463" s="212"/>
      <c r="E463" s="1007"/>
      <c r="F463" s="1007"/>
      <c r="G463" s="212"/>
      <c r="H463" s="212"/>
      <c r="I463" s="212"/>
      <c r="J463" s="1021" t="str">
        <f t="shared" si="1"/>
        <v/>
      </c>
      <c r="K463" s="1022" t="str">
        <f t="shared" si="2"/>
        <v/>
      </c>
      <c r="L463" s="1021"/>
      <c r="M463" s="1022"/>
    </row>
    <row r="464" ht="17.25" customHeight="1">
      <c r="A464" s="687" t="str">
        <f t="shared" si="3"/>
        <v/>
      </c>
      <c r="D464" s="212"/>
      <c r="E464" s="1007"/>
      <c r="F464" s="1007"/>
      <c r="G464" s="212"/>
      <c r="H464" s="212"/>
      <c r="I464" s="212"/>
      <c r="J464" s="1021" t="str">
        <f t="shared" si="1"/>
        <v/>
      </c>
      <c r="K464" s="1022" t="str">
        <f t="shared" si="2"/>
        <v/>
      </c>
      <c r="L464" s="1021"/>
      <c r="M464" s="1022"/>
    </row>
    <row r="465" ht="17.25" customHeight="1">
      <c r="A465" s="687" t="str">
        <f t="shared" si="3"/>
        <v/>
      </c>
      <c r="D465" s="212"/>
      <c r="E465" s="1007"/>
      <c r="F465" s="1007"/>
      <c r="G465" s="212"/>
      <c r="H465" s="212"/>
      <c r="I465" s="212"/>
      <c r="J465" s="1021" t="str">
        <f t="shared" si="1"/>
        <v/>
      </c>
      <c r="K465" s="1022" t="str">
        <f t="shared" si="2"/>
        <v/>
      </c>
      <c r="L465" s="1021"/>
      <c r="M465" s="1022"/>
    </row>
    <row r="466" ht="17.25" customHeight="1">
      <c r="A466" s="687" t="str">
        <f t="shared" si="3"/>
        <v/>
      </c>
      <c r="D466" s="212"/>
      <c r="E466" s="1007"/>
      <c r="F466" s="1007"/>
      <c r="G466" s="212"/>
      <c r="H466" s="212"/>
      <c r="I466" s="212"/>
      <c r="J466" s="1021" t="str">
        <f t="shared" si="1"/>
        <v/>
      </c>
      <c r="K466" s="1022" t="str">
        <f t="shared" si="2"/>
        <v/>
      </c>
      <c r="L466" s="1021"/>
      <c r="M466" s="1022"/>
    </row>
    <row r="467" ht="17.25" customHeight="1">
      <c r="A467" s="687" t="str">
        <f t="shared" si="3"/>
        <v/>
      </c>
      <c r="D467" s="212"/>
      <c r="E467" s="1007"/>
      <c r="F467" s="1007"/>
      <c r="G467" s="212"/>
      <c r="H467" s="212"/>
      <c r="I467" s="212"/>
      <c r="J467" s="1021" t="str">
        <f t="shared" si="1"/>
        <v/>
      </c>
      <c r="K467" s="1022" t="str">
        <f t="shared" si="2"/>
        <v/>
      </c>
      <c r="L467" s="1021"/>
      <c r="M467" s="1022"/>
    </row>
    <row r="468" ht="17.25" customHeight="1">
      <c r="A468" s="687" t="str">
        <f t="shared" si="3"/>
        <v/>
      </c>
      <c r="D468" s="212"/>
      <c r="E468" s="1007"/>
      <c r="F468" s="1007"/>
      <c r="G468" s="212"/>
      <c r="H468" s="212"/>
      <c r="I468" s="212"/>
      <c r="J468" s="1021" t="str">
        <f t="shared" si="1"/>
        <v/>
      </c>
      <c r="K468" s="1022" t="str">
        <f t="shared" si="2"/>
        <v/>
      </c>
      <c r="L468" s="1021"/>
      <c r="M468" s="1022"/>
    </row>
    <row r="469" ht="17.25" customHeight="1">
      <c r="A469" s="687" t="str">
        <f t="shared" si="3"/>
        <v/>
      </c>
      <c r="D469" s="212"/>
      <c r="E469" s="1007"/>
      <c r="F469" s="1007"/>
      <c r="G469" s="212"/>
      <c r="H469" s="212"/>
      <c r="I469" s="212"/>
      <c r="J469" s="1021" t="str">
        <f t="shared" si="1"/>
        <v/>
      </c>
      <c r="K469" s="1022" t="str">
        <f t="shared" si="2"/>
        <v/>
      </c>
      <c r="L469" s="1021"/>
      <c r="M469" s="1022"/>
    </row>
    <row r="470" ht="17.25" customHeight="1">
      <c r="A470" s="687" t="str">
        <f t="shared" si="3"/>
        <v/>
      </c>
      <c r="D470" s="212"/>
      <c r="E470" s="1007"/>
      <c r="F470" s="1007"/>
      <c r="G470" s="212"/>
      <c r="H470" s="212"/>
      <c r="I470" s="212"/>
      <c r="J470" s="1021" t="str">
        <f t="shared" si="1"/>
        <v/>
      </c>
      <c r="K470" s="1022" t="str">
        <f t="shared" si="2"/>
        <v/>
      </c>
      <c r="L470" s="1021"/>
      <c r="M470" s="1022"/>
    </row>
    <row r="471" ht="17.25" customHeight="1">
      <c r="A471" s="687" t="str">
        <f t="shared" si="3"/>
        <v/>
      </c>
      <c r="D471" s="212"/>
      <c r="E471" s="1007"/>
      <c r="F471" s="1007"/>
      <c r="G471" s="212"/>
      <c r="H471" s="212"/>
      <c r="I471" s="212"/>
      <c r="J471" s="1021" t="str">
        <f t="shared" si="1"/>
        <v/>
      </c>
      <c r="K471" s="1022" t="str">
        <f t="shared" si="2"/>
        <v/>
      </c>
      <c r="L471" s="1021"/>
      <c r="M471" s="1022"/>
    </row>
    <row r="472" ht="17.25" customHeight="1">
      <c r="A472" s="687" t="str">
        <f t="shared" si="3"/>
        <v/>
      </c>
      <c r="D472" s="212"/>
      <c r="E472" s="1007"/>
      <c r="F472" s="1007"/>
      <c r="G472" s="212"/>
      <c r="H472" s="212"/>
      <c r="I472" s="212"/>
      <c r="J472" s="1021" t="str">
        <f t="shared" si="1"/>
        <v/>
      </c>
      <c r="K472" s="1022" t="str">
        <f t="shared" si="2"/>
        <v/>
      </c>
      <c r="L472" s="1021"/>
      <c r="M472" s="1022"/>
    </row>
    <row r="473" ht="17.25" customHeight="1">
      <c r="A473" s="687" t="str">
        <f t="shared" si="3"/>
        <v/>
      </c>
      <c r="D473" s="212"/>
      <c r="E473" s="1007"/>
      <c r="F473" s="1007"/>
      <c r="G473" s="212"/>
      <c r="H473" s="212"/>
      <c r="I473" s="212"/>
      <c r="J473" s="1021" t="str">
        <f t="shared" si="1"/>
        <v/>
      </c>
      <c r="K473" s="1022" t="str">
        <f t="shared" si="2"/>
        <v/>
      </c>
      <c r="L473" s="1021"/>
      <c r="M473" s="1022"/>
    </row>
    <row r="474" ht="17.25" customHeight="1">
      <c r="A474" s="687" t="str">
        <f t="shared" si="3"/>
        <v/>
      </c>
      <c r="D474" s="212"/>
      <c r="E474" s="1007"/>
      <c r="F474" s="1007"/>
      <c r="G474" s="212"/>
      <c r="H474" s="212"/>
      <c r="I474" s="212"/>
      <c r="J474" s="1021" t="str">
        <f t="shared" si="1"/>
        <v/>
      </c>
      <c r="K474" s="1022" t="str">
        <f t="shared" si="2"/>
        <v/>
      </c>
      <c r="L474" s="1021"/>
      <c r="M474" s="1022"/>
    </row>
    <row r="475" ht="17.25" customHeight="1">
      <c r="A475" s="687" t="str">
        <f t="shared" si="3"/>
        <v/>
      </c>
      <c r="D475" s="212"/>
      <c r="E475" s="1007"/>
      <c r="F475" s="1007"/>
      <c r="G475" s="212"/>
      <c r="H475" s="212"/>
      <c r="I475" s="212"/>
      <c r="J475" s="1021" t="str">
        <f t="shared" si="1"/>
        <v/>
      </c>
      <c r="K475" s="1022" t="str">
        <f t="shared" si="2"/>
        <v/>
      </c>
      <c r="L475" s="1021"/>
      <c r="M475" s="1022"/>
    </row>
    <row r="476" ht="17.25" customHeight="1">
      <c r="A476" s="687" t="str">
        <f t="shared" si="3"/>
        <v/>
      </c>
      <c r="D476" s="212"/>
      <c r="E476" s="1007"/>
      <c r="F476" s="1007"/>
      <c r="G476" s="212"/>
      <c r="H476" s="212"/>
      <c r="I476" s="212"/>
      <c r="J476" s="1021" t="str">
        <f t="shared" si="1"/>
        <v/>
      </c>
      <c r="K476" s="1022" t="str">
        <f t="shared" si="2"/>
        <v/>
      </c>
      <c r="L476" s="1021"/>
      <c r="M476" s="1022"/>
    </row>
    <row r="477" ht="17.25" customHeight="1">
      <c r="A477" s="687" t="str">
        <f t="shared" si="3"/>
        <v/>
      </c>
      <c r="D477" s="212"/>
      <c r="E477" s="1007"/>
      <c r="F477" s="1007"/>
      <c r="G477" s="212"/>
      <c r="H477" s="212"/>
      <c r="I477" s="212"/>
      <c r="J477" s="1021" t="str">
        <f t="shared" si="1"/>
        <v/>
      </c>
      <c r="K477" s="1022" t="str">
        <f t="shared" si="2"/>
        <v/>
      </c>
      <c r="L477" s="1021"/>
      <c r="M477" s="1022"/>
    </row>
    <row r="478" ht="17.25" customHeight="1">
      <c r="A478" s="687" t="str">
        <f t="shared" si="3"/>
        <v/>
      </c>
      <c r="D478" s="212"/>
      <c r="E478" s="1007"/>
      <c r="F478" s="1007"/>
      <c r="G478" s="212"/>
      <c r="H478" s="212"/>
      <c r="I478" s="212"/>
      <c r="J478" s="1021" t="str">
        <f t="shared" si="1"/>
        <v/>
      </c>
      <c r="K478" s="1022" t="str">
        <f t="shared" si="2"/>
        <v/>
      </c>
      <c r="L478" s="1021"/>
      <c r="M478" s="1022"/>
    </row>
    <row r="479" ht="17.25" customHeight="1">
      <c r="A479" s="687" t="str">
        <f t="shared" si="3"/>
        <v/>
      </c>
      <c r="D479" s="212"/>
      <c r="E479" s="1007"/>
      <c r="F479" s="1007"/>
      <c r="G479" s="212"/>
      <c r="H479" s="212"/>
      <c r="I479" s="212"/>
      <c r="J479" s="1021" t="str">
        <f t="shared" si="1"/>
        <v/>
      </c>
      <c r="K479" s="1022" t="str">
        <f t="shared" si="2"/>
        <v/>
      </c>
      <c r="L479" s="1021"/>
      <c r="M479" s="1022"/>
    </row>
    <row r="480" ht="17.25" customHeight="1">
      <c r="A480" s="687" t="str">
        <f t="shared" si="3"/>
        <v/>
      </c>
      <c r="D480" s="212"/>
      <c r="E480" s="1007"/>
      <c r="F480" s="1007"/>
      <c r="G480" s="212"/>
      <c r="H480" s="212"/>
      <c r="I480" s="212"/>
      <c r="J480" s="1021" t="str">
        <f t="shared" si="1"/>
        <v/>
      </c>
      <c r="K480" s="1022" t="str">
        <f t="shared" si="2"/>
        <v/>
      </c>
      <c r="L480" s="1021"/>
      <c r="M480" s="1022"/>
    </row>
    <row r="481" ht="17.25" customHeight="1">
      <c r="A481" s="687" t="str">
        <f t="shared" si="3"/>
        <v/>
      </c>
      <c r="D481" s="212"/>
      <c r="E481" s="1007"/>
      <c r="F481" s="1007"/>
      <c r="G481" s="212"/>
      <c r="H481" s="212"/>
      <c r="I481" s="212"/>
      <c r="J481" s="1021" t="str">
        <f t="shared" si="1"/>
        <v/>
      </c>
      <c r="K481" s="1022" t="str">
        <f t="shared" si="2"/>
        <v/>
      </c>
      <c r="L481" s="1021"/>
      <c r="M481" s="1022"/>
    </row>
    <row r="482" ht="17.25" customHeight="1">
      <c r="A482" s="687" t="str">
        <f t="shared" si="3"/>
        <v/>
      </c>
      <c r="D482" s="212"/>
      <c r="E482" s="1007"/>
      <c r="F482" s="1007"/>
      <c r="G482" s="212"/>
      <c r="H482" s="212"/>
      <c r="I482" s="212"/>
      <c r="J482" s="1021" t="str">
        <f t="shared" si="1"/>
        <v/>
      </c>
      <c r="K482" s="1022" t="str">
        <f t="shared" si="2"/>
        <v/>
      </c>
      <c r="L482" s="1021"/>
      <c r="M482" s="1022"/>
    </row>
    <row r="483" ht="17.25" customHeight="1">
      <c r="A483" s="687" t="str">
        <f t="shared" si="3"/>
        <v/>
      </c>
      <c r="D483" s="212"/>
      <c r="E483" s="1007"/>
      <c r="F483" s="1007"/>
      <c r="G483" s="212"/>
      <c r="H483" s="212"/>
      <c r="I483" s="212"/>
      <c r="J483" s="1021" t="str">
        <f t="shared" si="1"/>
        <v/>
      </c>
      <c r="K483" s="1022" t="str">
        <f t="shared" si="2"/>
        <v/>
      </c>
      <c r="L483" s="1021"/>
      <c r="M483" s="1022"/>
    </row>
    <row r="484" ht="17.25" customHeight="1">
      <c r="A484" s="687" t="str">
        <f t="shared" si="3"/>
        <v/>
      </c>
      <c r="D484" s="212"/>
      <c r="E484" s="1007"/>
      <c r="F484" s="1007"/>
      <c r="G484" s="212"/>
      <c r="H484" s="212"/>
      <c r="I484" s="212"/>
      <c r="J484" s="1021" t="str">
        <f t="shared" si="1"/>
        <v/>
      </c>
      <c r="K484" s="1022" t="str">
        <f t="shared" si="2"/>
        <v/>
      </c>
      <c r="L484" s="1021"/>
      <c r="M484" s="1022"/>
    </row>
    <row r="485" ht="17.25" customHeight="1">
      <c r="A485" s="687" t="str">
        <f t="shared" si="3"/>
        <v/>
      </c>
      <c r="D485" s="212"/>
      <c r="E485" s="1007"/>
      <c r="F485" s="1007"/>
      <c r="G485" s="212"/>
      <c r="H485" s="212"/>
      <c r="I485" s="212"/>
      <c r="J485" s="1021" t="str">
        <f t="shared" si="1"/>
        <v/>
      </c>
      <c r="K485" s="1022" t="str">
        <f t="shared" si="2"/>
        <v/>
      </c>
      <c r="L485" s="1021"/>
      <c r="M485" s="1022"/>
    </row>
    <row r="486" ht="17.25" customHeight="1">
      <c r="A486" s="687" t="str">
        <f t="shared" si="3"/>
        <v/>
      </c>
      <c r="D486" s="212"/>
      <c r="E486" s="1007"/>
      <c r="F486" s="1007"/>
      <c r="G486" s="212"/>
      <c r="H486" s="212"/>
      <c r="I486" s="212"/>
      <c r="J486" s="1021" t="str">
        <f t="shared" si="1"/>
        <v/>
      </c>
      <c r="K486" s="1022" t="str">
        <f t="shared" si="2"/>
        <v/>
      </c>
      <c r="L486" s="1021"/>
      <c r="M486" s="1022"/>
    </row>
    <row r="487" ht="17.25" customHeight="1">
      <c r="A487" s="687" t="str">
        <f t="shared" si="3"/>
        <v/>
      </c>
      <c r="D487" s="212"/>
      <c r="E487" s="1007"/>
      <c r="F487" s="1007"/>
      <c r="G487" s="212"/>
      <c r="H487" s="212"/>
      <c r="I487" s="212"/>
      <c r="J487" s="1021" t="str">
        <f t="shared" si="1"/>
        <v/>
      </c>
      <c r="K487" s="1022" t="str">
        <f t="shared" si="2"/>
        <v/>
      </c>
      <c r="L487" s="1021"/>
      <c r="M487" s="1022"/>
    </row>
    <row r="488" ht="17.25" customHeight="1">
      <c r="A488" s="687" t="str">
        <f t="shared" si="3"/>
        <v/>
      </c>
      <c r="D488" s="212"/>
      <c r="E488" s="1007"/>
      <c r="F488" s="1007"/>
      <c r="G488" s="212"/>
      <c r="H488" s="212"/>
      <c r="I488" s="212"/>
      <c r="J488" s="1021" t="str">
        <f t="shared" si="1"/>
        <v/>
      </c>
      <c r="K488" s="1022" t="str">
        <f t="shared" si="2"/>
        <v/>
      </c>
      <c r="L488" s="1021"/>
      <c r="M488" s="1022"/>
    </row>
    <row r="489" ht="17.25" customHeight="1">
      <c r="A489" s="687" t="str">
        <f t="shared" si="3"/>
        <v/>
      </c>
      <c r="D489" s="212"/>
      <c r="E489" s="1007"/>
      <c r="F489" s="1007"/>
      <c r="G489" s="212"/>
      <c r="H489" s="212"/>
      <c r="I489" s="212"/>
      <c r="J489" s="1021" t="str">
        <f t="shared" si="1"/>
        <v/>
      </c>
      <c r="K489" s="1022" t="str">
        <f t="shared" si="2"/>
        <v/>
      </c>
      <c r="L489" s="1021"/>
      <c r="M489" s="1022"/>
    </row>
    <row r="490" ht="17.25" customHeight="1">
      <c r="A490" s="687" t="str">
        <f t="shared" si="3"/>
        <v/>
      </c>
      <c r="D490" s="212"/>
      <c r="E490" s="1007"/>
      <c r="F490" s="1007"/>
      <c r="G490" s="212"/>
      <c r="H490" s="212"/>
      <c r="I490" s="212"/>
      <c r="J490" s="1021" t="str">
        <f t="shared" si="1"/>
        <v/>
      </c>
      <c r="K490" s="1022" t="str">
        <f t="shared" si="2"/>
        <v/>
      </c>
      <c r="L490" s="1021"/>
      <c r="M490" s="1022"/>
    </row>
    <row r="491" ht="17.25" customHeight="1">
      <c r="A491" s="687" t="str">
        <f t="shared" si="3"/>
        <v/>
      </c>
      <c r="D491" s="212"/>
      <c r="E491" s="1007"/>
      <c r="F491" s="1007"/>
      <c r="G491" s="212"/>
      <c r="H491" s="212"/>
      <c r="I491" s="212"/>
      <c r="J491" s="1021" t="str">
        <f t="shared" si="1"/>
        <v/>
      </c>
      <c r="K491" s="1022" t="str">
        <f t="shared" si="2"/>
        <v/>
      </c>
      <c r="L491" s="1021"/>
      <c r="M491" s="1022"/>
    </row>
    <row r="492" ht="17.25" customHeight="1">
      <c r="A492" s="687" t="str">
        <f t="shared" si="3"/>
        <v/>
      </c>
      <c r="D492" s="212"/>
      <c r="E492" s="1007"/>
      <c r="F492" s="1007"/>
      <c r="G492" s="212"/>
      <c r="H492" s="212"/>
      <c r="I492" s="212"/>
      <c r="J492" s="1021" t="str">
        <f t="shared" si="1"/>
        <v/>
      </c>
      <c r="K492" s="1022" t="str">
        <f t="shared" si="2"/>
        <v/>
      </c>
      <c r="L492" s="1021"/>
      <c r="M492" s="1022"/>
    </row>
    <row r="493" ht="17.25" customHeight="1">
      <c r="A493" s="687" t="str">
        <f t="shared" si="3"/>
        <v/>
      </c>
      <c r="D493" s="212"/>
      <c r="E493" s="1007"/>
      <c r="F493" s="1007"/>
      <c r="G493" s="212"/>
      <c r="H493" s="212"/>
      <c r="I493" s="212"/>
      <c r="J493" s="1021" t="str">
        <f t="shared" si="1"/>
        <v/>
      </c>
      <c r="K493" s="1022" t="str">
        <f t="shared" si="2"/>
        <v/>
      </c>
      <c r="L493" s="1021"/>
      <c r="M493" s="1022"/>
    </row>
    <row r="494" ht="17.25" customHeight="1">
      <c r="A494" s="687" t="str">
        <f t="shared" si="3"/>
        <v/>
      </c>
      <c r="D494" s="212"/>
      <c r="E494" s="1007"/>
      <c r="F494" s="1007"/>
      <c r="G494" s="212"/>
      <c r="H494" s="212"/>
      <c r="I494" s="212"/>
      <c r="J494" s="1021" t="str">
        <f t="shared" si="1"/>
        <v/>
      </c>
      <c r="K494" s="1022" t="str">
        <f t="shared" si="2"/>
        <v/>
      </c>
      <c r="L494" s="1021"/>
      <c r="M494" s="1022"/>
    </row>
    <row r="495" ht="17.25" customHeight="1">
      <c r="A495" s="687" t="str">
        <f t="shared" si="3"/>
        <v/>
      </c>
      <c r="D495" s="212"/>
      <c r="E495" s="1007"/>
      <c r="F495" s="1007"/>
      <c r="G495" s="212"/>
      <c r="H495" s="212"/>
      <c r="I495" s="212"/>
      <c r="J495" s="1021" t="str">
        <f t="shared" si="1"/>
        <v/>
      </c>
      <c r="K495" s="1022" t="str">
        <f t="shared" si="2"/>
        <v/>
      </c>
      <c r="L495" s="1021"/>
      <c r="M495" s="1022"/>
    </row>
    <row r="496" ht="17.25" customHeight="1">
      <c r="A496" s="687" t="str">
        <f t="shared" si="3"/>
        <v/>
      </c>
      <c r="D496" s="212"/>
      <c r="E496" s="1007"/>
      <c r="F496" s="1007"/>
      <c r="G496" s="212"/>
      <c r="H496" s="212"/>
      <c r="I496" s="212"/>
      <c r="J496" s="1021" t="str">
        <f t="shared" si="1"/>
        <v/>
      </c>
      <c r="K496" s="1022" t="str">
        <f t="shared" si="2"/>
        <v/>
      </c>
      <c r="L496" s="1021"/>
      <c r="M496" s="1022"/>
    </row>
    <row r="497" ht="17.25" customHeight="1">
      <c r="A497" s="687" t="str">
        <f t="shared" si="3"/>
        <v/>
      </c>
      <c r="D497" s="212"/>
      <c r="E497" s="1007"/>
      <c r="F497" s="1007"/>
      <c r="G497" s="212"/>
      <c r="H497" s="212"/>
      <c r="I497" s="212"/>
      <c r="J497" s="1021" t="str">
        <f t="shared" si="1"/>
        <v/>
      </c>
      <c r="K497" s="1022" t="str">
        <f t="shared" si="2"/>
        <v/>
      </c>
      <c r="L497" s="1021"/>
      <c r="M497" s="1022"/>
    </row>
    <row r="498" ht="17.25" customHeight="1">
      <c r="A498" s="687" t="str">
        <f t="shared" si="3"/>
        <v/>
      </c>
      <c r="D498" s="212"/>
      <c r="E498" s="1007"/>
      <c r="F498" s="1007"/>
      <c r="G498" s="212"/>
      <c r="H498" s="212"/>
      <c r="I498" s="212"/>
      <c r="J498" s="1021" t="str">
        <f t="shared" si="1"/>
        <v/>
      </c>
      <c r="K498" s="1022" t="str">
        <f t="shared" si="2"/>
        <v/>
      </c>
      <c r="L498" s="1021"/>
      <c r="M498" s="1022"/>
    </row>
    <row r="499" ht="17.25" customHeight="1">
      <c r="A499" s="687" t="str">
        <f t="shared" si="3"/>
        <v/>
      </c>
      <c r="D499" s="212"/>
      <c r="E499" s="1007"/>
      <c r="F499" s="1007"/>
      <c r="G499" s="212"/>
      <c r="H499" s="212"/>
      <c r="I499" s="212"/>
      <c r="J499" s="1021" t="str">
        <f t="shared" si="1"/>
        <v/>
      </c>
      <c r="K499" s="1022" t="str">
        <f t="shared" si="2"/>
        <v/>
      </c>
      <c r="L499" s="1021"/>
      <c r="M499" s="1022"/>
    </row>
    <row r="500" ht="17.25" customHeight="1">
      <c r="A500" s="687" t="str">
        <f t="shared" si="3"/>
        <v/>
      </c>
      <c r="D500" s="212"/>
      <c r="E500" s="1007"/>
      <c r="F500" s="1007"/>
      <c r="G500" s="212"/>
      <c r="H500" s="212"/>
      <c r="I500" s="212"/>
      <c r="J500" s="1021" t="str">
        <f t="shared" si="1"/>
        <v/>
      </c>
      <c r="K500" s="1022" t="str">
        <f t="shared" si="2"/>
        <v/>
      </c>
      <c r="L500" s="1021"/>
      <c r="M500" s="1022"/>
    </row>
    <row r="501" ht="17.25" customHeight="1">
      <c r="A501" s="687" t="str">
        <f t="shared" si="3"/>
        <v/>
      </c>
      <c r="D501" s="212"/>
      <c r="E501" s="1007"/>
      <c r="F501" s="1007"/>
      <c r="G501" s="212"/>
      <c r="H501" s="212"/>
      <c r="I501" s="212"/>
      <c r="J501" s="1021" t="str">
        <f t="shared" si="1"/>
        <v/>
      </c>
      <c r="K501" s="1022" t="str">
        <f t="shared" si="2"/>
        <v/>
      </c>
      <c r="L501" s="1021"/>
      <c r="M501" s="1022"/>
    </row>
    <row r="502" ht="17.25" customHeight="1">
      <c r="A502" s="687" t="str">
        <f t="shared" si="3"/>
        <v/>
      </c>
      <c r="D502" s="212"/>
      <c r="E502" s="1007"/>
      <c r="F502" s="1007"/>
      <c r="G502" s="212"/>
      <c r="H502" s="212"/>
      <c r="I502" s="212"/>
      <c r="J502" s="1021" t="str">
        <f t="shared" si="1"/>
        <v/>
      </c>
      <c r="K502" s="1022" t="str">
        <f t="shared" si="2"/>
        <v/>
      </c>
      <c r="L502" s="1021"/>
      <c r="M502" s="1022"/>
    </row>
    <row r="503" ht="17.25" customHeight="1">
      <c r="A503" s="687" t="str">
        <f t="shared" si="3"/>
        <v/>
      </c>
      <c r="D503" s="212"/>
      <c r="E503" s="1007"/>
      <c r="F503" s="1007"/>
      <c r="G503" s="212"/>
      <c r="H503" s="212"/>
      <c r="I503" s="212"/>
      <c r="J503" s="1021" t="str">
        <f t="shared" si="1"/>
        <v/>
      </c>
      <c r="K503" s="1022" t="str">
        <f t="shared" si="2"/>
        <v/>
      </c>
      <c r="L503" s="1021"/>
      <c r="M503" s="1022"/>
    </row>
    <row r="504" ht="17.25" customHeight="1">
      <c r="A504" s="687" t="str">
        <f t="shared" si="3"/>
        <v/>
      </c>
      <c r="D504" s="212"/>
      <c r="E504" s="1007"/>
      <c r="F504" s="1007"/>
      <c r="G504" s="212"/>
      <c r="H504" s="212"/>
      <c r="I504" s="212"/>
      <c r="J504" s="1021" t="str">
        <f t="shared" si="1"/>
        <v/>
      </c>
      <c r="K504" s="1022" t="str">
        <f t="shared" si="2"/>
        <v/>
      </c>
      <c r="L504" s="1021"/>
      <c r="M504" s="1022"/>
    </row>
    <row r="505" ht="17.25" customHeight="1">
      <c r="A505" s="687" t="str">
        <f t="shared" si="3"/>
        <v/>
      </c>
      <c r="D505" s="212"/>
      <c r="E505" s="1007"/>
      <c r="F505" s="1007"/>
      <c r="G505" s="212"/>
      <c r="H505" s="212"/>
      <c r="I505" s="212"/>
      <c r="J505" s="1021" t="str">
        <f t="shared" si="1"/>
        <v/>
      </c>
      <c r="K505" s="1022" t="str">
        <f t="shared" si="2"/>
        <v/>
      </c>
      <c r="L505" s="1021"/>
      <c r="M505" s="1022"/>
    </row>
    <row r="506" ht="17.25" customHeight="1">
      <c r="A506" s="687" t="str">
        <f t="shared" si="3"/>
        <v/>
      </c>
      <c r="D506" s="212"/>
      <c r="E506" s="1007"/>
      <c r="F506" s="1007"/>
      <c r="G506" s="212"/>
      <c r="H506" s="212"/>
      <c r="I506" s="212"/>
      <c r="J506" s="1021" t="str">
        <f t="shared" si="1"/>
        <v/>
      </c>
      <c r="K506" s="1022" t="str">
        <f t="shared" si="2"/>
        <v/>
      </c>
      <c r="L506" s="1021"/>
      <c r="M506" s="1022"/>
    </row>
    <row r="507" ht="17.25" customHeight="1">
      <c r="A507" s="687" t="str">
        <f t="shared" si="3"/>
        <v/>
      </c>
      <c r="D507" s="212"/>
      <c r="E507" s="1007"/>
      <c r="F507" s="1007"/>
      <c r="G507" s="212"/>
      <c r="H507" s="212"/>
      <c r="I507" s="212"/>
      <c r="J507" s="1021" t="str">
        <f t="shared" si="1"/>
        <v/>
      </c>
      <c r="K507" s="1022" t="str">
        <f t="shared" si="2"/>
        <v/>
      </c>
      <c r="L507" s="1021"/>
      <c r="M507" s="1022"/>
    </row>
    <row r="508" ht="17.25" customHeight="1">
      <c r="A508" s="687" t="str">
        <f t="shared" si="3"/>
        <v/>
      </c>
      <c r="D508" s="212"/>
      <c r="E508" s="1007"/>
      <c r="F508" s="1007"/>
      <c r="G508" s="212"/>
      <c r="H508" s="212"/>
      <c r="I508" s="212"/>
      <c r="J508" s="1021" t="str">
        <f t="shared" si="1"/>
        <v/>
      </c>
      <c r="K508" s="1022" t="str">
        <f t="shared" si="2"/>
        <v/>
      </c>
      <c r="L508" s="1021"/>
      <c r="M508" s="1022"/>
    </row>
    <row r="509" ht="17.25" customHeight="1">
      <c r="A509" s="687" t="str">
        <f t="shared" si="3"/>
        <v/>
      </c>
      <c r="D509" s="212"/>
      <c r="E509" s="1007"/>
      <c r="F509" s="1007"/>
      <c r="G509" s="212"/>
      <c r="H509" s="212"/>
      <c r="I509" s="212"/>
      <c r="J509" s="1021" t="str">
        <f t="shared" si="1"/>
        <v/>
      </c>
      <c r="K509" s="1022" t="str">
        <f t="shared" si="2"/>
        <v/>
      </c>
      <c r="L509" s="1021"/>
      <c r="M509" s="1022"/>
    </row>
    <row r="510" ht="17.25" customHeight="1">
      <c r="A510" s="687" t="str">
        <f t="shared" si="3"/>
        <v/>
      </c>
      <c r="D510" s="212"/>
      <c r="E510" s="1007"/>
      <c r="F510" s="1007"/>
      <c r="G510" s="212"/>
      <c r="H510" s="212"/>
      <c r="I510" s="212"/>
      <c r="J510" s="1021" t="str">
        <f t="shared" si="1"/>
        <v/>
      </c>
      <c r="K510" s="1022" t="str">
        <f t="shared" si="2"/>
        <v/>
      </c>
      <c r="L510" s="1021"/>
      <c r="M510" s="1022"/>
    </row>
    <row r="511" ht="17.25" customHeight="1">
      <c r="A511" s="687" t="str">
        <f t="shared" si="3"/>
        <v/>
      </c>
      <c r="D511" s="212"/>
      <c r="E511" s="1007"/>
      <c r="F511" s="1007"/>
      <c r="G511" s="212"/>
      <c r="H511" s="212"/>
      <c r="I511" s="212"/>
      <c r="J511" s="1021" t="str">
        <f t="shared" si="1"/>
        <v/>
      </c>
      <c r="K511" s="1022" t="str">
        <f t="shared" si="2"/>
        <v/>
      </c>
      <c r="L511" s="1021"/>
      <c r="M511" s="1022"/>
    </row>
    <row r="512" ht="17.25" customHeight="1">
      <c r="A512" s="687" t="str">
        <f t="shared" si="3"/>
        <v/>
      </c>
      <c r="D512" s="212"/>
      <c r="E512" s="1007"/>
      <c r="F512" s="1007"/>
      <c r="G512" s="212"/>
      <c r="H512" s="212"/>
      <c r="I512" s="212"/>
      <c r="J512" s="1021" t="str">
        <f t="shared" si="1"/>
        <v/>
      </c>
      <c r="K512" s="1022" t="str">
        <f t="shared" si="2"/>
        <v/>
      </c>
      <c r="L512" s="1021"/>
      <c r="M512" s="1022"/>
    </row>
    <row r="513" ht="17.25" customHeight="1">
      <c r="A513" s="687" t="str">
        <f t="shared" si="3"/>
        <v/>
      </c>
      <c r="D513" s="212"/>
      <c r="E513" s="1007"/>
      <c r="F513" s="1007"/>
      <c r="G513" s="212"/>
      <c r="H513" s="212"/>
      <c r="I513" s="212"/>
      <c r="J513" s="1021" t="str">
        <f t="shared" si="1"/>
        <v/>
      </c>
      <c r="K513" s="1022" t="str">
        <f t="shared" si="2"/>
        <v/>
      </c>
      <c r="L513" s="1021"/>
      <c r="M513" s="1022"/>
    </row>
    <row r="514" ht="17.25" customHeight="1">
      <c r="A514" s="687" t="str">
        <f t="shared" si="3"/>
        <v/>
      </c>
      <c r="D514" s="212"/>
      <c r="E514" s="1007"/>
      <c r="F514" s="1007"/>
      <c r="G514" s="212"/>
      <c r="H514" s="212"/>
      <c r="I514" s="212"/>
      <c r="J514" s="1021" t="str">
        <f t="shared" si="1"/>
        <v/>
      </c>
      <c r="K514" s="1022" t="str">
        <f t="shared" si="2"/>
        <v/>
      </c>
      <c r="L514" s="1021"/>
      <c r="M514" s="1022"/>
    </row>
    <row r="515" ht="17.25" customHeight="1">
      <c r="A515" s="687" t="str">
        <f t="shared" si="3"/>
        <v/>
      </c>
      <c r="D515" s="212"/>
      <c r="E515" s="1007"/>
      <c r="F515" s="1007"/>
      <c r="G515" s="212"/>
      <c r="H515" s="212"/>
      <c r="I515" s="212"/>
      <c r="J515" s="1021" t="str">
        <f t="shared" si="1"/>
        <v/>
      </c>
      <c r="K515" s="1022" t="str">
        <f t="shared" si="2"/>
        <v/>
      </c>
      <c r="L515" s="1021"/>
      <c r="M515" s="1022"/>
    </row>
    <row r="516" ht="17.25" customHeight="1">
      <c r="A516" s="687" t="str">
        <f t="shared" si="3"/>
        <v/>
      </c>
      <c r="D516" s="212"/>
      <c r="E516" s="1007"/>
      <c r="F516" s="1007"/>
      <c r="G516" s="212"/>
      <c r="H516" s="212"/>
      <c r="I516" s="212"/>
      <c r="J516" s="1021" t="str">
        <f t="shared" si="1"/>
        <v/>
      </c>
      <c r="K516" s="1022" t="str">
        <f t="shared" si="2"/>
        <v/>
      </c>
      <c r="L516" s="1021"/>
      <c r="M516" s="1022"/>
    </row>
    <row r="517" ht="17.25" customHeight="1">
      <c r="A517" s="687" t="str">
        <f t="shared" si="3"/>
        <v/>
      </c>
      <c r="D517" s="212"/>
      <c r="E517" s="1007"/>
      <c r="F517" s="1007"/>
      <c r="G517" s="212"/>
      <c r="H517" s="212"/>
      <c r="I517" s="212"/>
      <c r="J517" s="1021" t="str">
        <f t="shared" si="1"/>
        <v/>
      </c>
      <c r="K517" s="1022" t="str">
        <f t="shared" si="2"/>
        <v/>
      </c>
      <c r="L517" s="1021"/>
      <c r="M517" s="1022"/>
    </row>
    <row r="518" ht="17.25" customHeight="1">
      <c r="A518" s="687" t="str">
        <f t="shared" si="3"/>
        <v/>
      </c>
      <c r="D518" s="212"/>
      <c r="E518" s="1007"/>
      <c r="F518" s="1007"/>
      <c r="G518" s="212"/>
      <c r="H518" s="212"/>
      <c r="I518" s="212"/>
      <c r="J518" s="1021" t="str">
        <f t="shared" si="1"/>
        <v/>
      </c>
      <c r="K518" s="1022" t="str">
        <f t="shared" si="2"/>
        <v/>
      </c>
      <c r="L518" s="1021"/>
      <c r="M518" s="1022"/>
    </row>
    <row r="519" ht="17.25" customHeight="1">
      <c r="A519" s="687" t="str">
        <f t="shared" si="3"/>
        <v/>
      </c>
      <c r="D519" s="212"/>
      <c r="E519" s="1007"/>
      <c r="F519" s="1007"/>
      <c r="G519" s="212"/>
      <c r="H519" s="212"/>
      <c r="I519" s="212"/>
      <c r="J519" s="1021" t="str">
        <f t="shared" si="1"/>
        <v/>
      </c>
      <c r="K519" s="1022" t="str">
        <f t="shared" si="2"/>
        <v/>
      </c>
      <c r="L519" s="1021"/>
      <c r="M519" s="1022"/>
    </row>
    <row r="520" ht="17.25" customHeight="1">
      <c r="A520" s="687" t="str">
        <f t="shared" si="3"/>
        <v/>
      </c>
      <c r="D520" s="212"/>
      <c r="E520" s="1007"/>
      <c r="F520" s="1007"/>
      <c r="G520" s="212"/>
      <c r="H520" s="212"/>
      <c r="I520" s="212"/>
      <c r="J520" s="1021" t="str">
        <f t="shared" si="1"/>
        <v/>
      </c>
      <c r="K520" s="1022" t="str">
        <f t="shared" si="2"/>
        <v/>
      </c>
      <c r="L520" s="1021"/>
      <c r="M520" s="1022"/>
    </row>
    <row r="521" ht="17.25" customHeight="1">
      <c r="A521" s="687" t="str">
        <f t="shared" si="3"/>
        <v/>
      </c>
      <c r="D521" s="212"/>
      <c r="E521" s="1007"/>
      <c r="F521" s="1007"/>
      <c r="G521" s="212"/>
      <c r="H521" s="212"/>
      <c r="I521" s="212"/>
      <c r="J521" s="1021" t="str">
        <f t="shared" si="1"/>
        <v/>
      </c>
      <c r="K521" s="1022" t="str">
        <f t="shared" si="2"/>
        <v/>
      </c>
      <c r="L521" s="1021"/>
      <c r="M521" s="1022"/>
    </row>
    <row r="522" ht="17.25" customHeight="1">
      <c r="A522" s="687" t="str">
        <f t="shared" si="3"/>
        <v/>
      </c>
      <c r="D522" s="212"/>
      <c r="E522" s="1007"/>
      <c r="F522" s="1007"/>
      <c r="G522" s="212"/>
      <c r="H522" s="212"/>
      <c r="I522" s="212"/>
      <c r="J522" s="1021" t="str">
        <f t="shared" si="1"/>
        <v/>
      </c>
      <c r="K522" s="1022" t="str">
        <f t="shared" si="2"/>
        <v/>
      </c>
      <c r="L522" s="1021"/>
      <c r="M522" s="1022"/>
    </row>
    <row r="523" ht="17.25" customHeight="1">
      <c r="A523" s="687" t="str">
        <f t="shared" si="3"/>
        <v/>
      </c>
      <c r="D523" s="212"/>
      <c r="E523" s="1007"/>
      <c r="F523" s="1007"/>
      <c r="G523" s="212"/>
      <c r="H523" s="212"/>
      <c r="I523" s="212"/>
      <c r="J523" s="1021" t="str">
        <f t="shared" si="1"/>
        <v/>
      </c>
      <c r="K523" s="1022" t="str">
        <f t="shared" si="2"/>
        <v/>
      </c>
      <c r="L523" s="1021"/>
      <c r="M523" s="1022"/>
    </row>
    <row r="524" ht="17.25" customHeight="1">
      <c r="A524" s="687" t="str">
        <f t="shared" si="3"/>
        <v/>
      </c>
      <c r="D524" s="212"/>
      <c r="E524" s="1007"/>
      <c r="F524" s="1007"/>
      <c r="G524" s="212"/>
      <c r="H524" s="212"/>
      <c r="I524" s="212"/>
      <c r="J524" s="1021" t="str">
        <f t="shared" si="1"/>
        <v/>
      </c>
      <c r="K524" s="1022" t="str">
        <f t="shared" si="2"/>
        <v/>
      </c>
      <c r="L524" s="1021"/>
      <c r="M524" s="1022"/>
    </row>
    <row r="525" ht="17.25" customHeight="1">
      <c r="A525" s="687" t="str">
        <f t="shared" si="3"/>
        <v/>
      </c>
      <c r="D525" s="212"/>
      <c r="E525" s="1007"/>
      <c r="F525" s="1007"/>
      <c r="G525" s="212"/>
      <c r="H525" s="212"/>
      <c r="I525" s="212"/>
      <c r="J525" s="1021" t="str">
        <f t="shared" si="1"/>
        <v/>
      </c>
      <c r="K525" s="1022" t="str">
        <f t="shared" si="2"/>
        <v/>
      </c>
      <c r="L525" s="1021"/>
      <c r="M525" s="1022"/>
    </row>
    <row r="526" ht="17.25" customHeight="1">
      <c r="A526" s="687" t="str">
        <f t="shared" si="3"/>
        <v/>
      </c>
      <c r="D526" s="212"/>
      <c r="E526" s="1007"/>
      <c r="F526" s="1007"/>
      <c r="G526" s="212"/>
      <c r="H526" s="212"/>
      <c r="I526" s="212"/>
      <c r="J526" s="1021" t="str">
        <f t="shared" si="1"/>
        <v/>
      </c>
      <c r="K526" s="1022" t="str">
        <f t="shared" si="2"/>
        <v/>
      </c>
      <c r="L526" s="1021"/>
      <c r="M526" s="1022"/>
    </row>
    <row r="527" ht="17.25" customHeight="1">
      <c r="A527" s="687" t="str">
        <f t="shared" si="3"/>
        <v/>
      </c>
      <c r="D527" s="212"/>
      <c r="E527" s="1007"/>
      <c r="F527" s="1007"/>
      <c r="G527" s="212"/>
      <c r="H527" s="212"/>
      <c r="I527" s="212"/>
      <c r="J527" s="1021" t="str">
        <f t="shared" si="1"/>
        <v/>
      </c>
      <c r="K527" s="1022" t="str">
        <f t="shared" si="2"/>
        <v/>
      </c>
      <c r="L527" s="1021"/>
      <c r="M527" s="1022"/>
    </row>
    <row r="528" ht="17.25" customHeight="1">
      <c r="A528" s="687" t="str">
        <f t="shared" si="3"/>
        <v/>
      </c>
      <c r="D528" s="212"/>
      <c r="E528" s="1007"/>
      <c r="F528" s="1007"/>
      <c r="G528" s="212"/>
      <c r="H528" s="212"/>
      <c r="I528" s="212"/>
      <c r="J528" s="1021" t="str">
        <f t="shared" si="1"/>
        <v/>
      </c>
      <c r="K528" s="1022" t="str">
        <f t="shared" si="2"/>
        <v/>
      </c>
      <c r="L528" s="1021"/>
      <c r="M528" s="1022"/>
    </row>
    <row r="529" ht="17.25" customHeight="1">
      <c r="A529" s="687" t="str">
        <f t="shared" si="3"/>
        <v/>
      </c>
      <c r="D529" s="212"/>
      <c r="E529" s="1007"/>
      <c r="F529" s="1007"/>
      <c r="G529" s="212"/>
      <c r="H529" s="212"/>
      <c r="I529" s="212"/>
      <c r="J529" s="1021" t="str">
        <f t="shared" si="1"/>
        <v/>
      </c>
      <c r="K529" s="1022" t="str">
        <f t="shared" si="2"/>
        <v/>
      </c>
      <c r="L529" s="1021"/>
      <c r="M529" s="1022"/>
    </row>
    <row r="530" ht="17.25" customHeight="1">
      <c r="A530" s="687" t="str">
        <f t="shared" si="3"/>
        <v/>
      </c>
      <c r="D530" s="212"/>
      <c r="E530" s="1007"/>
      <c r="F530" s="1007"/>
      <c r="G530" s="212"/>
      <c r="H530" s="212"/>
      <c r="I530" s="212"/>
      <c r="J530" s="1021" t="str">
        <f t="shared" si="1"/>
        <v/>
      </c>
      <c r="K530" s="1022" t="str">
        <f t="shared" si="2"/>
        <v/>
      </c>
      <c r="L530" s="212"/>
      <c r="M530" s="212"/>
    </row>
    <row r="531" ht="17.25" customHeight="1">
      <c r="D531" s="212"/>
      <c r="E531" s="1007"/>
      <c r="F531" s="1007"/>
      <c r="G531" s="212"/>
      <c r="H531" s="212"/>
      <c r="I531" s="212"/>
      <c r="J531" s="212"/>
      <c r="K531" s="212"/>
      <c r="L531" s="212"/>
      <c r="M531" s="212"/>
    </row>
    <row r="532" ht="17.25" customHeight="1">
      <c r="D532" s="212"/>
      <c r="E532" s="1007"/>
      <c r="F532" s="1007"/>
      <c r="G532" s="212"/>
      <c r="H532" s="212"/>
      <c r="I532" s="212"/>
      <c r="J532" s="212"/>
      <c r="K532" s="212"/>
      <c r="L532" s="212"/>
      <c r="M532" s="212"/>
    </row>
    <row r="533" ht="17.25" customHeight="1">
      <c r="D533" s="212"/>
      <c r="E533" s="1007"/>
      <c r="F533" s="1007"/>
      <c r="G533" s="212"/>
      <c r="H533" s="212"/>
      <c r="I533" s="212"/>
      <c r="J533" s="212"/>
      <c r="K533" s="212"/>
      <c r="L533" s="212"/>
      <c r="M533" s="212"/>
    </row>
    <row r="534" ht="17.25" customHeight="1">
      <c r="D534" s="212"/>
      <c r="E534" s="1007"/>
      <c r="F534" s="1007"/>
      <c r="G534" s="212"/>
      <c r="H534" s="212"/>
      <c r="I534" s="212"/>
      <c r="J534" s="212"/>
      <c r="K534" s="212"/>
      <c r="L534" s="212"/>
      <c r="M534" s="212"/>
    </row>
    <row r="535" ht="17.25" customHeight="1">
      <c r="D535" s="212"/>
      <c r="E535" s="1007"/>
      <c r="F535" s="1007"/>
      <c r="G535" s="212"/>
      <c r="H535" s="212"/>
      <c r="I535" s="212"/>
      <c r="J535" s="212"/>
      <c r="K535" s="212"/>
      <c r="L535" s="212"/>
      <c r="M535" s="212"/>
    </row>
    <row r="536" ht="17.25" customHeight="1">
      <c r="D536" s="212"/>
      <c r="E536" s="1007"/>
      <c r="F536" s="1007"/>
      <c r="G536" s="212"/>
      <c r="H536" s="212"/>
      <c r="I536" s="212"/>
      <c r="J536" s="212"/>
      <c r="K536" s="212"/>
      <c r="L536" s="212"/>
      <c r="M536" s="212"/>
    </row>
    <row r="537" ht="17.25" customHeight="1">
      <c r="D537" s="212"/>
      <c r="E537" s="1007"/>
      <c r="F537" s="1007"/>
      <c r="G537" s="212"/>
      <c r="H537" s="212"/>
      <c r="I537" s="212"/>
      <c r="J537" s="212"/>
      <c r="K537" s="212"/>
      <c r="L537" s="212"/>
      <c r="M537" s="212"/>
    </row>
    <row r="538" ht="17.25" customHeight="1">
      <c r="D538" s="212"/>
      <c r="E538" s="1007"/>
      <c r="F538" s="1007"/>
      <c r="G538" s="212"/>
      <c r="H538" s="212"/>
      <c r="I538" s="212"/>
      <c r="J538" s="212"/>
      <c r="K538" s="212"/>
      <c r="L538" s="212"/>
      <c r="M538" s="212"/>
    </row>
    <row r="539" ht="17.25" customHeight="1">
      <c r="D539" s="212"/>
      <c r="E539" s="1007"/>
      <c r="F539" s="1007"/>
      <c r="G539" s="212"/>
      <c r="H539" s="212"/>
      <c r="I539" s="212"/>
      <c r="J539" s="212"/>
      <c r="K539" s="212"/>
      <c r="L539" s="212"/>
      <c r="M539" s="212"/>
    </row>
    <row r="540" ht="17.25" customHeight="1">
      <c r="D540" s="212"/>
      <c r="E540" s="1007"/>
      <c r="F540" s="1007"/>
      <c r="G540" s="212"/>
      <c r="H540" s="212"/>
      <c r="I540" s="212"/>
      <c r="J540" s="212"/>
      <c r="K540" s="212"/>
      <c r="L540" s="212"/>
      <c r="M540" s="212"/>
    </row>
    <row r="541" ht="17.25" customHeight="1">
      <c r="D541" s="212"/>
      <c r="E541" s="1007"/>
      <c r="F541" s="1007"/>
      <c r="G541" s="212"/>
      <c r="H541" s="212"/>
      <c r="I541" s="212"/>
      <c r="J541" s="212"/>
      <c r="K541" s="212"/>
      <c r="L541" s="212"/>
      <c r="M541" s="212"/>
    </row>
    <row r="542" ht="17.25" customHeight="1">
      <c r="D542" s="212"/>
      <c r="E542" s="1007"/>
      <c r="F542" s="1007"/>
      <c r="G542" s="212"/>
      <c r="H542" s="212"/>
      <c r="I542" s="212"/>
      <c r="J542" s="212"/>
      <c r="K542" s="212"/>
      <c r="L542" s="212"/>
      <c r="M542" s="212"/>
    </row>
    <row r="543" ht="17.25" customHeight="1">
      <c r="D543" s="212"/>
      <c r="E543" s="1007"/>
      <c r="F543" s="1007"/>
      <c r="G543" s="212"/>
      <c r="H543" s="212"/>
      <c r="I543" s="212"/>
      <c r="J543" s="212"/>
      <c r="K543" s="212"/>
      <c r="L543" s="212"/>
      <c r="M543" s="212"/>
    </row>
    <row r="544" ht="17.25" customHeight="1">
      <c r="D544" s="212"/>
      <c r="E544" s="1007"/>
      <c r="F544" s="1007"/>
      <c r="G544" s="212"/>
      <c r="H544" s="212"/>
      <c r="I544" s="212"/>
      <c r="J544" s="212"/>
      <c r="K544" s="212"/>
      <c r="L544" s="212"/>
      <c r="M544" s="212"/>
    </row>
    <row r="545" ht="17.25" customHeight="1">
      <c r="D545" s="212"/>
      <c r="E545" s="1007"/>
      <c r="F545" s="1007"/>
      <c r="G545" s="212"/>
      <c r="H545" s="212"/>
      <c r="I545" s="212"/>
      <c r="J545" s="212"/>
      <c r="K545" s="212"/>
      <c r="L545" s="212"/>
      <c r="M545" s="212"/>
    </row>
    <row r="546" ht="17.25" customHeight="1">
      <c r="D546" s="212"/>
      <c r="E546" s="1007"/>
      <c r="F546" s="1007"/>
      <c r="G546" s="212"/>
      <c r="H546" s="212"/>
      <c r="I546" s="212"/>
      <c r="J546" s="212"/>
      <c r="K546" s="212"/>
      <c r="L546" s="212"/>
      <c r="M546" s="212"/>
    </row>
    <row r="547" ht="17.25" customHeight="1">
      <c r="D547" s="212"/>
      <c r="E547" s="1007"/>
      <c r="F547" s="1007"/>
      <c r="G547" s="212"/>
      <c r="H547" s="212"/>
      <c r="I547" s="212"/>
      <c r="J547" s="212"/>
      <c r="K547" s="212"/>
      <c r="L547" s="212"/>
      <c r="M547" s="212"/>
    </row>
    <row r="548" ht="17.25" customHeight="1">
      <c r="D548" s="212"/>
      <c r="E548" s="1007"/>
      <c r="F548" s="1007"/>
      <c r="G548" s="212"/>
      <c r="H548" s="212"/>
      <c r="I548" s="212"/>
      <c r="J548" s="212"/>
      <c r="K548" s="212"/>
      <c r="L548" s="212"/>
      <c r="M548" s="212"/>
    </row>
    <row r="549" ht="17.25" customHeight="1">
      <c r="D549" s="212"/>
      <c r="E549" s="1007"/>
      <c r="F549" s="1007"/>
      <c r="G549" s="212"/>
      <c r="H549" s="212"/>
      <c r="I549" s="212"/>
      <c r="J549" s="212"/>
      <c r="K549" s="212"/>
      <c r="L549" s="212"/>
      <c r="M549" s="212"/>
    </row>
    <row r="550" ht="17.25" customHeight="1">
      <c r="D550" s="212"/>
      <c r="E550" s="1007"/>
      <c r="F550" s="1007"/>
      <c r="G550" s="212"/>
      <c r="H550" s="212"/>
      <c r="I550" s="212"/>
      <c r="J550" s="212"/>
      <c r="K550" s="212"/>
      <c r="L550" s="212"/>
      <c r="M550" s="212"/>
    </row>
    <row r="551" ht="17.25" customHeight="1">
      <c r="D551" s="212"/>
      <c r="E551" s="1007"/>
      <c r="F551" s="1007"/>
      <c r="G551" s="212"/>
      <c r="H551" s="212"/>
      <c r="I551" s="212"/>
      <c r="J551" s="212"/>
      <c r="K551" s="212"/>
      <c r="L551" s="212"/>
      <c r="M551" s="212"/>
    </row>
    <row r="552" ht="17.25" customHeight="1">
      <c r="D552" s="212"/>
      <c r="E552" s="1007"/>
      <c r="F552" s="1007"/>
      <c r="G552" s="212"/>
      <c r="H552" s="212"/>
      <c r="I552" s="212"/>
      <c r="J552" s="212"/>
      <c r="K552" s="212"/>
      <c r="L552" s="212"/>
      <c r="M552" s="212"/>
    </row>
    <row r="553" ht="17.25" customHeight="1">
      <c r="D553" s="212"/>
      <c r="E553" s="1007"/>
      <c r="F553" s="1007"/>
      <c r="G553" s="212"/>
      <c r="H553" s="212"/>
      <c r="I553" s="212"/>
      <c r="J553" s="212"/>
      <c r="K553" s="212"/>
      <c r="L553" s="212"/>
      <c r="M553" s="212"/>
    </row>
    <row r="554" ht="17.25" customHeight="1">
      <c r="D554" s="212"/>
      <c r="E554" s="1007"/>
      <c r="F554" s="1007"/>
      <c r="G554" s="212"/>
      <c r="H554" s="212"/>
      <c r="I554" s="212"/>
      <c r="J554" s="212"/>
      <c r="K554" s="212"/>
      <c r="L554" s="212"/>
      <c r="M554" s="212"/>
    </row>
    <row r="555" ht="17.25" customHeight="1">
      <c r="D555" s="212"/>
      <c r="E555" s="1007"/>
      <c r="F555" s="1007"/>
      <c r="G555" s="212"/>
      <c r="H555" s="212"/>
      <c r="I555" s="212"/>
      <c r="J555" s="212"/>
      <c r="K555" s="212"/>
      <c r="L555" s="212"/>
      <c r="M555" s="212"/>
    </row>
    <row r="556" ht="17.25" customHeight="1">
      <c r="D556" s="212"/>
      <c r="E556" s="1007"/>
      <c r="F556" s="1007"/>
      <c r="G556" s="212"/>
      <c r="H556" s="212"/>
      <c r="I556" s="212"/>
      <c r="J556" s="212"/>
      <c r="K556" s="212"/>
      <c r="L556" s="212"/>
      <c r="M556" s="212"/>
    </row>
    <row r="557" ht="17.25" customHeight="1">
      <c r="D557" s="212"/>
      <c r="E557" s="1007"/>
      <c r="F557" s="1007"/>
      <c r="G557" s="212"/>
      <c r="H557" s="212"/>
      <c r="I557" s="212"/>
      <c r="J557" s="212"/>
      <c r="K557" s="212"/>
      <c r="L557" s="212"/>
      <c r="M557" s="212"/>
    </row>
    <row r="558" ht="17.25" customHeight="1">
      <c r="D558" s="212"/>
      <c r="E558" s="1007"/>
      <c r="F558" s="1007"/>
      <c r="G558" s="212"/>
      <c r="H558" s="212"/>
      <c r="I558" s="212"/>
      <c r="J558" s="212"/>
      <c r="K558" s="212"/>
      <c r="L558" s="212"/>
      <c r="M558" s="212"/>
    </row>
    <row r="559" ht="17.25" customHeight="1">
      <c r="D559" s="212"/>
      <c r="E559" s="1007"/>
      <c r="F559" s="1007"/>
      <c r="G559" s="212"/>
      <c r="H559" s="212"/>
      <c r="I559" s="212"/>
      <c r="J559" s="212"/>
      <c r="K559" s="212"/>
      <c r="L559" s="212"/>
      <c r="M559" s="212"/>
    </row>
    <row r="560" ht="17.25" customHeight="1">
      <c r="D560" s="212"/>
      <c r="E560" s="1007"/>
      <c r="F560" s="1007"/>
      <c r="G560" s="212"/>
      <c r="H560" s="212"/>
      <c r="I560" s="212"/>
      <c r="J560" s="212"/>
      <c r="K560" s="212"/>
      <c r="L560" s="212"/>
      <c r="M560" s="212"/>
    </row>
    <row r="561" ht="17.25" customHeight="1">
      <c r="D561" s="212"/>
      <c r="E561" s="1007"/>
      <c r="F561" s="1007"/>
      <c r="G561" s="212"/>
      <c r="H561" s="212"/>
      <c r="I561" s="212"/>
      <c r="J561" s="212"/>
      <c r="K561" s="212"/>
      <c r="L561" s="212"/>
      <c r="M561" s="212"/>
    </row>
    <row r="562" ht="17.25" customHeight="1">
      <c r="D562" s="212"/>
      <c r="E562" s="1007"/>
      <c r="F562" s="1007"/>
      <c r="G562" s="212"/>
      <c r="H562" s="212"/>
      <c r="I562" s="212"/>
      <c r="J562" s="212"/>
      <c r="K562" s="212"/>
      <c r="L562" s="212"/>
      <c r="M562" s="212"/>
    </row>
    <row r="563" ht="17.25" customHeight="1">
      <c r="D563" s="212"/>
      <c r="E563" s="1007"/>
      <c r="F563" s="1007"/>
      <c r="G563" s="212"/>
      <c r="H563" s="212"/>
      <c r="I563" s="212"/>
      <c r="J563" s="212"/>
      <c r="K563" s="212"/>
      <c r="L563" s="212"/>
      <c r="M563" s="212"/>
    </row>
    <row r="564" ht="17.25" customHeight="1">
      <c r="D564" s="212"/>
      <c r="E564" s="1007"/>
      <c r="F564" s="1007"/>
      <c r="G564" s="212"/>
      <c r="H564" s="212"/>
      <c r="I564" s="212"/>
      <c r="J564" s="212"/>
      <c r="K564" s="212"/>
      <c r="L564" s="212"/>
      <c r="M564" s="212"/>
    </row>
    <row r="565" ht="17.25" customHeight="1">
      <c r="D565" s="212"/>
      <c r="E565" s="1007"/>
      <c r="F565" s="1007"/>
      <c r="G565" s="212"/>
      <c r="H565" s="212"/>
      <c r="I565" s="212"/>
      <c r="J565" s="212"/>
      <c r="K565" s="212"/>
      <c r="L565" s="212"/>
      <c r="M565" s="212"/>
    </row>
    <row r="566" ht="17.25" customHeight="1">
      <c r="D566" s="212"/>
      <c r="E566" s="1007"/>
      <c r="F566" s="1007"/>
      <c r="G566" s="212"/>
      <c r="H566" s="212"/>
      <c r="I566" s="212"/>
      <c r="J566" s="212"/>
      <c r="K566" s="212"/>
      <c r="L566" s="212"/>
      <c r="M566" s="212"/>
    </row>
    <row r="567" ht="17.25" customHeight="1">
      <c r="D567" s="212"/>
      <c r="E567" s="1007"/>
      <c r="F567" s="1007"/>
      <c r="G567" s="212"/>
      <c r="H567" s="212"/>
      <c r="I567" s="212"/>
      <c r="J567" s="212"/>
      <c r="K567" s="212"/>
      <c r="L567" s="212"/>
      <c r="M567" s="212"/>
    </row>
    <row r="568" ht="17.25" customHeight="1">
      <c r="D568" s="212"/>
      <c r="E568" s="1007"/>
      <c r="F568" s="1007"/>
      <c r="G568" s="212"/>
      <c r="H568" s="212"/>
      <c r="I568" s="212"/>
      <c r="J568" s="212"/>
      <c r="K568" s="212"/>
      <c r="L568" s="212"/>
      <c r="M568" s="212"/>
    </row>
    <row r="569" ht="17.25" customHeight="1">
      <c r="D569" s="212"/>
      <c r="E569" s="1007"/>
      <c r="F569" s="1007"/>
      <c r="G569" s="212"/>
      <c r="H569" s="212"/>
      <c r="I569" s="212"/>
      <c r="J569" s="212"/>
      <c r="K569" s="212"/>
      <c r="L569" s="212"/>
      <c r="M569" s="212"/>
    </row>
    <row r="570" ht="17.25" customHeight="1">
      <c r="D570" s="212"/>
      <c r="E570" s="1007"/>
      <c r="F570" s="1007"/>
      <c r="G570" s="212"/>
      <c r="H570" s="212"/>
      <c r="I570" s="212"/>
      <c r="J570" s="212"/>
      <c r="K570" s="212"/>
      <c r="L570" s="212"/>
      <c r="M570" s="212"/>
    </row>
    <row r="571" ht="17.25" customHeight="1">
      <c r="D571" s="212"/>
      <c r="E571" s="1007"/>
      <c r="F571" s="1007"/>
      <c r="G571" s="212"/>
      <c r="H571" s="212"/>
      <c r="I571" s="212"/>
      <c r="J571" s="212"/>
      <c r="K571" s="212"/>
      <c r="L571" s="212"/>
      <c r="M571" s="212"/>
    </row>
    <row r="572" ht="17.25" customHeight="1">
      <c r="D572" s="212"/>
      <c r="E572" s="1007"/>
      <c r="F572" s="1007"/>
      <c r="G572" s="212"/>
      <c r="H572" s="212"/>
      <c r="I572" s="212"/>
      <c r="J572" s="212"/>
      <c r="K572" s="212"/>
      <c r="L572" s="212"/>
      <c r="M572" s="212"/>
    </row>
    <row r="573" ht="17.25" customHeight="1">
      <c r="D573" s="212"/>
      <c r="E573" s="1007"/>
      <c r="F573" s="1007"/>
      <c r="G573" s="212"/>
      <c r="H573" s="212"/>
      <c r="I573" s="212"/>
      <c r="J573" s="212"/>
      <c r="K573" s="212"/>
      <c r="L573" s="212"/>
      <c r="M573" s="212"/>
    </row>
    <row r="574" ht="17.25" customHeight="1">
      <c r="D574" s="212"/>
      <c r="E574" s="1007"/>
      <c r="F574" s="1007"/>
      <c r="G574" s="212"/>
      <c r="H574" s="212"/>
      <c r="I574" s="212"/>
      <c r="J574" s="212"/>
      <c r="K574" s="212"/>
      <c r="L574" s="212"/>
      <c r="M574" s="212"/>
    </row>
    <row r="575" ht="17.25" customHeight="1">
      <c r="D575" s="212"/>
      <c r="E575" s="1007"/>
      <c r="F575" s="1007"/>
      <c r="G575" s="212"/>
      <c r="H575" s="212"/>
      <c r="I575" s="212"/>
      <c r="J575" s="212"/>
      <c r="K575" s="212"/>
      <c r="L575" s="212"/>
      <c r="M575" s="212"/>
    </row>
    <row r="576" ht="17.25" customHeight="1">
      <c r="D576" s="212"/>
      <c r="E576" s="1007"/>
      <c r="F576" s="1007"/>
      <c r="G576" s="212"/>
      <c r="H576" s="212"/>
      <c r="I576" s="212"/>
      <c r="J576" s="212"/>
      <c r="K576" s="212"/>
      <c r="L576" s="212"/>
      <c r="M576" s="212"/>
    </row>
    <row r="577" ht="17.25" customHeight="1">
      <c r="D577" s="212"/>
      <c r="E577" s="1007"/>
      <c r="F577" s="1007"/>
      <c r="G577" s="212"/>
      <c r="H577" s="212"/>
      <c r="I577" s="212"/>
      <c r="J577" s="212"/>
      <c r="K577" s="212"/>
      <c r="L577" s="212"/>
      <c r="M577" s="212"/>
    </row>
    <row r="578" ht="17.25" customHeight="1">
      <c r="D578" s="212"/>
      <c r="E578" s="1007"/>
      <c r="F578" s="1007"/>
      <c r="G578" s="212"/>
      <c r="H578" s="212"/>
      <c r="I578" s="212"/>
      <c r="J578" s="212"/>
      <c r="K578" s="212"/>
      <c r="L578" s="212"/>
      <c r="M578" s="212"/>
    </row>
    <row r="579" ht="17.25" customHeight="1">
      <c r="D579" s="212"/>
      <c r="E579" s="1007"/>
      <c r="F579" s="1007"/>
      <c r="G579" s="212"/>
      <c r="H579" s="212"/>
      <c r="I579" s="212"/>
      <c r="J579" s="212"/>
      <c r="K579" s="212"/>
      <c r="L579" s="212"/>
      <c r="M579" s="212"/>
    </row>
    <row r="580" ht="17.25" customHeight="1">
      <c r="D580" s="212"/>
      <c r="E580" s="1007"/>
      <c r="F580" s="1007"/>
      <c r="G580" s="212"/>
      <c r="H580" s="212"/>
      <c r="I580" s="212"/>
      <c r="J580" s="212"/>
      <c r="K580" s="212"/>
      <c r="L580" s="212"/>
      <c r="M580" s="212"/>
    </row>
    <row r="581" ht="17.25" customHeight="1">
      <c r="D581" s="212"/>
      <c r="E581" s="1007"/>
      <c r="F581" s="1007"/>
      <c r="G581" s="212"/>
      <c r="H581" s="212"/>
      <c r="I581" s="212"/>
      <c r="J581" s="212"/>
      <c r="K581" s="212"/>
      <c r="L581" s="212"/>
      <c r="M581" s="212"/>
    </row>
    <row r="582" ht="17.25" customHeight="1">
      <c r="D582" s="212"/>
      <c r="E582" s="1007"/>
      <c r="F582" s="1007"/>
      <c r="G582" s="212"/>
      <c r="H582" s="212"/>
      <c r="I582" s="212"/>
      <c r="J582" s="212"/>
      <c r="K582" s="212"/>
      <c r="L582" s="212"/>
      <c r="M582" s="212"/>
    </row>
    <row r="583" ht="17.25" customHeight="1">
      <c r="D583" s="212"/>
      <c r="E583" s="1007"/>
      <c r="F583" s="1007"/>
      <c r="G583" s="212"/>
      <c r="H583" s="212"/>
      <c r="I583" s="212"/>
      <c r="J583" s="212"/>
      <c r="K583" s="212"/>
      <c r="L583" s="212"/>
      <c r="M583" s="212"/>
    </row>
    <row r="584" ht="17.25" customHeight="1">
      <c r="D584" s="212"/>
      <c r="E584" s="1007"/>
      <c r="F584" s="1007"/>
      <c r="G584" s="212"/>
      <c r="H584" s="212"/>
      <c r="I584" s="212"/>
      <c r="J584" s="212"/>
      <c r="K584" s="212"/>
      <c r="L584" s="212"/>
      <c r="M584" s="212"/>
    </row>
    <row r="585" ht="17.25" customHeight="1">
      <c r="D585" s="212"/>
      <c r="E585" s="1007"/>
      <c r="F585" s="1007"/>
      <c r="G585" s="212"/>
      <c r="H585" s="212"/>
      <c r="I585" s="212"/>
      <c r="J585" s="212"/>
      <c r="K585" s="212"/>
      <c r="L585" s="212"/>
      <c r="M585" s="212"/>
    </row>
    <row r="586" ht="17.25" customHeight="1">
      <c r="D586" s="212"/>
      <c r="E586" s="1007"/>
      <c r="F586" s="1007"/>
      <c r="G586" s="212"/>
      <c r="H586" s="212"/>
      <c r="I586" s="212"/>
      <c r="J586" s="212"/>
      <c r="K586" s="212"/>
      <c r="L586" s="212"/>
      <c r="M586" s="212"/>
    </row>
    <row r="587" ht="17.25" customHeight="1">
      <c r="D587" s="212"/>
      <c r="E587" s="1007"/>
      <c r="F587" s="1007"/>
      <c r="G587" s="212"/>
      <c r="H587" s="212"/>
      <c r="I587" s="212"/>
      <c r="J587" s="212"/>
      <c r="K587" s="212"/>
      <c r="L587" s="212"/>
      <c r="M587" s="212"/>
    </row>
    <row r="588" ht="17.25" customHeight="1">
      <c r="D588" s="212"/>
      <c r="E588" s="1007"/>
      <c r="F588" s="1007"/>
      <c r="G588" s="212"/>
      <c r="H588" s="212"/>
      <c r="I588" s="212"/>
      <c r="J588" s="212"/>
      <c r="K588" s="212"/>
      <c r="L588" s="212"/>
      <c r="M588" s="212"/>
    </row>
    <row r="589" ht="17.25" customHeight="1">
      <c r="D589" s="212"/>
      <c r="E589" s="1007"/>
      <c r="F589" s="1007"/>
      <c r="G589" s="212"/>
      <c r="H589" s="212"/>
      <c r="I589" s="212"/>
      <c r="J589" s="212"/>
      <c r="K589" s="212"/>
      <c r="L589" s="212"/>
      <c r="M589" s="212"/>
    </row>
    <row r="590" ht="17.25" customHeight="1">
      <c r="D590" s="212"/>
      <c r="E590" s="1007"/>
      <c r="F590" s="1007"/>
      <c r="G590" s="212"/>
      <c r="H590" s="212"/>
      <c r="I590" s="212"/>
      <c r="J590" s="212"/>
      <c r="K590" s="212"/>
      <c r="L590" s="212"/>
      <c r="M590" s="212"/>
    </row>
    <row r="591" ht="17.25" customHeight="1">
      <c r="D591" s="212"/>
      <c r="E591" s="1007"/>
      <c r="F591" s="1007"/>
      <c r="G591" s="212"/>
      <c r="H591" s="212"/>
      <c r="I591" s="212"/>
      <c r="J591" s="212"/>
      <c r="K591" s="212"/>
      <c r="L591" s="212"/>
      <c r="M591" s="212"/>
    </row>
    <row r="592" ht="17.25" customHeight="1">
      <c r="D592" s="212"/>
      <c r="E592" s="1007"/>
      <c r="F592" s="1007"/>
      <c r="G592" s="212"/>
      <c r="H592" s="212"/>
      <c r="I592" s="212"/>
      <c r="J592" s="212"/>
      <c r="K592" s="212"/>
      <c r="L592" s="212"/>
      <c r="M592" s="212"/>
    </row>
    <row r="593" ht="17.25" customHeight="1">
      <c r="D593" s="212"/>
      <c r="E593" s="1007"/>
      <c r="F593" s="1007"/>
      <c r="G593" s="212"/>
      <c r="H593" s="212"/>
      <c r="I593" s="212"/>
      <c r="J593" s="212"/>
      <c r="K593" s="212"/>
      <c r="L593" s="212"/>
      <c r="M593" s="212"/>
    </row>
    <row r="594" ht="17.25" customHeight="1">
      <c r="D594" s="212"/>
      <c r="E594" s="1007"/>
      <c r="F594" s="1007"/>
      <c r="G594" s="212"/>
      <c r="H594" s="212"/>
      <c r="I594" s="212"/>
      <c r="J594" s="212"/>
      <c r="K594" s="212"/>
      <c r="L594" s="212"/>
      <c r="M594" s="212"/>
    </row>
    <row r="595" ht="17.25" customHeight="1">
      <c r="D595" s="212"/>
      <c r="E595" s="1007"/>
      <c r="F595" s="1007"/>
      <c r="G595" s="212"/>
      <c r="H595" s="212"/>
      <c r="I595" s="212"/>
      <c r="J595" s="212"/>
      <c r="K595" s="212"/>
      <c r="L595" s="212"/>
      <c r="M595" s="212"/>
    </row>
    <row r="596" ht="17.25" customHeight="1">
      <c r="D596" s="212"/>
      <c r="E596" s="1007"/>
      <c r="F596" s="1007"/>
      <c r="G596" s="212"/>
      <c r="H596" s="212"/>
      <c r="I596" s="212"/>
      <c r="J596" s="212"/>
      <c r="K596" s="212"/>
      <c r="L596" s="212"/>
      <c r="M596" s="212"/>
    </row>
    <row r="597" ht="17.25" customHeight="1">
      <c r="D597" s="212"/>
      <c r="E597" s="1007"/>
      <c r="F597" s="1007"/>
      <c r="G597" s="212"/>
      <c r="H597" s="212"/>
      <c r="I597" s="212"/>
      <c r="J597" s="212"/>
      <c r="K597" s="212"/>
      <c r="L597" s="212"/>
      <c r="M597" s="212"/>
    </row>
    <row r="598" ht="17.25" customHeight="1">
      <c r="D598" s="212"/>
      <c r="E598" s="1007"/>
      <c r="F598" s="1007"/>
      <c r="G598" s="212"/>
      <c r="H598" s="212"/>
      <c r="I598" s="212"/>
      <c r="J598" s="212"/>
      <c r="K598" s="212"/>
      <c r="L598" s="212"/>
      <c r="M598" s="212"/>
    </row>
    <row r="599" ht="17.25" customHeight="1">
      <c r="D599" s="212"/>
      <c r="E599" s="1007"/>
      <c r="F599" s="1007"/>
      <c r="G599" s="212"/>
      <c r="H599" s="212"/>
      <c r="I599" s="212"/>
      <c r="J599" s="212"/>
      <c r="K599" s="212"/>
      <c r="L599" s="212"/>
      <c r="M599" s="212"/>
    </row>
    <row r="600" ht="17.25" customHeight="1">
      <c r="D600" s="212"/>
      <c r="E600" s="1007"/>
      <c r="F600" s="1007"/>
      <c r="G600" s="212"/>
      <c r="H600" s="212"/>
      <c r="I600" s="212"/>
      <c r="J600" s="212"/>
      <c r="K600" s="212"/>
      <c r="L600" s="212"/>
      <c r="M600" s="212"/>
    </row>
    <row r="601" ht="17.25" customHeight="1">
      <c r="D601" s="212"/>
      <c r="E601" s="1007"/>
      <c r="F601" s="1007"/>
      <c r="G601" s="212"/>
      <c r="H601" s="212"/>
      <c r="I601" s="212"/>
      <c r="J601" s="212"/>
      <c r="K601" s="212"/>
      <c r="L601" s="212"/>
      <c r="M601" s="212"/>
    </row>
    <row r="602" ht="17.25" customHeight="1">
      <c r="D602" s="212"/>
      <c r="E602" s="1007"/>
      <c r="F602" s="1007"/>
      <c r="G602" s="212"/>
      <c r="H602" s="212"/>
      <c r="I602" s="212"/>
      <c r="J602" s="212"/>
      <c r="K602" s="212"/>
      <c r="L602" s="212"/>
      <c r="M602" s="212"/>
    </row>
    <row r="603" ht="17.25" customHeight="1">
      <c r="D603" s="212"/>
      <c r="E603" s="1007"/>
      <c r="F603" s="1007"/>
      <c r="G603" s="212"/>
      <c r="H603" s="212"/>
      <c r="I603" s="212"/>
      <c r="J603" s="212"/>
      <c r="K603" s="212"/>
      <c r="L603" s="212"/>
      <c r="M603" s="212"/>
    </row>
    <row r="604" ht="17.25" customHeight="1">
      <c r="D604" s="212"/>
      <c r="E604" s="1007"/>
      <c r="F604" s="1007"/>
      <c r="G604" s="212"/>
      <c r="H604" s="212"/>
      <c r="I604" s="212"/>
      <c r="J604" s="212"/>
      <c r="K604" s="212"/>
      <c r="L604" s="212"/>
      <c r="M604" s="212"/>
    </row>
    <row r="605" ht="17.25" customHeight="1">
      <c r="D605" s="212"/>
      <c r="E605" s="1007"/>
      <c r="F605" s="1007"/>
      <c r="G605" s="212"/>
      <c r="H605" s="212"/>
      <c r="I605" s="212"/>
      <c r="J605" s="212"/>
      <c r="K605" s="212"/>
      <c r="L605" s="212"/>
      <c r="M605" s="212"/>
    </row>
    <row r="606" ht="17.25" customHeight="1">
      <c r="D606" s="212"/>
      <c r="E606" s="1007"/>
      <c r="F606" s="1007"/>
      <c r="G606" s="212"/>
      <c r="H606" s="212"/>
      <c r="I606" s="212"/>
      <c r="J606" s="212"/>
      <c r="K606" s="212"/>
      <c r="L606" s="212"/>
      <c r="M606" s="212"/>
    </row>
    <row r="607" ht="17.25" customHeight="1">
      <c r="D607" s="212"/>
      <c r="E607" s="1007"/>
      <c r="F607" s="1007"/>
      <c r="G607" s="212"/>
      <c r="H607" s="212"/>
      <c r="I607" s="212"/>
      <c r="J607" s="212"/>
      <c r="K607" s="212"/>
      <c r="L607" s="212"/>
      <c r="M607" s="212"/>
    </row>
    <row r="608" ht="17.25" customHeight="1">
      <c r="D608" s="212"/>
      <c r="E608" s="1007"/>
      <c r="F608" s="1007"/>
      <c r="G608" s="212"/>
      <c r="H608" s="212"/>
      <c r="I608" s="212"/>
      <c r="J608" s="212"/>
      <c r="K608" s="212"/>
      <c r="L608" s="212"/>
      <c r="M608" s="212"/>
    </row>
    <row r="609" ht="17.25" customHeight="1">
      <c r="D609" s="212"/>
      <c r="E609" s="1007"/>
      <c r="F609" s="1007"/>
      <c r="G609" s="212"/>
      <c r="H609" s="212"/>
      <c r="I609" s="212"/>
      <c r="J609" s="212"/>
      <c r="K609" s="212"/>
      <c r="L609" s="212"/>
      <c r="M609" s="212"/>
    </row>
    <row r="610" ht="17.25" customHeight="1">
      <c r="D610" s="212"/>
      <c r="E610" s="1007"/>
      <c r="F610" s="1007"/>
      <c r="G610" s="212"/>
      <c r="H610" s="212"/>
      <c r="I610" s="212"/>
      <c r="J610" s="212"/>
      <c r="K610" s="212"/>
      <c r="L610" s="212"/>
      <c r="M610" s="212"/>
    </row>
    <row r="611" ht="17.25" customHeight="1">
      <c r="D611" s="212"/>
      <c r="E611" s="1007"/>
      <c r="F611" s="1007"/>
      <c r="G611" s="212"/>
      <c r="H611" s="212"/>
      <c r="I611" s="212"/>
      <c r="J611" s="212"/>
      <c r="K611" s="212"/>
      <c r="L611" s="212"/>
      <c r="M611" s="212"/>
    </row>
    <row r="612" ht="17.25" customHeight="1">
      <c r="D612" s="212"/>
      <c r="E612" s="1007"/>
      <c r="F612" s="1007"/>
      <c r="G612" s="212"/>
      <c r="H612" s="212"/>
      <c r="I612" s="212"/>
      <c r="J612" s="212"/>
      <c r="K612" s="212"/>
      <c r="L612" s="212"/>
      <c r="M612" s="212"/>
    </row>
    <row r="613" ht="17.25" customHeight="1">
      <c r="D613" s="212"/>
      <c r="E613" s="1007"/>
      <c r="F613" s="1007"/>
      <c r="G613" s="212"/>
      <c r="H613" s="212"/>
      <c r="I613" s="212"/>
      <c r="J613" s="212"/>
      <c r="K613" s="212"/>
      <c r="L613" s="212"/>
      <c r="M613" s="212"/>
    </row>
    <row r="614" ht="17.25" customHeight="1">
      <c r="D614" s="212"/>
      <c r="E614" s="1007"/>
      <c r="F614" s="1007"/>
      <c r="G614" s="212"/>
      <c r="H614" s="212"/>
      <c r="I614" s="212"/>
      <c r="J614" s="212"/>
      <c r="K614" s="212"/>
      <c r="L614" s="212"/>
      <c r="M614" s="212"/>
    </row>
    <row r="615" ht="17.25" customHeight="1">
      <c r="D615" s="212"/>
      <c r="E615" s="1007"/>
      <c r="F615" s="1007"/>
      <c r="G615" s="212"/>
      <c r="H615" s="212"/>
      <c r="I615" s="212"/>
      <c r="J615" s="212"/>
      <c r="K615" s="212"/>
      <c r="L615" s="212"/>
      <c r="M615" s="212"/>
    </row>
    <row r="616" ht="17.25" customHeight="1">
      <c r="D616" s="212"/>
      <c r="E616" s="1007"/>
      <c r="F616" s="1007"/>
      <c r="G616" s="212"/>
      <c r="H616" s="212"/>
      <c r="I616" s="212"/>
      <c r="J616" s="212"/>
      <c r="K616" s="212"/>
      <c r="L616" s="212"/>
      <c r="M616" s="212"/>
    </row>
    <row r="617" ht="17.25" customHeight="1">
      <c r="D617" s="212"/>
      <c r="E617" s="1007"/>
      <c r="F617" s="1007"/>
      <c r="G617" s="212"/>
      <c r="H617" s="212"/>
      <c r="I617" s="212"/>
      <c r="J617" s="212"/>
      <c r="K617" s="212"/>
      <c r="L617" s="212"/>
      <c r="M617" s="212"/>
    </row>
    <row r="618" ht="17.25" customHeight="1">
      <c r="D618" s="212"/>
      <c r="E618" s="1007"/>
      <c r="F618" s="1007"/>
      <c r="G618" s="212"/>
      <c r="H618" s="212"/>
      <c r="I618" s="212"/>
      <c r="J618" s="212"/>
      <c r="K618" s="212"/>
      <c r="L618" s="212"/>
      <c r="M618" s="212"/>
    </row>
    <row r="619" ht="17.25" customHeight="1">
      <c r="D619" s="212"/>
      <c r="E619" s="1007"/>
      <c r="F619" s="1007"/>
      <c r="G619" s="212"/>
      <c r="H619" s="212"/>
      <c r="I619" s="212"/>
      <c r="J619" s="212"/>
      <c r="K619" s="212"/>
      <c r="L619" s="212"/>
      <c r="M619" s="212"/>
    </row>
    <row r="620" ht="17.25" customHeight="1">
      <c r="D620" s="212"/>
      <c r="E620" s="1007"/>
      <c r="F620" s="1007"/>
      <c r="G620" s="212"/>
      <c r="H620" s="212"/>
      <c r="I620" s="212"/>
      <c r="J620" s="212"/>
      <c r="K620" s="212"/>
      <c r="L620" s="212"/>
      <c r="M620" s="212"/>
    </row>
    <row r="621" ht="17.25" customHeight="1">
      <c r="D621" s="212"/>
      <c r="E621" s="1007"/>
      <c r="F621" s="1007"/>
      <c r="G621" s="212"/>
      <c r="H621" s="212"/>
      <c r="I621" s="212"/>
      <c r="J621" s="212"/>
      <c r="K621" s="212"/>
      <c r="L621" s="212"/>
      <c r="M621" s="212"/>
    </row>
    <row r="622" ht="17.25" customHeight="1">
      <c r="D622" s="212"/>
      <c r="E622" s="1007"/>
      <c r="F622" s="1007"/>
      <c r="G622" s="212"/>
      <c r="H622" s="212"/>
      <c r="I622" s="212"/>
      <c r="J622" s="212"/>
      <c r="K622" s="212"/>
      <c r="L622" s="212"/>
      <c r="M622" s="212"/>
    </row>
    <row r="623" ht="17.25" customHeight="1">
      <c r="D623" s="212"/>
      <c r="E623" s="1007"/>
      <c r="F623" s="1007"/>
      <c r="G623" s="212"/>
      <c r="H623" s="212"/>
      <c r="I623" s="212"/>
      <c r="J623" s="212"/>
      <c r="K623" s="212"/>
      <c r="L623" s="212"/>
      <c r="M623" s="212"/>
    </row>
    <row r="624" ht="17.25" customHeight="1">
      <c r="D624" s="212"/>
      <c r="E624" s="1007"/>
      <c r="F624" s="1007"/>
      <c r="G624" s="212"/>
      <c r="H624" s="212"/>
      <c r="I624" s="212"/>
      <c r="J624" s="212"/>
      <c r="K624" s="212"/>
      <c r="L624" s="212"/>
      <c r="M624" s="212"/>
    </row>
    <row r="625" ht="17.25" customHeight="1">
      <c r="D625" s="212"/>
      <c r="E625" s="1007"/>
      <c r="F625" s="1007"/>
      <c r="G625" s="212"/>
      <c r="H625" s="212"/>
      <c r="I625" s="212"/>
      <c r="J625" s="212"/>
      <c r="K625" s="212"/>
      <c r="L625" s="212"/>
      <c r="M625" s="212"/>
    </row>
    <row r="626" ht="17.25" customHeight="1">
      <c r="D626" s="212"/>
      <c r="E626" s="1007"/>
      <c r="F626" s="1007"/>
      <c r="G626" s="212"/>
      <c r="H626" s="212"/>
      <c r="I626" s="212"/>
      <c r="J626" s="212"/>
      <c r="K626" s="212"/>
      <c r="L626" s="212"/>
      <c r="M626" s="212"/>
    </row>
    <row r="627" ht="17.25" customHeight="1">
      <c r="D627" s="212"/>
      <c r="E627" s="1007"/>
      <c r="F627" s="1007"/>
      <c r="G627" s="212"/>
      <c r="H627" s="212"/>
      <c r="I627" s="212"/>
      <c r="J627" s="212"/>
      <c r="K627" s="212"/>
      <c r="L627" s="212"/>
      <c r="M627" s="212"/>
    </row>
    <row r="628" ht="17.25" customHeight="1">
      <c r="D628" s="212"/>
      <c r="E628" s="1007"/>
      <c r="F628" s="1007"/>
      <c r="G628" s="212"/>
      <c r="H628" s="212"/>
      <c r="I628" s="212"/>
      <c r="J628" s="212"/>
      <c r="K628" s="212"/>
      <c r="L628" s="212"/>
      <c r="M628" s="212"/>
    </row>
    <row r="629" ht="17.25" customHeight="1">
      <c r="D629" s="212"/>
      <c r="E629" s="1007"/>
      <c r="F629" s="1007"/>
      <c r="G629" s="212"/>
      <c r="H629" s="212"/>
      <c r="I629" s="212"/>
      <c r="J629" s="212"/>
      <c r="K629" s="212"/>
      <c r="L629" s="212"/>
      <c r="M629" s="212"/>
    </row>
    <row r="630" ht="17.25" customHeight="1">
      <c r="D630" s="212"/>
      <c r="E630" s="1007"/>
      <c r="F630" s="1007"/>
      <c r="G630" s="212"/>
      <c r="H630" s="212"/>
      <c r="I630" s="212"/>
      <c r="J630" s="212"/>
      <c r="K630" s="212"/>
      <c r="L630" s="212"/>
      <c r="M630" s="212"/>
    </row>
    <row r="631" ht="17.25" customHeight="1">
      <c r="D631" s="212"/>
      <c r="E631" s="1007"/>
      <c r="F631" s="1007"/>
      <c r="G631" s="212"/>
      <c r="H631" s="212"/>
      <c r="I631" s="212"/>
      <c r="J631" s="212"/>
      <c r="K631" s="212"/>
      <c r="L631" s="212"/>
      <c r="M631" s="212"/>
    </row>
    <row r="632" ht="17.25" customHeight="1">
      <c r="D632" s="212"/>
      <c r="E632" s="1007"/>
      <c r="F632" s="1007"/>
      <c r="G632" s="212"/>
      <c r="H632" s="212"/>
      <c r="I632" s="212"/>
      <c r="J632" s="212"/>
      <c r="K632" s="212"/>
      <c r="L632" s="212"/>
      <c r="M632" s="212"/>
    </row>
    <row r="633" ht="17.25" customHeight="1">
      <c r="D633" s="212"/>
      <c r="E633" s="1007"/>
      <c r="F633" s="1007"/>
      <c r="G633" s="212"/>
      <c r="H633" s="212"/>
      <c r="I633" s="212"/>
      <c r="J633" s="212"/>
      <c r="K633" s="212"/>
      <c r="L633" s="212"/>
      <c r="M633" s="212"/>
    </row>
    <row r="634" ht="17.25" customHeight="1">
      <c r="D634" s="212"/>
      <c r="E634" s="1007"/>
      <c r="F634" s="1007"/>
      <c r="G634" s="212"/>
      <c r="H634" s="212"/>
      <c r="I634" s="212"/>
      <c r="J634" s="212"/>
      <c r="K634" s="212"/>
      <c r="L634" s="212"/>
      <c r="M634" s="212"/>
    </row>
    <row r="635" ht="17.25" customHeight="1">
      <c r="D635" s="212"/>
      <c r="E635" s="1007"/>
      <c r="F635" s="1007"/>
      <c r="G635" s="212"/>
      <c r="H635" s="212"/>
      <c r="I635" s="212"/>
      <c r="J635" s="212"/>
      <c r="K635" s="212"/>
      <c r="L635" s="212"/>
      <c r="M635" s="212"/>
    </row>
    <row r="636" ht="17.25" customHeight="1">
      <c r="D636" s="212"/>
      <c r="E636" s="1007"/>
      <c r="F636" s="1007"/>
      <c r="G636" s="212"/>
      <c r="H636" s="212"/>
      <c r="I636" s="212"/>
      <c r="J636" s="212"/>
      <c r="K636" s="212"/>
      <c r="L636" s="212"/>
      <c r="M636" s="212"/>
    </row>
    <row r="637" ht="17.25" customHeight="1">
      <c r="D637" s="212"/>
      <c r="E637" s="1007"/>
      <c r="F637" s="1007"/>
      <c r="G637" s="212"/>
      <c r="H637" s="212"/>
      <c r="I637" s="212"/>
      <c r="J637" s="212"/>
      <c r="K637" s="212"/>
      <c r="L637" s="212"/>
      <c r="M637" s="212"/>
    </row>
    <row r="638" ht="17.25" customHeight="1">
      <c r="D638" s="212"/>
      <c r="E638" s="1007"/>
      <c r="F638" s="1007"/>
      <c r="G638" s="212"/>
      <c r="H638" s="212"/>
      <c r="I638" s="212"/>
      <c r="J638" s="212"/>
      <c r="K638" s="212"/>
      <c r="L638" s="212"/>
      <c r="M638" s="212"/>
    </row>
    <row r="639" ht="17.25" customHeight="1">
      <c r="D639" s="212"/>
      <c r="E639" s="1007"/>
      <c r="F639" s="1007"/>
      <c r="G639" s="212"/>
      <c r="H639" s="212"/>
      <c r="I639" s="212"/>
      <c r="J639" s="212"/>
      <c r="K639" s="212"/>
      <c r="L639" s="212"/>
      <c r="M639" s="212"/>
    </row>
    <row r="640" ht="17.25" customHeight="1">
      <c r="D640" s="212"/>
      <c r="E640" s="1007"/>
      <c r="F640" s="1007"/>
      <c r="G640" s="212"/>
      <c r="H640" s="212"/>
      <c r="I640" s="212"/>
      <c r="J640" s="212"/>
      <c r="K640" s="212"/>
      <c r="L640" s="212"/>
      <c r="M640" s="212"/>
    </row>
    <row r="641" ht="17.25" customHeight="1">
      <c r="D641" s="212"/>
      <c r="E641" s="1007"/>
      <c r="F641" s="1007"/>
      <c r="G641" s="212"/>
      <c r="H641" s="212"/>
      <c r="I641" s="212"/>
      <c r="J641" s="212"/>
      <c r="K641" s="212"/>
      <c r="L641" s="212"/>
      <c r="M641" s="212"/>
    </row>
    <row r="642" ht="17.25" customHeight="1">
      <c r="D642" s="212"/>
      <c r="E642" s="1007"/>
      <c r="F642" s="1007"/>
      <c r="G642" s="212"/>
      <c r="H642" s="212"/>
      <c r="I642" s="212"/>
      <c r="J642" s="212"/>
      <c r="K642" s="212"/>
      <c r="L642" s="212"/>
      <c r="M642" s="212"/>
    </row>
    <row r="643" ht="17.25" customHeight="1">
      <c r="D643" s="212"/>
      <c r="E643" s="1007"/>
      <c r="F643" s="1007"/>
      <c r="G643" s="212"/>
      <c r="H643" s="212"/>
      <c r="I643" s="212"/>
      <c r="J643" s="212"/>
      <c r="K643" s="212"/>
      <c r="L643" s="212"/>
      <c r="M643" s="212"/>
    </row>
    <row r="644" ht="17.25" customHeight="1">
      <c r="D644" s="212"/>
      <c r="E644" s="1007"/>
      <c r="F644" s="1007"/>
      <c r="G644" s="212"/>
      <c r="H644" s="212"/>
      <c r="I644" s="212"/>
      <c r="J644" s="212"/>
      <c r="K644" s="212"/>
      <c r="L644" s="212"/>
      <c r="M644" s="212"/>
    </row>
    <row r="645" ht="17.25" customHeight="1">
      <c r="D645" s="212"/>
      <c r="E645" s="1007"/>
      <c r="F645" s="1007"/>
      <c r="G645" s="212"/>
      <c r="H645" s="212"/>
      <c r="I645" s="212"/>
      <c r="J645" s="212"/>
      <c r="K645" s="212"/>
      <c r="L645" s="212"/>
      <c r="M645" s="212"/>
    </row>
    <row r="646" ht="17.25" customHeight="1">
      <c r="D646" s="212"/>
      <c r="E646" s="1007"/>
      <c r="F646" s="1007"/>
      <c r="G646" s="212"/>
      <c r="H646" s="212"/>
      <c r="I646" s="212"/>
      <c r="J646" s="212"/>
      <c r="K646" s="212"/>
      <c r="L646" s="212"/>
      <c r="M646" s="212"/>
    </row>
    <row r="647" ht="17.25" customHeight="1">
      <c r="D647" s="212"/>
      <c r="E647" s="1007"/>
      <c r="F647" s="1007"/>
      <c r="G647" s="212"/>
      <c r="H647" s="212"/>
      <c r="I647" s="212"/>
      <c r="J647" s="212"/>
      <c r="K647" s="212"/>
      <c r="L647" s="212"/>
      <c r="M647" s="212"/>
    </row>
    <row r="648" ht="17.25" customHeight="1">
      <c r="D648" s="212"/>
      <c r="E648" s="1007"/>
      <c r="F648" s="1007"/>
      <c r="G648" s="212"/>
      <c r="H648" s="212"/>
      <c r="I648" s="212"/>
      <c r="J648" s="212"/>
      <c r="K648" s="212"/>
      <c r="L648" s="212"/>
      <c r="M648" s="212"/>
    </row>
    <row r="649" ht="17.25" customHeight="1">
      <c r="D649" s="212"/>
      <c r="E649" s="1007"/>
      <c r="F649" s="1007"/>
      <c r="G649" s="212"/>
      <c r="H649" s="212"/>
      <c r="I649" s="212"/>
      <c r="J649" s="212"/>
      <c r="K649" s="212"/>
      <c r="L649" s="212"/>
      <c r="M649" s="212"/>
    </row>
    <row r="650" ht="17.25" customHeight="1">
      <c r="D650" s="212"/>
      <c r="E650" s="1007"/>
      <c r="F650" s="1007"/>
      <c r="G650" s="212"/>
      <c r="H650" s="212"/>
      <c r="I650" s="212"/>
      <c r="J650" s="212"/>
      <c r="K650" s="212"/>
      <c r="L650" s="212"/>
      <c r="M650" s="212"/>
    </row>
    <row r="651" ht="17.25" customHeight="1">
      <c r="D651" s="212"/>
      <c r="E651" s="1007"/>
      <c r="F651" s="1007"/>
      <c r="G651" s="212"/>
      <c r="H651" s="212"/>
      <c r="I651" s="212"/>
      <c r="J651" s="212"/>
      <c r="K651" s="212"/>
      <c r="L651" s="212"/>
      <c r="M651" s="212"/>
    </row>
    <row r="652" ht="17.25" customHeight="1">
      <c r="D652" s="212"/>
      <c r="E652" s="1007"/>
      <c r="F652" s="1007"/>
      <c r="G652" s="212"/>
      <c r="H652" s="212"/>
      <c r="I652" s="212"/>
      <c r="J652" s="212"/>
      <c r="K652" s="212"/>
      <c r="L652" s="212"/>
      <c r="M652" s="212"/>
    </row>
    <row r="653" ht="17.25" customHeight="1">
      <c r="D653" s="212"/>
      <c r="E653" s="1007"/>
      <c r="F653" s="1007"/>
      <c r="G653" s="212"/>
      <c r="H653" s="212"/>
      <c r="I653" s="212"/>
      <c r="J653" s="212"/>
      <c r="K653" s="212"/>
      <c r="L653" s="212"/>
      <c r="M653" s="212"/>
    </row>
    <row r="654" ht="17.25" customHeight="1">
      <c r="D654" s="212"/>
      <c r="E654" s="1007"/>
      <c r="F654" s="1007"/>
      <c r="G654" s="212"/>
      <c r="H654" s="212"/>
      <c r="I654" s="212"/>
      <c r="J654" s="212"/>
      <c r="K654" s="212"/>
      <c r="L654" s="212"/>
      <c r="M654" s="212"/>
    </row>
    <row r="655" ht="17.25" customHeight="1">
      <c r="D655" s="212"/>
      <c r="E655" s="1007"/>
      <c r="F655" s="1007"/>
      <c r="G655" s="212"/>
      <c r="H655" s="212"/>
      <c r="I655" s="212"/>
      <c r="J655" s="212"/>
      <c r="K655" s="212"/>
      <c r="L655" s="212"/>
      <c r="M655" s="212"/>
    </row>
    <row r="656" ht="17.25" customHeight="1">
      <c r="D656" s="212"/>
      <c r="E656" s="1007"/>
      <c r="F656" s="1007"/>
      <c r="G656" s="212"/>
      <c r="H656" s="212"/>
      <c r="I656" s="212"/>
      <c r="J656" s="212"/>
      <c r="K656" s="212"/>
      <c r="L656" s="212"/>
      <c r="M656" s="212"/>
    </row>
    <row r="657" ht="17.25" customHeight="1">
      <c r="D657" s="212"/>
      <c r="E657" s="1007"/>
      <c r="F657" s="1007"/>
      <c r="G657" s="212"/>
      <c r="H657" s="212"/>
      <c r="I657" s="212"/>
      <c r="J657" s="212"/>
      <c r="K657" s="212"/>
      <c r="L657" s="212"/>
      <c r="M657" s="212"/>
    </row>
    <row r="658" ht="17.25" customHeight="1">
      <c r="D658" s="212"/>
      <c r="E658" s="1007"/>
      <c r="F658" s="1007"/>
      <c r="G658" s="212"/>
      <c r="H658" s="212"/>
      <c r="I658" s="212"/>
      <c r="J658" s="212"/>
      <c r="K658" s="212"/>
      <c r="L658" s="212"/>
      <c r="M658" s="212"/>
    </row>
    <row r="659" ht="17.25" customHeight="1">
      <c r="D659" s="212"/>
      <c r="E659" s="1007"/>
      <c r="F659" s="1007"/>
      <c r="G659" s="212"/>
      <c r="H659" s="212"/>
      <c r="I659" s="212"/>
      <c r="J659" s="212"/>
      <c r="K659" s="212"/>
      <c r="L659" s="212"/>
      <c r="M659" s="212"/>
    </row>
    <row r="660" ht="17.25" customHeight="1">
      <c r="D660" s="212"/>
      <c r="E660" s="1007"/>
      <c r="F660" s="1007"/>
      <c r="G660" s="212"/>
      <c r="H660" s="212"/>
      <c r="I660" s="212"/>
      <c r="J660" s="212"/>
      <c r="K660" s="212"/>
      <c r="L660" s="212"/>
      <c r="M660" s="212"/>
    </row>
    <row r="661" ht="17.25" customHeight="1">
      <c r="D661" s="212"/>
      <c r="E661" s="1007"/>
      <c r="F661" s="1007"/>
      <c r="G661" s="212"/>
      <c r="H661" s="212"/>
      <c r="I661" s="212"/>
      <c r="J661" s="212"/>
      <c r="K661" s="212"/>
      <c r="L661" s="212"/>
      <c r="M661" s="212"/>
    </row>
    <row r="662" ht="17.25" customHeight="1">
      <c r="D662" s="212"/>
      <c r="E662" s="1007"/>
      <c r="F662" s="1007"/>
      <c r="G662" s="212"/>
      <c r="H662" s="212"/>
      <c r="I662" s="212"/>
      <c r="J662" s="212"/>
      <c r="K662" s="212"/>
      <c r="L662" s="212"/>
      <c r="M662" s="212"/>
    </row>
    <row r="663" ht="17.25" customHeight="1">
      <c r="D663" s="212"/>
      <c r="E663" s="1007"/>
      <c r="F663" s="1007"/>
      <c r="G663" s="212"/>
      <c r="H663" s="212"/>
      <c r="I663" s="212"/>
      <c r="J663" s="212"/>
      <c r="K663" s="212"/>
      <c r="L663" s="212"/>
      <c r="M663" s="212"/>
    </row>
    <row r="664" ht="17.25" customHeight="1">
      <c r="D664" s="212"/>
      <c r="E664" s="1007"/>
      <c r="F664" s="1007"/>
      <c r="G664" s="212"/>
      <c r="H664" s="212"/>
      <c r="I664" s="212"/>
      <c r="J664" s="212"/>
      <c r="K664" s="212"/>
      <c r="L664" s="212"/>
      <c r="M664" s="212"/>
    </row>
    <row r="665" ht="17.25" customHeight="1">
      <c r="D665" s="212"/>
      <c r="E665" s="1007"/>
      <c r="F665" s="1007"/>
      <c r="G665" s="212"/>
      <c r="H665" s="212"/>
      <c r="I665" s="212"/>
      <c r="J665" s="212"/>
      <c r="K665" s="212"/>
      <c r="L665" s="212"/>
      <c r="M665" s="212"/>
    </row>
    <row r="666" ht="17.25" customHeight="1">
      <c r="D666" s="212"/>
      <c r="E666" s="1007"/>
      <c r="F666" s="1007"/>
      <c r="G666" s="212"/>
      <c r="H666" s="212"/>
      <c r="I666" s="212"/>
      <c r="J666" s="212"/>
      <c r="K666" s="212"/>
      <c r="L666" s="212"/>
      <c r="M666" s="212"/>
    </row>
    <row r="667" ht="17.25" customHeight="1">
      <c r="D667" s="212"/>
      <c r="E667" s="1007"/>
      <c r="F667" s="1007"/>
      <c r="G667" s="212"/>
      <c r="H667" s="212"/>
      <c r="I667" s="212"/>
      <c r="J667" s="212"/>
      <c r="K667" s="212"/>
      <c r="L667" s="212"/>
      <c r="M667" s="212"/>
    </row>
    <row r="668" ht="17.25" customHeight="1">
      <c r="D668" s="212"/>
      <c r="E668" s="1007"/>
      <c r="F668" s="1007"/>
      <c r="G668" s="212"/>
      <c r="H668" s="212"/>
      <c r="I668" s="212"/>
      <c r="J668" s="212"/>
      <c r="K668" s="212"/>
      <c r="L668" s="212"/>
      <c r="M668" s="212"/>
    </row>
    <row r="669" ht="17.25" customHeight="1">
      <c r="D669" s="212"/>
      <c r="E669" s="1007"/>
      <c r="F669" s="1007"/>
      <c r="G669" s="212"/>
      <c r="H669" s="212"/>
      <c r="I669" s="212"/>
      <c r="J669" s="212"/>
      <c r="K669" s="212"/>
      <c r="L669" s="212"/>
      <c r="M669" s="212"/>
    </row>
    <row r="670" ht="17.25" customHeight="1">
      <c r="D670" s="212"/>
      <c r="E670" s="1007"/>
      <c r="F670" s="1007"/>
      <c r="G670" s="212"/>
      <c r="H670" s="212"/>
      <c r="I670" s="212"/>
      <c r="J670" s="212"/>
      <c r="K670" s="212"/>
      <c r="L670" s="212"/>
      <c r="M670" s="212"/>
    </row>
    <row r="671" ht="17.25" customHeight="1">
      <c r="D671" s="212"/>
      <c r="E671" s="1007"/>
      <c r="F671" s="1007"/>
      <c r="G671" s="212"/>
      <c r="H671" s="212"/>
      <c r="I671" s="212"/>
      <c r="J671" s="212"/>
      <c r="K671" s="212"/>
      <c r="L671" s="212"/>
      <c r="M671" s="212"/>
    </row>
    <row r="672" ht="17.25" customHeight="1">
      <c r="D672" s="212"/>
      <c r="E672" s="1007"/>
      <c r="F672" s="1007"/>
      <c r="G672" s="212"/>
      <c r="H672" s="212"/>
      <c r="I672" s="212"/>
      <c r="J672" s="212"/>
      <c r="K672" s="212"/>
      <c r="L672" s="212"/>
      <c r="M672" s="212"/>
    </row>
    <row r="673" ht="17.25" customHeight="1">
      <c r="D673" s="212"/>
      <c r="E673" s="1007"/>
      <c r="F673" s="1007"/>
      <c r="G673" s="212"/>
      <c r="H673" s="212"/>
      <c r="I673" s="212"/>
      <c r="J673" s="212"/>
      <c r="K673" s="212"/>
      <c r="L673" s="212"/>
      <c r="M673" s="212"/>
    </row>
    <row r="674" ht="17.25" customHeight="1">
      <c r="D674" s="212"/>
      <c r="E674" s="1007"/>
      <c r="F674" s="1007"/>
      <c r="G674" s="212"/>
      <c r="H674" s="212"/>
      <c r="I674" s="212"/>
      <c r="J674" s="212"/>
      <c r="K674" s="212"/>
      <c r="L674" s="212"/>
      <c r="M674" s="212"/>
    </row>
    <row r="675" ht="17.25" customHeight="1">
      <c r="D675" s="212"/>
      <c r="E675" s="1007"/>
      <c r="F675" s="1007"/>
      <c r="G675" s="212"/>
      <c r="H675" s="212"/>
      <c r="I675" s="212"/>
      <c r="J675" s="212"/>
      <c r="K675" s="212"/>
      <c r="L675" s="212"/>
      <c r="M675" s="212"/>
    </row>
    <row r="676" ht="17.25" customHeight="1">
      <c r="D676" s="212"/>
      <c r="E676" s="1007"/>
      <c r="F676" s="1007"/>
      <c r="G676" s="212"/>
      <c r="H676" s="212"/>
      <c r="I676" s="212"/>
      <c r="J676" s="212"/>
      <c r="K676" s="212"/>
      <c r="L676" s="212"/>
      <c r="M676" s="212"/>
    </row>
    <row r="677" ht="17.25" customHeight="1">
      <c r="D677" s="212"/>
      <c r="E677" s="1007"/>
      <c r="F677" s="1007"/>
      <c r="G677" s="212"/>
      <c r="H677" s="212"/>
      <c r="I677" s="212"/>
      <c r="J677" s="212"/>
      <c r="K677" s="212"/>
      <c r="L677" s="212"/>
      <c r="M677" s="212"/>
    </row>
    <row r="678" ht="17.25" customHeight="1">
      <c r="D678" s="212"/>
      <c r="E678" s="1007"/>
      <c r="F678" s="1007"/>
      <c r="G678" s="212"/>
      <c r="H678" s="212"/>
      <c r="I678" s="212"/>
      <c r="J678" s="212"/>
      <c r="K678" s="212"/>
      <c r="L678" s="212"/>
      <c r="M678" s="212"/>
    </row>
    <row r="679" ht="17.25" customHeight="1">
      <c r="D679" s="212"/>
      <c r="E679" s="1007"/>
      <c r="F679" s="1007"/>
      <c r="G679" s="212"/>
      <c r="H679" s="212"/>
      <c r="I679" s="212"/>
      <c r="J679" s="212"/>
      <c r="K679" s="212"/>
      <c r="L679" s="212"/>
      <c r="M679" s="212"/>
    </row>
    <row r="680" ht="17.25" customHeight="1">
      <c r="D680" s="212"/>
      <c r="E680" s="1007"/>
      <c r="F680" s="1007"/>
      <c r="G680" s="212"/>
      <c r="H680" s="212"/>
      <c r="I680" s="212"/>
      <c r="J680" s="212"/>
      <c r="K680" s="212"/>
      <c r="L680" s="212"/>
      <c r="M680" s="212"/>
    </row>
    <row r="681" ht="17.25" customHeight="1">
      <c r="D681" s="212"/>
      <c r="E681" s="1007"/>
      <c r="F681" s="1007"/>
      <c r="G681" s="212"/>
      <c r="H681" s="212"/>
      <c r="I681" s="212"/>
      <c r="J681" s="212"/>
      <c r="K681" s="212"/>
      <c r="L681" s="212"/>
      <c r="M681" s="212"/>
    </row>
    <row r="682" ht="17.25" customHeight="1">
      <c r="D682" s="212"/>
      <c r="E682" s="1007"/>
      <c r="F682" s="1007"/>
      <c r="G682" s="212"/>
      <c r="H682" s="212"/>
      <c r="I682" s="212"/>
      <c r="J682" s="212"/>
      <c r="K682" s="212"/>
      <c r="L682" s="212"/>
      <c r="M682" s="212"/>
    </row>
    <row r="683" ht="17.25" customHeight="1">
      <c r="D683" s="212"/>
      <c r="E683" s="1007"/>
      <c r="F683" s="1007"/>
      <c r="G683" s="212"/>
      <c r="H683" s="212"/>
      <c r="I683" s="212"/>
      <c r="J683" s="212"/>
      <c r="K683" s="212"/>
      <c r="L683" s="212"/>
      <c r="M683" s="212"/>
    </row>
    <row r="684" ht="17.25" customHeight="1">
      <c r="D684" s="212"/>
      <c r="E684" s="1007"/>
      <c r="F684" s="1007"/>
      <c r="G684" s="212"/>
      <c r="H684" s="212"/>
      <c r="I684" s="212"/>
      <c r="J684" s="212"/>
      <c r="K684" s="212"/>
      <c r="L684" s="212"/>
      <c r="M684" s="212"/>
    </row>
    <row r="685" ht="17.25" customHeight="1">
      <c r="D685" s="212"/>
      <c r="E685" s="1007"/>
      <c r="F685" s="1007"/>
      <c r="G685" s="212"/>
      <c r="H685" s="212"/>
      <c r="I685" s="212"/>
      <c r="J685" s="212"/>
      <c r="K685" s="212"/>
      <c r="L685" s="212"/>
      <c r="M685" s="212"/>
    </row>
    <row r="686" ht="17.25" customHeight="1">
      <c r="D686" s="212"/>
      <c r="E686" s="1007"/>
      <c r="F686" s="1007"/>
      <c r="G686" s="212"/>
      <c r="H686" s="212"/>
      <c r="I686" s="212"/>
      <c r="J686" s="212"/>
      <c r="K686" s="212"/>
      <c r="L686" s="212"/>
      <c r="M686" s="212"/>
    </row>
    <row r="687" ht="17.25" customHeight="1">
      <c r="D687" s="212"/>
      <c r="E687" s="1007"/>
      <c r="F687" s="1007"/>
      <c r="G687" s="212"/>
      <c r="H687" s="212"/>
      <c r="I687" s="212"/>
      <c r="J687" s="212"/>
      <c r="K687" s="212"/>
      <c r="L687" s="212"/>
      <c r="M687" s="212"/>
    </row>
    <row r="688" ht="17.25" customHeight="1">
      <c r="D688" s="212"/>
      <c r="E688" s="1007"/>
      <c r="F688" s="1007"/>
      <c r="G688" s="212"/>
      <c r="H688" s="212"/>
      <c r="I688" s="212"/>
      <c r="J688" s="212"/>
      <c r="K688" s="212"/>
      <c r="L688" s="212"/>
      <c r="M688" s="212"/>
    </row>
    <row r="689" ht="17.25" customHeight="1">
      <c r="D689" s="212"/>
      <c r="E689" s="1007"/>
      <c r="F689" s="1007"/>
      <c r="G689" s="212"/>
      <c r="H689" s="212"/>
      <c r="I689" s="212"/>
      <c r="J689" s="212"/>
      <c r="K689" s="212"/>
      <c r="L689" s="212"/>
      <c r="M689" s="212"/>
    </row>
    <row r="690" ht="17.25" customHeight="1">
      <c r="D690" s="212"/>
      <c r="E690" s="1007"/>
      <c r="F690" s="1007"/>
      <c r="G690" s="212"/>
      <c r="H690" s="212"/>
      <c r="I690" s="212"/>
      <c r="J690" s="212"/>
      <c r="K690" s="212"/>
      <c r="L690" s="212"/>
      <c r="M690" s="212"/>
    </row>
    <row r="691" ht="17.25" customHeight="1">
      <c r="D691" s="212"/>
      <c r="E691" s="1007"/>
      <c r="F691" s="1007"/>
      <c r="G691" s="212"/>
      <c r="H691" s="212"/>
      <c r="I691" s="212"/>
      <c r="J691" s="212"/>
      <c r="K691" s="212"/>
      <c r="L691" s="212"/>
      <c r="M691" s="212"/>
    </row>
    <row r="692" ht="17.25" customHeight="1">
      <c r="D692" s="212"/>
      <c r="E692" s="1007"/>
      <c r="F692" s="1007"/>
      <c r="G692" s="212"/>
      <c r="H692" s="212"/>
      <c r="I692" s="212"/>
      <c r="J692" s="212"/>
      <c r="K692" s="212"/>
      <c r="L692" s="212"/>
      <c r="M692" s="212"/>
    </row>
    <row r="693" ht="17.25" customHeight="1">
      <c r="D693" s="212"/>
      <c r="E693" s="1007"/>
      <c r="F693" s="1007"/>
      <c r="G693" s="212"/>
      <c r="H693" s="212"/>
      <c r="I693" s="212"/>
      <c r="J693" s="212"/>
      <c r="K693" s="212"/>
      <c r="L693" s="212"/>
      <c r="M693" s="212"/>
    </row>
    <row r="694" ht="17.25" customHeight="1">
      <c r="D694" s="212"/>
      <c r="E694" s="1007"/>
      <c r="F694" s="1007"/>
      <c r="G694" s="212"/>
      <c r="H694" s="212"/>
      <c r="I694" s="212"/>
      <c r="J694" s="212"/>
      <c r="K694" s="212"/>
      <c r="L694" s="212"/>
      <c r="M694" s="212"/>
    </row>
    <row r="695" ht="17.25" customHeight="1">
      <c r="D695" s="212"/>
      <c r="E695" s="1007"/>
      <c r="F695" s="1007"/>
      <c r="G695" s="212"/>
      <c r="H695" s="212"/>
      <c r="I695" s="212"/>
      <c r="J695" s="212"/>
      <c r="K695" s="212"/>
      <c r="L695" s="212"/>
      <c r="M695" s="212"/>
    </row>
    <row r="696" ht="17.25" customHeight="1">
      <c r="D696" s="212"/>
      <c r="E696" s="1007"/>
      <c r="F696" s="1007"/>
      <c r="G696" s="212"/>
      <c r="H696" s="212"/>
      <c r="I696" s="212"/>
      <c r="J696" s="212"/>
      <c r="K696" s="212"/>
      <c r="L696" s="212"/>
      <c r="M696" s="212"/>
    </row>
    <row r="697" ht="17.25" customHeight="1">
      <c r="D697" s="212"/>
      <c r="E697" s="1007"/>
      <c r="F697" s="1007"/>
      <c r="G697" s="212"/>
      <c r="H697" s="212"/>
      <c r="I697" s="212"/>
      <c r="J697" s="212"/>
      <c r="K697" s="212"/>
      <c r="L697" s="212"/>
      <c r="M697" s="212"/>
    </row>
    <row r="698" ht="17.25" customHeight="1">
      <c r="D698" s="212"/>
      <c r="E698" s="1007"/>
      <c r="F698" s="1007"/>
      <c r="G698" s="212"/>
      <c r="H698" s="212"/>
      <c r="I698" s="212"/>
      <c r="J698" s="212"/>
      <c r="K698" s="212"/>
      <c r="L698" s="212"/>
      <c r="M698" s="212"/>
    </row>
    <row r="699" ht="17.25" customHeight="1">
      <c r="D699" s="212"/>
      <c r="E699" s="1007"/>
      <c r="F699" s="1007"/>
      <c r="G699" s="212"/>
      <c r="H699" s="212"/>
      <c r="I699" s="212"/>
      <c r="J699" s="212"/>
      <c r="K699" s="212"/>
      <c r="L699" s="212"/>
      <c r="M699" s="212"/>
    </row>
    <row r="700" ht="17.25" customHeight="1">
      <c r="D700" s="212"/>
      <c r="E700" s="1007"/>
      <c r="F700" s="1007"/>
      <c r="G700" s="212"/>
      <c r="H700" s="212"/>
      <c r="I700" s="212"/>
      <c r="J700" s="212"/>
      <c r="K700" s="212"/>
      <c r="L700" s="212"/>
      <c r="M700" s="212"/>
    </row>
    <row r="701" ht="17.25" customHeight="1">
      <c r="D701" s="212"/>
      <c r="E701" s="1007"/>
      <c r="F701" s="1007"/>
      <c r="G701" s="212"/>
      <c r="H701" s="212"/>
      <c r="I701" s="212"/>
      <c r="J701" s="212"/>
      <c r="K701" s="212"/>
      <c r="L701" s="212"/>
      <c r="M701" s="212"/>
    </row>
    <row r="702" ht="17.25" customHeight="1">
      <c r="D702" s="212"/>
      <c r="E702" s="1007"/>
      <c r="F702" s="1007"/>
      <c r="G702" s="212"/>
      <c r="H702" s="212"/>
      <c r="I702" s="212"/>
      <c r="J702" s="212"/>
      <c r="K702" s="212"/>
      <c r="L702" s="212"/>
      <c r="M702" s="212"/>
    </row>
    <row r="703" ht="17.25" customHeight="1">
      <c r="D703" s="212"/>
      <c r="E703" s="1007"/>
      <c r="F703" s="1007"/>
      <c r="G703" s="212"/>
      <c r="H703" s="212"/>
      <c r="I703" s="212"/>
      <c r="J703" s="212"/>
      <c r="K703" s="212"/>
      <c r="L703" s="212"/>
      <c r="M703" s="212"/>
    </row>
    <row r="704" ht="17.25" customHeight="1">
      <c r="D704" s="212"/>
      <c r="E704" s="1007"/>
      <c r="F704" s="1007"/>
      <c r="G704" s="212"/>
      <c r="H704" s="212"/>
      <c r="I704" s="212"/>
      <c r="J704" s="212"/>
      <c r="K704" s="212"/>
      <c r="L704" s="212"/>
      <c r="M704" s="212"/>
    </row>
    <row r="705" ht="17.25" customHeight="1">
      <c r="D705" s="212"/>
      <c r="E705" s="1007"/>
      <c r="F705" s="1007"/>
      <c r="G705" s="212"/>
      <c r="H705" s="212"/>
      <c r="I705" s="212"/>
      <c r="J705" s="212"/>
      <c r="K705" s="212"/>
      <c r="L705" s="212"/>
      <c r="M705" s="212"/>
    </row>
    <row r="706" ht="17.25" customHeight="1">
      <c r="D706" s="212"/>
      <c r="E706" s="1007"/>
      <c r="F706" s="1007"/>
      <c r="G706" s="212"/>
      <c r="H706" s="212"/>
      <c r="I706" s="212"/>
      <c r="J706" s="212"/>
      <c r="K706" s="212"/>
      <c r="L706" s="212"/>
      <c r="M706" s="212"/>
    </row>
    <row r="707" ht="17.25" customHeight="1">
      <c r="D707" s="212"/>
      <c r="E707" s="1007"/>
      <c r="F707" s="1007"/>
      <c r="G707" s="212"/>
      <c r="H707" s="212"/>
      <c r="I707" s="212"/>
      <c r="J707" s="212"/>
      <c r="K707" s="212"/>
      <c r="L707" s="212"/>
      <c r="M707" s="212"/>
    </row>
    <row r="708" ht="17.25" customHeight="1">
      <c r="D708" s="212"/>
      <c r="E708" s="1007"/>
      <c r="F708" s="1007"/>
      <c r="G708" s="212"/>
      <c r="H708" s="212"/>
      <c r="I708" s="212"/>
      <c r="J708" s="212"/>
      <c r="K708" s="212"/>
      <c r="L708" s="212"/>
      <c r="M708" s="212"/>
    </row>
    <row r="709" ht="17.25" customHeight="1">
      <c r="D709" s="212"/>
      <c r="E709" s="1007"/>
      <c r="F709" s="1007"/>
      <c r="G709" s="212"/>
      <c r="H709" s="212"/>
      <c r="I709" s="212"/>
      <c r="J709" s="212"/>
      <c r="K709" s="212"/>
      <c r="L709" s="212"/>
      <c r="M709" s="212"/>
    </row>
    <row r="710" ht="17.25" customHeight="1">
      <c r="D710" s="212"/>
      <c r="E710" s="1007"/>
      <c r="F710" s="1007"/>
      <c r="G710" s="212"/>
      <c r="H710" s="212"/>
      <c r="I710" s="212"/>
      <c r="J710" s="212"/>
      <c r="K710" s="212"/>
      <c r="L710" s="212"/>
      <c r="M710" s="212"/>
    </row>
    <row r="711" ht="17.25" customHeight="1">
      <c r="D711" s="212"/>
      <c r="E711" s="1007"/>
      <c r="F711" s="1007"/>
      <c r="G711" s="212"/>
      <c r="H711" s="212"/>
      <c r="I711" s="212"/>
      <c r="J711" s="212"/>
      <c r="K711" s="212"/>
      <c r="L711" s="212"/>
      <c r="M711" s="212"/>
    </row>
    <row r="712" ht="17.25" customHeight="1">
      <c r="D712" s="212"/>
      <c r="E712" s="1007"/>
      <c r="F712" s="1007"/>
      <c r="G712" s="212"/>
      <c r="H712" s="212"/>
      <c r="I712" s="212"/>
      <c r="J712" s="212"/>
      <c r="K712" s="212"/>
      <c r="L712" s="212"/>
      <c r="M712" s="212"/>
    </row>
    <row r="713" ht="17.25" customHeight="1">
      <c r="D713" s="212"/>
      <c r="E713" s="1007"/>
      <c r="F713" s="1007"/>
      <c r="G713" s="212"/>
      <c r="H713" s="212"/>
      <c r="I713" s="212"/>
      <c r="J713" s="212"/>
      <c r="K713" s="212"/>
      <c r="L713" s="212"/>
      <c r="M713" s="212"/>
    </row>
    <row r="714" ht="17.25" customHeight="1">
      <c r="D714" s="212"/>
      <c r="E714" s="1007"/>
      <c r="F714" s="1007"/>
      <c r="G714" s="212"/>
      <c r="H714" s="212"/>
      <c r="I714" s="212"/>
      <c r="J714" s="212"/>
      <c r="K714" s="212"/>
      <c r="L714" s="212"/>
      <c r="M714" s="212"/>
    </row>
    <row r="715" ht="17.25" customHeight="1">
      <c r="D715" s="212"/>
      <c r="E715" s="1007"/>
      <c r="F715" s="1007"/>
      <c r="G715" s="212"/>
      <c r="H715" s="212"/>
      <c r="I715" s="212"/>
      <c r="J715" s="212"/>
      <c r="K715" s="212"/>
      <c r="L715" s="212"/>
      <c r="M715" s="212"/>
    </row>
    <row r="716" ht="17.25" customHeight="1">
      <c r="D716" s="212"/>
      <c r="E716" s="1007"/>
      <c r="F716" s="1007"/>
      <c r="G716" s="212"/>
      <c r="H716" s="212"/>
      <c r="I716" s="212"/>
      <c r="J716" s="212"/>
      <c r="K716" s="212"/>
      <c r="L716" s="212"/>
      <c r="M716" s="212"/>
    </row>
    <row r="717" ht="17.25" customHeight="1">
      <c r="D717" s="212"/>
      <c r="E717" s="1007"/>
      <c r="F717" s="1007"/>
      <c r="G717" s="212"/>
      <c r="H717" s="212"/>
      <c r="I717" s="212"/>
      <c r="J717" s="212"/>
      <c r="K717" s="212"/>
      <c r="L717" s="212"/>
      <c r="M717" s="212"/>
    </row>
    <row r="718" ht="17.25" customHeight="1">
      <c r="D718" s="212"/>
      <c r="E718" s="1007"/>
      <c r="F718" s="1007"/>
      <c r="G718" s="212"/>
      <c r="H718" s="212"/>
      <c r="I718" s="212"/>
      <c r="J718" s="212"/>
      <c r="K718" s="212"/>
      <c r="L718" s="212"/>
      <c r="M718" s="212"/>
    </row>
    <row r="719" ht="17.25" customHeight="1">
      <c r="D719" s="212"/>
      <c r="E719" s="1007"/>
      <c r="F719" s="1007"/>
      <c r="G719" s="212"/>
      <c r="H719" s="212"/>
      <c r="I719" s="212"/>
      <c r="J719" s="212"/>
      <c r="K719" s="212"/>
      <c r="L719" s="212"/>
      <c r="M719" s="212"/>
    </row>
    <row r="720" ht="17.25" customHeight="1">
      <c r="D720" s="212"/>
      <c r="E720" s="1007"/>
      <c r="F720" s="1007"/>
      <c r="G720" s="212"/>
      <c r="H720" s="212"/>
      <c r="I720" s="212"/>
      <c r="J720" s="212"/>
      <c r="K720" s="212"/>
      <c r="L720" s="212"/>
      <c r="M720" s="212"/>
    </row>
    <row r="721" ht="17.25" customHeight="1">
      <c r="D721" s="212"/>
      <c r="E721" s="1007"/>
      <c r="F721" s="1007"/>
      <c r="G721" s="212"/>
      <c r="H721" s="212"/>
      <c r="I721" s="212"/>
      <c r="J721" s="212"/>
      <c r="K721" s="212"/>
      <c r="L721" s="212"/>
      <c r="M721" s="212"/>
    </row>
    <row r="722" ht="17.25" customHeight="1">
      <c r="D722" s="212"/>
      <c r="E722" s="1007"/>
      <c r="F722" s="1007"/>
      <c r="G722" s="212"/>
      <c r="H722" s="212"/>
      <c r="I722" s="212"/>
      <c r="J722" s="212"/>
      <c r="K722" s="212"/>
      <c r="L722" s="212"/>
      <c r="M722" s="212"/>
    </row>
    <row r="723" ht="17.25" customHeight="1">
      <c r="D723" s="212"/>
      <c r="E723" s="1007"/>
      <c r="F723" s="1007"/>
      <c r="G723" s="212"/>
      <c r="H723" s="212"/>
      <c r="I723" s="212"/>
      <c r="J723" s="212"/>
      <c r="K723" s="212"/>
      <c r="L723" s="212"/>
      <c r="M723" s="212"/>
    </row>
    <row r="724" ht="17.25" customHeight="1">
      <c r="D724" s="212"/>
      <c r="E724" s="1007"/>
      <c r="F724" s="1007"/>
      <c r="G724" s="212"/>
      <c r="H724" s="212"/>
      <c r="I724" s="212"/>
      <c r="J724" s="212"/>
      <c r="K724" s="212"/>
      <c r="L724" s="212"/>
      <c r="M724" s="212"/>
    </row>
    <row r="725" ht="17.25" customHeight="1">
      <c r="D725" s="212"/>
      <c r="E725" s="1007"/>
      <c r="F725" s="1007"/>
      <c r="G725" s="212"/>
      <c r="H725" s="212"/>
      <c r="I725" s="212"/>
      <c r="J725" s="212"/>
      <c r="K725" s="212"/>
      <c r="L725" s="212"/>
      <c r="M725" s="212"/>
    </row>
    <row r="726" ht="17.25" customHeight="1">
      <c r="D726" s="212"/>
      <c r="E726" s="1007"/>
      <c r="F726" s="1007"/>
      <c r="G726" s="212"/>
      <c r="H726" s="212"/>
      <c r="I726" s="212"/>
      <c r="J726" s="212"/>
      <c r="K726" s="212"/>
      <c r="L726" s="212"/>
      <c r="M726" s="212"/>
    </row>
    <row r="727" ht="17.25" customHeight="1">
      <c r="D727" s="212"/>
      <c r="E727" s="1007"/>
      <c r="F727" s="1007"/>
      <c r="G727" s="212"/>
      <c r="H727" s="212"/>
      <c r="I727" s="212"/>
      <c r="J727" s="212"/>
      <c r="K727" s="212"/>
      <c r="L727" s="212"/>
      <c r="M727" s="212"/>
    </row>
    <row r="728" ht="17.25" customHeight="1">
      <c r="D728" s="212"/>
      <c r="E728" s="1007"/>
      <c r="F728" s="1007"/>
      <c r="G728" s="212"/>
      <c r="H728" s="212"/>
      <c r="I728" s="212"/>
      <c r="J728" s="212"/>
      <c r="K728" s="212"/>
      <c r="L728" s="212"/>
      <c r="M728" s="212"/>
    </row>
    <row r="729" ht="17.25" customHeight="1">
      <c r="D729" s="212"/>
      <c r="E729" s="1007"/>
      <c r="F729" s="1007"/>
      <c r="G729" s="212"/>
      <c r="H729" s="212"/>
      <c r="I729" s="212"/>
      <c r="J729" s="212"/>
      <c r="K729" s="212"/>
      <c r="L729" s="212"/>
      <c r="M729" s="212"/>
    </row>
    <row r="730" ht="17.25" customHeight="1">
      <c r="D730" s="212"/>
      <c r="E730" s="1007"/>
      <c r="F730" s="1007"/>
      <c r="G730" s="212"/>
      <c r="H730" s="212"/>
      <c r="I730" s="212"/>
      <c r="J730" s="212"/>
      <c r="K730" s="212"/>
      <c r="L730" s="212"/>
      <c r="M730" s="212"/>
    </row>
    <row r="731" ht="17.25" customHeight="1">
      <c r="D731" s="212"/>
      <c r="E731" s="1007"/>
      <c r="F731" s="1007"/>
      <c r="G731" s="212"/>
      <c r="H731" s="212"/>
      <c r="I731" s="212"/>
      <c r="J731" s="212"/>
      <c r="K731" s="212"/>
      <c r="L731" s="212"/>
      <c r="M731" s="212"/>
    </row>
    <row r="732" ht="17.25" customHeight="1">
      <c r="D732" s="212"/>
      <c r="E732" s="1007"/>
      <c r="F732" s="1007"/>
      <c r="G732" s="212"/>
      <c r="H732" s="212"/>
      <c r="I732" s="212"/>
      <c r="J732" s="212"/>
      <c r="K732" s="212"/>
      <c r="L732" s="212"/>
      <c r="M732" s="212"/>
    </row>
    <row r="733" ht="17.25" customHeight="1">
      <c r="D733" s="212"/>
      <c r="E733" s="1007"/>
      <c r="F733" s="1007"/>
      <c r="G733" s="212"/>
      <c r="H733" s="212"/>
      <c r="I733" s="212"/>
      <c r="J733" s="212"/>
      <c r="K733" s="212"/>
      <c r="L733" s="212"/>
      <c r="M733" s="212"/>
    </row>
    <row r="734" ht="17.25" customHeight="1">
      <c r="D734" s="212"/>
      <c r="E734" s="1007"/>
      <c r="F734" s="1007"/>
      <c r="G734" s="212"/>
      <c r="H734" s="212"/>
      <c r="I734" s="212"/>
      <c r="J734" s="212"/>
      <c r="K734" s="212"/>
      <c r="L734" s="212"/>
      <c r="M734" s="212"/>
    </row>
    <row r="735" ht="17.25" customHeight="1">
      <c r="D735" s="212"/>
      <c r="E735" s="1007"/>
      <c r="F735" s="1007"/>
      <c r="G735" s="212"/>
      <c r="H735" s="212"/>
      <c r="I735" s="212"/>
      <c r="J735" s="212"/>
      <c r="K735" s="212"/>
      <c r="L735" s="212"/>
      <c r="M735" s="212"/>
    </row>
    <row r="736" ht="17.25" customHeight="1">
      <c r="D736" s="212"/>
      <c r="E736" s="1007"/>
      <c r="F736" s="1007"/>
      <c r="G736" s="212"/>
      <c r="H736" s="212"/>
      <c r="I736" s="212"/>
      <c r="J736" s="212"/>
      <c r="K736" s="212"/>
      <c r="L736" s="212"/>
      <c r="M736" s="212"/>
    </row>
    <row r="737" ht="17.25" customHeight="1">
      <c r="D737" s="212"/>
      <c r="E737" s="1007"/>
      <c r="F737" s="1007"/>
      <c r="G737" s="212"/>
      <c r="H737" s="212"/>
      <c r="I737" s="212"/>
      <c r="J737" s="212"/>
      <c r="K737" s="212"/>
      <c r="L737" s="212"/>
      <c r="M737" s="212"/>
    </row>
    <row r="738" ht="17.25" customHeight="1">
      <c r="D738" s="212"/>
      <c r="E738" s="1007"/>
      <c r="F738" s="1007"/>
      <c r="G738" s="212"/>
      <c r="H738" s="212"/>
      <c r="I738" s="212"/>
      <c r="J738" s="212"/>
      <c r="K738" s="212"/>
      <c r="L738" s="212"/>
      <c r="M738" s="212"/>
    </row>
    <row r="739" ht="17.25" customHeight="1">
      <c r="D739" s="212"/>
      <c r="E739" s="1007"/>
      <c r="F739" s="1007"/>
      <c r="G739" s="212"/>
      <c r="H739" s="212"/>
      <c r="I739" s="212"/>
      <c r="J739" s="212"/>
      <c r="K739" s="212"/>
      <c r="L739" s="212"/>
      <c r="M739" s="212"/>
    </row>
    <row r="740" ht="17.25" customHeight="1">
      <c r="D740" s="212"/>
      <c r="E740" s="1007"/>
      <c r="F740" s="1007"/>
      <c r="G740" s="212"/>
      <c r="H740" s="212"/>
      <c r="I740" s="212"/>
      <c r="J740" s="212"/>
      <c r="K740" s="212"/>
      <c r="L740" s="212"/>
      <c r="M740" s="212"/>
    </row>
    <row r="741" ht="17.25" customHeight="1">
      <c r="D741" s="212"/>
      <c r="E741" s="1007"/>
      <c r="F741" s="1007"/>
      <c r="G741" s="212"/>
      <c r="H741" s="212"/>
      <c r="I741" s="212"/>
      <c r="J741" s="212"/>
      <c r="K741" s="212"/>
      <c r="L741" s="212"/>
      <c r="M741" s="212"/>
    </row>
    <row r="742" ht="17.25" customHeight="1">
      <c r="D742" s="212"/>
      <c r="E742" s="1007"/>
      <c r="F742" s="1007"/>
      <c r="G742" s="212"/>
      <c r="H742" s="212"/>
      <c r="I742" s="212"/>
      <c r="J742" s="212"/>
      <c r="K742" s="212"/>
      <c r="L742" s="212"/>
      <c r="M742" s="212"/>
    </row>
    <row r="743" ht="17.25" customHeight="1">
      <c r="D743" s="212"/>
      <c r="E743" s="1007"/>
      <c r="F743" s="1007"/>
      <c r="G743" s="212"/>
      <c r="H743" s="212"/>
      <c r="I743" s="212"/>
      <c r="J743" s="212"/>
      <c r="K743" s="212"/>
      <c r="L743" s="212"/>
      <c r="M743" s="212"/>
    </row>
    <row r="744" ht="17.25" customHeight="1">
      <c r="D744" s="212"/>
      <c r="E744" s="1007"/>
      <c r="F744" s="1007"/>
      <c r="G744" s="212"/>
      <c r="H744" s="212"/>
      <c r="I744" s="212"/>
      <c r="J744" s="212"/>
      <c r="K744" s="212"/>
      <c r="L744" s="212"/>
      <c r="M744" s="212"/>
    </row>
    <row r="745" ht="17.25" customHeight="1">
      <c r="D745" s="212"/>
      <c r="E745" s="1007"/>
      <c r="F745" s="1007"/>
      <c r="G745" s="212"/>
      <c r="H745" s="212"/>
      <c r="I745" s="212"/>
      <c r="J745" s="212"/>
      <c r="K745" s="212"/>
      <c r="L745" s="212"/>
      <c r="M745" s="212"/>
    </row>
    <row r="746" ht="17.25" customHeight="1">
      <c r="D746" s="212"/>
      <c r="E746" s="1007"/>
      <c r="F746" s="1007"/>
      <c r="G746" s="212"/>
      <c r="H746" s="212"/>
      <c r="I746" s="212"/>
      <c r="J746" s="212"/>
      <c r="K746" s="212"/>
      <c r="L746" s="212"/>
      <c r="M746" s="212"/>
    </row>
    <row r="747" ht="17.25" customHeight="1">
      <c r="D747" s="212"/>
      <c r="E747" s="1007"/>
      <c r="F747" s="1007"/>
      <c r="G747" s="212"/>
      <c r="H747" s="212"/>
      <c r="I747" s="212"/>
      <c r="J747" s="212"/>
      <c r="K747" s="212"/>
      <c r="L747" s="212"/>
      <c r="M747" s="212"/>
    </row>
    <row r="748" ht="17.25" customHeight="1">
      <c r="D748" s="212"/>
      <c r="E748" s="1007"/>
      <c r="F748" s="1007"/>
      <c r="G748" s="212"/>
      <c r="H748" s="212"/>
      <c r="I748" s="212"/>
      <c r="J748" s="212"/>
      <c r="K748" s="212"/>
      <c r="L748" s="212"/>
      <c r="M748" s="212"/>
    </row>
    <row r="749" ht="17.25" customHeight="1">
      <c r="D749" s="212"/>
      <c r="E749" s="1007"/>
      <c r="F749" s="1007"/>
      <c r="G749" s="212"/>
      <c r="H749" s="212"/>
      <c r="I749" s="212"/>
      <c r="J749" s="212"/>
      <c r="K749" s="212"/>
      <c r="L749" s="212"/>
      <c r="M749" s="212"/>
    </row>
    <row r="750" ht="17.25" customHeight="1">
      <c r="D750" s="212"/>
      <c r="E750" s="1007"/>
      <c r="F750" s="1007"/>
      <c r="G750" s="212"/>
      <c r="H750" s="212"/>
      <c r="I750" s="212"/>
      <c r="J750" s="212"/>
      <c r="K750" s="212"/>
      <c r="L750" s="212"/>
      <c r="M750" s="212"/>
    </row>
    <row r="751" ht="17.25" customHeight="1">
      <c r="D751" s="212"/>
      <c r="E751" s="1007"/>
      <c r="F751" s="1007"/>
      <c r="G751" s="212"/>
      <c r="H751" s="212"/>
      <c r="I751" s="212"/>
      <c r="J751" s="212"/>
      <c r="K751" s="212"/>
      <c r="L751" s="212"/>
      <c r="M751" s="212"/>
    </row>
    <row r="752" ht="17.25" customHeight="1">
      <c r="D752" s="212"/>
      <c r="E752" s="1007"/>
      <c r="F752" s="1007"/>
      <c r="G752" s="212"/>
      <c r="H752" s="212"/>
      <c r="I752" s="212"/>
      <c r="J752" s="212"/>
      <c r="K752" s="212"/>
      <c r="L752" s="212"/>
      <c r="M752" s="212"/>
    </row>
    <row r="753" ht="17.25" customHeight="1">
      <c r="D753" s="212"/>
      <c r="E753" s="1007"/>
      <c r="F753" s="1007"/>
      <c r="G753" s="212"/>
      <c r="H753" s="212"/>
      <c r="I753" s="212"/>
      <c r="J753" s="212"/>
      <c r="K753" s="212"/>
      <c r="L753" s="212"/>
      <c r="M753" s="212"/>
    </row>
    <row r="754" ht="17.25" customHeight="1">
      <c r="D754" s="212"/>
      <c r="E754" s="1007"/>
      <c r="F754" s="1007"/>
      <c r="G754" s="212"/>
      <c r="H754" s="212"/>
      <c r="I754" s="212"/>
      <c r="J754" s="212"/>
      <c r="K754" s="212"/>
      <c r="L754" s="212"/>
      <c r="M754" s="212"/>
    </row>
    <row r="755" ht="17.25" customHeight="1">
      <c r="D755" s="212"/>
      <c r="E755" s="1007"/>
      <c r="F755" s="1007"/>
      <c r="G755" s="212"/>
      <c r="H755" s="212"/>
      <c r="I755" s="212"/>
      <c r="J755" s="212"/>
      <c r="K755" s="212"/>
      <c r="L755" s="212"/>
      <c r="M755" s="212"/>
    </row>
    <row r="756" ht="17.25" customHeight="1">
      <c r="D756" s="212"/>
      <c r="E756" s="1007"/>
      <c r="F756" s="1007"/>
      <c r="G756" s="212"/>
      <c r="H756" s="212"/>
      <c r="I756" s="212"/>
      <c r="J756" s="212"/>
      <c r="K756" s="212"/>
      <c r="L756" s="212"/>
      <c r="M756" s="212"/>
    </row>
    <row r="757" ht="17.25" customHeight="1">
      <c r="D757" s="212"/>
      <c r="E757" s="1007"/>
      <c r="F757" s="1007"/>
      <c r="G757" s="212"/>
      <c r="H757" s="212"/>
      <c r="I757" s="212"/>
      <c r="J757" s="212"/>
      <c r="K757" s="212"/>
      <c r="L757" s="212"/>
      <c r="M757" s="212"/>
    </row>
    <row r="758" ht="17.25" customHeight="1">
      <c r="D758" s="212"/>
      <c r="E758" s="1007"/>
      <c r="F758" s="1007"/>
      <c r="G758" s="212"/>
      <c r="H758" s="212"/>
      <c r="I758" s="212"/>
      <c r="J758" s="212"/>
      <c r="K758" s="212"/>
      <c r="L758" s="212"/>
      <c r="M758" s="212"/>
    </row>
    <row r="759" ht="17.25" customHeight="1">
      <c r="D759" s="212"/>
      <c r="E759" s="1007"/>
      <c r="F759" s="1007"/>
      <c r="G759" s="212"/>
      <c r="H759" s="212"/>
      <c r="I759" s="212"/>
      <c r="J759" s="212"/>
      <c r="K759" s="212"/>
      <c r="L759" s="212"/>
      <c r="M759" s="212"/>
    </row>
    <row r="760" ht="17.25" customHeight="1">
      <c r="D760" s="212"/>
      <c r="E760" s="1007"/>
      <c r="F760" s="1007"/>
      <c r="G760" s="212"/>
      <c r="H760" s="212"/>
      <c r="I760" s="212"/>
      <c r="J760" s="212"/>
      <c r="K760" s="212"/>
      <c r="L760" s="212"/>
      <c r="M760" s="212"/>
    </row>
    <row r="761" ht="17.25" customHeight="1">
      <c r="D761" s="212"/>
      <c r="E761" s="1007"/>
      <c r="F761" s="1007"/>
      <c r="G761" s="212"/>
      <c r="H761" s="212"/>
      <c r="I761" s="212"/>
      <c r="J761" s="212"/>
      <c r="K761" s="212"/>
      <c r="L761" s="212"/>
      <c r="M761" s="212"/>
    </row>
    <row r="762" ht="17.25" customHeight="1">
      <c r="D762" s="212"/>
      <c r="E762" s="1007"/>
      <c r="F762" s="1007"/>
      <c r="G762" s="212"/>
      <c r="H762" s="212"/>
      <c r="I762" s="212"/>
      <c r="J762" s="212"/>
      <c r="K762" s="212"/>
      <c r="L762" s="212"/>
      <c r="M762" s="212"/>
    </row>
    <row r="763" ht="17.25" customHeight="1">
      <c r="D763" s="212"/>
      <c r="E763" s="1007"/>
      <c r="F763" s="1007"/>
      <c r="G763" s="212"/>
      <c r="H763" s="212"/>
      <c r="I763" s="212"/>
      <c r="J763" s="212"/>
      <c r="K763" s="212"/>
      <c r="L763" s="212"/>
      <c r="M763" s="212"/>
    </row>
    <row r="764" ht="17.25" customHeight="1">
      <c r="D764" s="212"/>
      <c r="E764" s="1007"/>
      <c r="F764" s="1007"/>
      <c r="G764" s="212"/>
      <c r="H764" s="212"/>
      <c r="I764" s="212"/>
      <c r="J764" s="212"/>
      <c r="K764" s="212"/>
      <c r="L764" s="212"/>
      <c r="M764" s="212"/>
    </row>
    <row r="765" ht="17.25" customHeight="1">
      <c r="D765" s="212"/>
      <c r="E765" s="1007"/>
      <c r="F765" s="1007"/>
      <c r="G765" s="212"/>
      <c r="H765" s="212"/>
      <c r="I765" s="212"/>
      <c r="J765" s="212"/>
      <c r="K765" s="212"/>
      <c r="L765" s="212"/>
      <c r="M765" s="212"/>
    </row>
    <row r="766" ht="17.25" customHeight="1">
      <c r="D766" s="212"/>
      <c r="E766" s="1007"/>
      <c r="F766" s="1007"/>
      <c r="G766" s="212"/>
      <c r="H766" s="212"/>
      <c r="I766" s="212"/>
      <c r="J766" s="212"/>
      <c r="K766" s="212"/>
      <c r="L766" s="212"/>
      <c r="M766" s="212"/>
    </row>
    <row r="767" ht="17.25" customHeight="1">
      <c r="D767" s="212"/>
      <c r="E767" s="1007"/>
      <c r="F767" s="1007"/>
      <c r="G767" s="212"/>
      <c r="H767" s="212"/>
      <c r="I767" s="212"/>
      <c r="J767" s="212"/>
      <c r="K767" s="212"/>
      <c r="L767" s="212"/>
      <c r="M767" s="212"/>
    </row>
    <row r="768" ht="17.25" customHeight="1">
      <c r="D768" s="212"/>
      <c r="E768" s="1007"/>
      <c r="F768" s="1007"/>
      <c r="G768" s="212"/>
      <c r="H768" s="212"/>
      <c r="I768" s="212"/>
      <c r="J768" s="212"/>
      <c r="K768" s="212"/>
      <c r="L768" s="212"/>
      <c r="M768" s="212"/>
    </row>
    <row r="769" ht="17.25" customHeight="1">
      <c r="D769" s="212"/>
      <c r="E769" s="1007"/>
      <c r="F769" s="1007"/>
      <c r="G769" s="212"/>
      <c r="H769" s="212"/>
      <c r="I769" s="212"/>
      <c r="J769" s="212"/>
      <c r="K769" s="212"/>
      <c r="L769" s="212"/>
      <c r="M769" s="212"/>
    </row>
    <row r="770" ht="17.25" customHeight="1">
      <c r="D770" s="212"/>
      <c r="E770" s="1007"/>
      <c r="F770" s="1007"/>
      <c r="G770" s="212"/>
      <c r="H770" s="212"/>
      <c r="I770" s="212"/>
      <c r="J770" s="212"/>
      <c r="K770" s="212"/>
      <c r="L770" s="212"/>
      <c r="M770" s="212"/>
    </row>
    <row r="771" ht="17.25" customHeight="1">
      <c r="D771" s="212"/>
      <c r="E771" s="1007"/>
      <c r="F771" s="1007"/>
      <c r="G771" s="212"/>
      <c r="H771" s="212"/>
      <c r="I771" s="212"/>
      <c r="J771" s="212"/>
      <c r="K771" s="212"/>
      <c r="L771" s="212"/>
      <c r="M771" s="212"/>
    </row>
    <row r="772" ht="17.25" customHeight="1">
      <c r="D772" s="212"/>
      <c r="E772" s="1007"/>
      <c r="F772" s="1007"/>
      <c r="G772" s="212"/>
      <c r="H772" s="212"/>
      <c r="I772" s="212"/>
      <c r="J772" s="212"/>
      <c r="K772" s="212"/>
      <c r="L772" s="212"/>
      <c r="M772" s="212"/>
    </row>
    <row r="773" ht="17.25" customHeight="1">
      <c r="D773" s="212"/>
      <c r="E773" s="1007"/>
      <c r="F773" s="1007"/>
      <c r="G773" s="212"/>
      <c r="H773" s="212"/>
      <c r="I773" s="212"/>
      <c r="J773" s="212"/>
      <c r="K773" s="212"/>
      <c r="L773" s="212"/>
      <c r="M773" s="212"/>
    </row>
    <row r="774" ht="17.25" customHeight="1">
      <c r="D774" s="212"/>
      <c r="E774" s="1007"/>
      <c r="F774" s="1007"/>
      <c r="G774" s="212"/>
      <c r="H774" s="212"/>
      <c r="I774" s="212"/>
      <c r="J774" s="212"/>
      <c r="K774" s="212"/>
      <c r="L774" s="212"/>
      <c r="M774" s="212"/>
    </row>
    <row r="775" ht="17.25" customHeight="1">
      <c r="D775" s="212"/>
      <c r="E775" s="1007"/>
      <c r="F775" s="1007"/>
      <c r="G775" s="212"/>
      <c r="H775" s="212"/>
      <c r="I775" s="212"/>
      <c r="J775" s="212"/>
      <c r="K775" s="212"/>
      <c r="L775" s="212"/>
      <c r="M775" s="212"/>
    </row>
    <row r="776" ht="17.25" customHeight="1">
      <c r="D776" s="212"/>
      <c r="E776" s="1007"/>
      <c r="F776" s="1007"/>
      <c r="G776" s="212"/>
      <c r="H776" s="212"/>
      <c r="I776" s="212"/>
      <c r="J776" s="212"/>
      <c r="K776" s="212"/>
      <c r="L776" s="212"/>
      <c r="M776" s="212"/>
    </row>
    <row r="777" ht="17.25" customHeight="1">
      <c r="D777" s="212"/>
      <c r="E777" s="1007"/>
      <c r="F777" s="1007"/>
      <c r="G777" s="212"/>
      <c r="H777" s="212"/>
      <c r="I777" s="212"/>
      <c r="J777" s="212"/>
      <c r="K777" s="212"/>
      <c r="L777" s="212"/>
      <c r="M777" s="212"/>
    </row>
    <row r="778" ht="17.25" customHeight="1">
      <c r="D778" s="212"/>
      <c r="E778" s="1007"/>
      <c r="F778" s="1007"/>
      <c r="G778" s="212"/>
      <c r="H778" s="212"/>
      <c r="I778" s="212"/>
      <c r="J778" s="212"/>
      <c r="K778" s="212"/>
      <c r="L778" s="212"/>
      <c r="M778" s="212"/>
    </row>
    <row r="779" ht="17.25" customHeight="1">
      <c r="D779" s="212"/>
      <c r="E779" s="1007"/>
      <c r="F779" s="1007"/>
      <c r="G779" s="212"/>
      <c r="H779" s="212"/>
      <c r="I779" s="212"/>
      <c r="J779" s="212"/>
      <c r="K779" s="212"/>
      <c r="L779" s="212"/>
      <c r="M779" s="212"/>
    </row>
    <row r="780" ht="17.25" customHeight="1">
      <c r="D780" s="212"/>
      <c r="E780" s="1007"/>
      <c r="F780" s="1007"/>
      <c r="G780" s="212"/>
      <c r="H780" s="212"/>
      <c r="I780" s="212"/>
      <c r="J780" s="212"/>
      <c r="K780" s="212"/>
      <c r="L780" s="212"/>
      <c r="M780" s="212"/>
    </row>
    <row r="781" ht="17.25" customHeight="1">
      <c r="D781" s="212"/>
      <c r="E781" s="1007"/>
      <c r="F781" s="1007"/>
      <c r="G781" s="212"/>
      <c r="H781" s="212"/>
      <c r="I781" s="212"/>
      <c r="J781" s="212"/>
      <c r="K781" s="212"/>
      <c r="L781" s="212"/>
      <c r="M781" s="212"/>
    </row>
    <row r="782" ht="17.25" customHeight="1">
      <c r="D782" s="212"/>
      <c r="E782" s="1007"/>
      <c r="F782" s="1007"/>
      <c r="G782" s="212"/>
      <c r="H782" s="212"/>
      <c r="I782" s="212"/>
      <c r="J782" s="212"/>
      <c r="K782" s="212"/>
      <c r="L782" s="212"/>
      <c r="M782" s="212"/>
    </row>
    <row r="783" ht="17.25" customHeight="1">
      <c r="D783" s="212"/>
      <c r="E783" s="1007"/>
      <c r="F783" s="1007"/>
      <c r="G783" s="212"/>
      <c r="H783" s="212"/>
      <c r="I783" s="212"/>
      <c r="J783" s="212"/>
      <c r="K783" s="212"/>
      <c r="L783" s="212"/>
      <c r="M783" s="212"/>
    </row>
    <row r="784" ht="17.25" customHeight="1">
      <c r="D784" s="212"/>
      <c r="E784" s="1007"/>
      <c r="F784" s="1007"/>
      <c r="G784" s="212"/>
      <c r="H784" s="212"/>
      <c r="I784" s="212"/>
      <c r="J784" s="212"/>
      <c r="K784" s="212"/>
      <c r="L784" s="212"/>
      <c r="M784" s="212"/>
    </row>
    <row r="785" ht="17.25" customHeight="1">
      <c r="D785" s="212"/>
      <c r="E785" s="1007"/>
      <c r="F785" s="1007"/>
      <c r="G785" s="212"/>
      <c r="H785" s="212"/>
      <c r="I785" s="212"/>
      <c r="J785" s="212"/>
      <c r="K785" s="212"/>
      <c r="L785" s="212"/>
      <c r="M785" s="212"/>
    </row>
    <row r="786" ht="17.25" customHeight="1">
      <c r="D786" s="212"/>
      <c r="E786" s="1007"/>
      <c r="F786" s="1007"/>
      <c r="G786" s="212"/>
      <c r="H786" s="212"/>
      <c r="I786" s="212"/>
      <c r="J786" s="212"/>
      <c r="K786" s="212"/>
      <c r="L786" s="212"/>
      <c r="M786" s="212"/>
    </row>
    <row r="787" ht="17.25" customHeight="1">
      <c r="D787" s="212"/>
      <c r="E787" s="1007"/>
      <c r="F787" s="1007"/>
      <c r="G787" s="212"/>
      <c r="H787" s="212"/>
      <c r="I787" s="212"/>
      <c r="J787" s="212"/>
      <c r="K787" s="212"/>
      <c r="L787" s="212"/>
      <c r="M787" s="212"/>
    </row>
    <row r="788" ht="17.25" customHeight="1">
      <c r="D788" s="212"/>
      <c r="E788" s="1007"/>
      <c r="F788" s="1007"/>
      <c r="G788" s="212"/>
      <c r="H788" s="212"/>
      <c r="I788" s="212"/>
      <c r="J788" s="212"/>
      <c r="K788" s="212"/>
      <c r="L788" s="212"/>
      <c r="M788" s="212"/>
    </row>
    <row r="789" ht="17.25" customHeight="1">
      <c r="D789" s="212"/>
      <c r="E789" s="1007"/>
      <c r="F789" s="1007"/>
      <c r="G789" s="212"/>
      <c r="H789" s="212"/>
      <c r="I789" s="212"/>
      <c r="J789" s="212"/>
      <c r="K789" s="212"/>
      <c r="L789" s="212"/>
      <c r="M789" s="212"/>
    </row>
    <row r="790" ht="17.25" customHeight="1">
      <c r="D790" s="212"/>
      <c r="E790" s="1007"/>
      <c r="F790" s="1007"/>
      <c r="G790" s="212"/>
      <c r="H790" s="212"/>
      <c r="I790" s="212"/>
      <c r="J790" s="212"/>
      <c r="K790" s="212"/>
      <c r="L790" s="212"/>
      <c r="M790" s="212"/>
    </row>
    <row r="791" ht="17.25" customHeight="1">
      <c r="D791" s="212"/>
      <c r="E791" s="1007"/>
      <c r="F791" s="1007"/>
      <c r="G791" s="212"/>
      <c r="H791" s="212"/>
      <c r="I791" s="212"/>
      <c r="J791" s="212"/>
      <c r="K791" s="212"/>
      <c r="L791" s="212"/>
      <c r="M791" s="212"/>
    </row>
    <row r="792" ht="17.25" customHeight="1">
      <c r="D792" s="212"/>
      <c r="E792" s="1007"/>
      <c r="F792" s="1007"/>
      <c r="G792" s="212"/>
      <c r="H792" s="212"/>
      <c r="I792" s="212"/>
      <c r="J792" s="212"/>
      <c r="K792" s="212"/>
      <c r="L792" s="212"/>
      <c r="M792" s="212"/>
    </row>
    <row r="793" ht="17.25" customHeight="1">
      <c r="D793" s="212"/>
      <c r="E793" s="1007"/>
      <c r="F793" s="1007"/>
      <c r="G793" s="212"/>
      <c r="H793" s="212"/>
      <c r="I793" s="212"/>
      <c r="J793" s="212"/>
      <c r="K793" s="212"/>
      <c r="L793" s="212"/>
      <c r="M793" s="212"/>
    </row>
    <row r="794" ht="17.25" customHeight="1">
      <c r="D794" s="212"/>
      <c r="E794" s="1007"/>
      <c r="F794" s="1007"/>
      <c r="G794" s="212"/>
      <c r="H794" s="212"/>
      <c r="I794" s="212"/>
      <c r="J794" s="212"/>
      <c r="K794" s="212"/>
      <c r="L794" s="212"/>
      <c r="M794" s="212"/>
    </row>
    <row r="795" ht="17.25" customHeight="1">
      <c r="D795" s="212"/>
      <c r="E795" s="1007"/>
      <c r="F795" s="1007"/>
      <c r="G795" s="212"/>
      <c r="H795" s="212"/>
      <c r="I795" s="212"/>
      <c r="J795" s="212"/>
      <c r="K795" s="212"/>
      <c r="L795" s="212"/>
      <c r="M795" s="212"/>
    </row>
    <row r="796" ht="17.25" customHeight="1">
      <c r="D796" s="212"/>
      <c r="E796" s="1007"/>
      <c r="F796" s="1007"/>
      <c r="G796" s="212"/>
      <c r="H796" s="212"/>
      <c r="I796" s="212"/>
      <c r="J796" s="212"/>
      <c r="K796" s="212"/>
      <c r="L796" s="212"/>
      <c r="M796" s="212"/>
    </row>
    <row r="797" ht="17.25" customHeight="1">
      <c r="D797" s="212"/>
      <c r="E797" s="1007"/>
      <c r="F797" s="1007"/>
      <c r="G797" s="212"/>
      <c r="H797" s="212"/>
      <c r="I797" s="212"/>
      <c r="J797" s="212"/>
      <c r="K797" s="212"/>
      <c r="L797" s="212"/>
      <c r="M797" s="212"/>
    </row>
    <row r="798" ht="17.25" customHeight="1">
      <c r="D798" s="212"/>
      <c r="E798" s="1007"/>
      <c r="F798" s="1007"/>
      <c r="G798" s="212"/>
      <c r="H798" s="212"/>
      <c r="I798" s="212"/>
      <c r="J798" s="212"/>
      <c r="K798" s="212"/>
      <c r="L798" s="212"/>
      <c r="M798" s="212"/>
    </row>
    <row r="799" ht="17.25" customHeight="1">
      <c r="D799" s="212"/>
      <c r="E799" s="1007"/>
      <c r="F799" s="1007"/>
      <c r="G799" s="212"/>
      <c r="H799" s="212"/>
      <c r="I799" s="212"/>
      <c r="J799" s="212"/>
      <c r="K799" s="212"/>
      <c r="L799" s="212"/>
      <c r="M799" s="212"/>
    </row>
    <row r="800" ht="17.25" customHeight="1">
      <c r="D800" s="212"/>
      <c r="E800" s="1007"/>
      <c r="F800" s="1007"/>
      <c r="G800" s="212"/>
      <c r="H800" s="212"/>
      <c r="I800" s="212"/>
      <c r="J800" s="212"/>
      <c r="K800" s="212"/>
      <c r="L800" s="212"/>
      <c r="M800" s="212"/>
    </row>
    <row r="801" ht="17.25" customHeight="1">
      <c r="D801" s="212"/>
      <c r="E801" s="1007"/>
      <c r="F801" s="1007"/>
      <c r="G801" s="212"/>
      <c r="H801" s="212"/>
      <c r="I801" s="212"/>
      <c r="J801" s="212"/>
      <c r="K801" s="212"/>
      <c r="L801" s="212"/>
      <c r="M801" s="212"/>
    </row>
    <row r="802" ht="17.25" customHeight="1">
      <c r="D802" s="212"/>
      <c r="E802" s="1007"/>
      <c r="F802" s="1007"/>
      <c r="G802" s="212"/>
      <c r="H802" s="212"/>
      <c r="I802" s="212"/>
      <c r="J802" s="212"/>
      <c r="K802" s="212"/>
      <c r="L802" s="212"/>
      <c r="M802" s="212"/>
    </row>
    <row r="803" ht="17.25" customHeight="1">
      <c r="D803" s="212"/>
      <c r="E803" s="1007"/>
      <c r="F803" s="1007"/>
      <c r="G803" s="212"/>
      <c r="H803" s="212"/>
      <c r="I803" s="212"/>
      <c r="J803" s="212"/>
      <c r="K803" s="212"/>
      <c r="L803" s="212"/>
      <c r="M803" s="212"/>
    </row>
    <row r="804" ht="17.25" customHeight="1">
      <c r="D804" s="212"/>
      <c r="E804" s="1007"/>
      <c r="F804" s="1007"/>
      <c r="G804" s="212"/>
      <c r="H804" s="212"/>
      <c r="I804" s="212"/>
      <c r="J804" s="212"/>
      <c r="K804" s="212"/>
      <c r="L804" s="212"/>
      <c r="M804" s="212"/>
    </row>
    <row r="805" ht="17.25" customHeight="1">
      <c r="D805" s="212"/>
      <c r="E805" s="1007"/>
      <c r="F805" s="1007"/>
      <c r="G805" s="212"/>
      <c r="H805" s="212"/>
      <c r="I805" s="212"/>
      <c r="J805" s="212"/>
      <c r="K805" s="212"/>
      <c r="L805" s="212"/>
      <c r="M805" s="212"/>
    </row>
    <row r="806" ht="17.25" customHeight="1">
      <c r="D806" s="212"/>
      <c r="E806" s="1007"/>
      <c r="F806" s="1007"/>
      <c r="G806" s="212"/>
      <c r="H806" s="212"/>
      <c r="I806" s="212"/>
      <c r="J806" s="212"/>
      <c r="K806" s="212"/>
      <c r="L806" s="212"/>
      <c r="M806" s="212"/>
    </row>
    <row r="807" ht="17.25" customHeight="1">
      <c r="D807" s="212"/>
      <c r="E807" s="1007"/>
      <c r="F807" s="1007"/>
      <c r="G807" s="212"/>
      <c r="H807" s="212"/>
      <c r="I807" s="212"/>
      <c r="J807" s="212"/>
      <c r="K807" s="212"/>
      <c r="L807" s="212"/>
      <c r="M807" s="212"/>
    </row>
    <row r="808" ht="17.25" customHeight="1">
      <c r="D808" s="212"/>
      <c r="E808" s="1007"/>
      <c r="F808" s="1007"/>
      <c r="G808" s="212"/>
      <c r="H808" s="212"/>
      <c r="I808" s="212"/>
      <c r="J808" s="212"/>
      <c r="K808" s="212"/>
      <c r="L808" s="212"/>
      <c r="M808" s="212"/>
    </row>
    <row r="809" ht="17.25" customHeight="1">
      <c r="D809" s="212"/>
      <c r="E809" s="1007"/>
      <c r="F809" s="1007"/>
      <c r="G809" s="212"/>
      <c r="H809" s="212"/>
      <c r="I809" s="212"/>
      <c r="J809" s="212"/>
      <c r="K809" s="212"/>
      <c r="L809" s="212"/>
      <c r="M809" s="212"/>
    </row>
    <row r="810" ht="17.25" customHeight="1">
      <c r="D810" s="212"/>
      <c r="E810" s="1007"/>
      <c r="F810" s="1007"/>
      <c r="G810" s="212"/>
      <c r="H810" s="212"/>
      <c r="I810" s="212"/>
      <c r="J810" s="212"/>
      <c r="K810" s="212"/>
      <c r="L810" s="212"/>
      <c r="M810" s="212"/>
    </row>
    <row r="811" ht="17.25" customHeight="1">
      <c r="D811" s="212"/>
      <c r="E811" s="1007"/>
      <c r="F811" s="1007"/>
      <c r="G811" s="212"/>
      <c r="H811" s="212"/>
      <c r="I811" s="212"/>
      <c r="J811" s="212"/>
      <c r="K811" s="212"/>
      <c r="L811" s="212"/>
      <c r="M811" s="212"/>
    </row>
    <row r="812" ht="17.25" customHeight="1">
      <c r="D812" s="212"/>
      <c r="E812" s="1007"/>
      <c r="F812" s="1007"/>
      <c r="G812" s="212"/>
      <c r="H812" s="212"/>
      <c r="I812" s="212"/>
      <c r="J812" s="212"/>
      <c r="K812" s="212"/>
      <c r="L812" s="212"/>
      <c r="M812" s="212"/>
    </row>
    <row r="813" ht="17.25" customHeight="1">
      <c r="D813" s="212"/>
      <c r="E813" s="1007"/>
      <c r="F813" s="1007"/>
      <c r="G813" s="212"/>
      <c r="H813" s="212"/>
      <c r="I813" s="212"/>
      <c r="J813" s="212"/>
      <c r="K813" s="212"/>
      <c r="L813" s="212"/>
      <c r="M813" s="212"/>
    </row>
    <row r="814" ht="17.25" customHeight="1">
      <c r="D814" s="212"/>
      <c r="E814" s="1007"/>
      <c r="F814" s="1007"/>
      <c r="G814" s="212"/>
      <c r="H814" s="212"/>
      <c r="I814" s="212"/>
      <c r="J814" s="212"/>
      <c r="K814" s="212"/>
      <c r="L814" s="212"/>
      <c r="M814" s="212"/>
    </row>
    <row r="815" ht="17.25" customHeight="1">
      <c r="D815" s="212"/>
      <c r="E815" s="1007"/>
      <c r="F815" s="1007"/>
      <c r="G815" s="212"/>
      <c r="H815" s="212"/>
      <c r="I815" s="212"/>
      <c r="J815" s="212"/>
      <c r="K815" s="212"/>
      <c r="L815" s="212"/>
      <c r="M815" s="212"/>
    </row>
    <row r="816" ht="17.25" customHeight="1">
      <c r="D816" s="212"/>
      <c r="E816" s="1007"/>
      <c r="F816" s="1007"/>
      <c r="G816" s="212"/>
      <c r="H816" s="212"/>
      <c r="I816" s="212"/>
      <c r="J816" s="212"/>
      <c r="K816" s="212"/>
      <c r="L816" s="212"/>
      <c r="M816" s="212"/>
    </row>
    <row r="817" ht="17.25" customHeight="1">
      <c r="D817" s="212"/>
      <c r="E817" s="1007"/>
      <c r="F817" s="1007"/>
      <c r="G817" s="212"/>
      <c r="H817" s="212"/>
      <c r="I817" s="212"/>
      <c r="J817" s="212"/>
      <c r="K817" s="212"/>
      <c r="L817" s="212"/>
      <c r="M817" s="212"/>
    </row>
    <row r="818" ht="17.25" customHeight="1">
      <c r="D818" s="212"/>
      <c r="E818" s="1007"/>
      <c r="F818" s="1007"/>
      <c r="G818" s="212"/>
      <c r="H818" s="212"/>
      <c r="I818" s="212"/>
      <c r="J818" s="212"/>
      <c r="K818" s="212"/>
      <c r="L818" s="212"/>
      <c r="M818" s="212"/>
    </row>
    <row r="819" ht="17.25" customHeight="1">
      <c r="D819" s="212"/>
      <c r="E819" s="1007"/>
      <c r="F819" s="1007"/>
      <c r="G819" s="212"/>
      <c r="H819" s="212"/>
      <c r="I819" s="212"/>
      <c r="J819" s="212"/>
      <c r="K819" s="212"/>
      <c r="L819" s="212"/>
      <c r="M819" s="212"/>
    </row>
    <row r="820" ht="17.25" customHeight="1">
      <c r="D820" s="212"/>
      <c r="E820" s="1007"/>
      <c r="F820" s="1007"/>
      <c r="G820" s="212"/>
      <c r="H820" s="212"/>
      <c r="I820" s="212"/>
      <c r="J820" s="212"/>
      <c r="K820" s="212"/>
      <c r="L820" s="212"/>
      <c r="M820" s="212"/>
    </row>
    <row r="821" ht="17.25" customHeight="1">
      <c r="D821" s="212"/>
      <c r="E821" s="1007"/>
      <c r="F821" s="1007"/>
      <c r="G821" s="212"/>
      <c r="H821" s="212"/>
      <c r="I821" s="212"/>
      <c r="J821" s="212"/>
      <c r="K821" s="212"/>
      <c r="L821" s="212"/>
      <c r="M821" s="212"/>
    </row>
    <row r="822" ht="17.25" customHeight="1">
      <c r="D822" s="212"/>
      <c r="E822" s="1007"/>
      <c r="F822" s="1007"/>
      <c r="G822" s="212"/>
      <c r="H822" s="212"/>
      <c r="I822" s="212"/>
      <c r="J822" s="212"/>
      <c r="K822" s="212"/>
      <c r="L822" s="212"/>
      <c r="M822" s="212"/>
    </row>
    <row r="823" ht="17.25" customHeight="1">
      <c r="D823" s="212"/>
      <c r="E823" s="1007"/>
      <c r="F823" s="1007"/>
      <c r="G823" s="212"/>
      <c r="H823" s="212"/>
      <c r="I823" s="212"/>
      <c r="J823" s="212"/>
      <c r="K823" s="212"/>
      <c r="L823" s="212"/>
      <c r="M823" s="212"/>
    </row>
    <row r="824" ht="17.25" customHeight="1">
      <c r="D824" s="212"/>
      <c r="E824" s="1007"/>
      <c r="F824" s="1007"/>
      <c r="G824" s="212"/>
      <c r="H824" s="212"/>
      <c r="I824" s="212"/>
      <c r="J824" s="212"/>
      <c r="K824" s="212"/>
      <c r="L824" s="212"/>
      <c r="M824" s="212"/>
    </row>
    <row r="825" ht="17.25" customHeight="1">
      <c r="D825" s="212"/>
      <c r="E825" s="1007"/>
      <c r="F825" s="1007"/>
      <c r="G825" s="212"/>
      <c r="H825" s="212"/>
      <c r="I825" s="212"/>
      <c r="J825" s="212"/>
      <c r="K825" s="212"/>
      <c r="L825" s="212"/>
      <c r="M825" s="212"/>
    </row>
    <row r="826" ht="17.25" customHeight="1">
      <c r="D826" s="212"/>
      <c r="E826" s="1007"/>
      <c r="F826" s="1007"/>
      <c r="G826" s="212"/>
      <c r="H826" s="212"/>
      <c r="I826" s="212"/>
      <c r="J826" s="212"/>
      <c r="K826" s="212"/>
      <c r="L826" s="212"/>
      <c r="M826" s="212"/>
    </row>
    <row r="827" ht="17.25" customHeight="1">
      <c r="D827" s="212"/>
      <c r="E827" s="1007"/>
      <c r="F827" s="1007"/>
      <c r="G827" s="212"/>
      <c r="H827" s="212"/>
      <c r="I827" s="212"/>
      <c r="J827" s="212"/>
      <c r="K827" s="212"/>
      <c r="L827" s="212"/>
      <c r="M827" s="212"/>
    </row>
    <row r="828" ht="17.25" customHeight="1">
      <c r="D828" s="212"/>
      <c r="E828" s="1007"/>
      <c r="F828" s="1007"/>
      <c r="G828" s="212"/>
      <c r="H828" s="212"/>
      <c r="I828" s="212"/>
      <c r="J828" s="212"/>
      <c r="K828" s="212"/>
      <c r="L828" s="212"/>
      <c r="M828" s="212"/>
    </row>
    <row r="829" ht="17.25" customHeight="1">
      <c r="D829" s="212"/>
      <c r="E829" s="1007"/>
      <c r="F829" s="1007"/>
      <c r="G829" s="212"/>
      <c r="H829" s="212"/>
      <c r="I829" s="212"/>
      <c r="J829" s="212"/>
      <c r="K829" s="212"/>
      <c r="L829" s="212"/>
      <c r="M829" s="212"/>
    </row>
    <row r="830" ht="17.25" customHeight="1">
      <c r="D830" s="212"/>
      <c r="E830" s="1007"/>
      <c r="F830" s="1007"/>
      <c r="G830" s="212"/>
      <c r="H830" s="212"/>
      <c r="I830" s="212"/>
      <c r="J830" s="212"/>
      <c r="K830" s="212"/>
      <c r="L830" s="212"/>
      <c r="M830" s="212"/>
    </row>
    <row r="831" ht="17.25" customHeight="1">
      <c r="D831" s="212"/>
      <c r="E831" s="1007"/>
      <c r="F831" s="1007"/>
      <c r="G831" s="212"/>
      <c r="H831" s="212"/>
      <c r="I831" s="212"/>
      <c r="J831" s="212"/>
      <c r="K831" s="212"/>
      <c r="L831" s="212"/>
      <c r="M831" s="212"/>
    </row>
    <row r="832" ht="17.25" customHeight="1">
      <c r="D832" s="212"/>
      <c r="E832" s="1007"/>
      <c r="F832" s="1007"/>
      <c r="G832" s="212"/>
      <c r="H832" s="212"/>
      <c r="I832" s="212"/>
      <c r="J832" s="212"/>
      <c r="K832" s="212"/>
      <c r="L832" s="212"/>
      <c r="M832" s="212"/>
    </row>
    <row r="833" ht="17.25" customHeight="1">
      <c r="D833" s="212"/>
      <c r="E833" s="1007"/>
      <c r="F833" s="1007"/>
      <c r="G833" s="212"/>
      <c r="H833" s="212"/>
      <c r="I833" s="212"/>
      <c r="J833" s="212"/>
      <c r="K833" s="212"/>
      <c r="L833" s="212"/>
      <c r="M833" s="212"/>
    </row>
    <row r="834" ht="17.25" customHeight="1">
      <c r="D834" s="212"/>
      <c r="E834" s="1007"/>
      <c r="F834" s="1007"/>
      <c r="G834" s="212"/>
      <c r="H834" s="212"/>
      <c r="I834" s="212"/>
      <c r="J834" s="212"/>
      <c r="K834" s="212"/>
      <c r="L834" s="212"/>
      <c r="M834" s="212"/>
    </row>
    <row r="835" ht="17.25" customHeight="1">
      <c r="D835" s="212"/>
      <c r="E835" s="1007"/>
      <c r="F835" s="1007"/>
      <c r="G835" s="212"/>
      <c r="H835" s="212"/>
      <c r="I835" s="212"/>
      <c r="J835" s="212"/>
      <c r="K835" s="212"/>
      <c r="L835" s="212"/>
      <c r="M835" s="212"/>
    </row>
    <row r="836" ht="17.25" customHeight="1">
      <c r="D836" s="212"/>
      <c r="E836" s="1007"/>
      <c r="F836" s="1007"/>
      <c r="G836" s="212"/>
      <c r="H836" s="212"/>
      <c r="I836" s="212"/>
      <c r="J836" s="212"/>
      <c r="K836" s="212"/>
      <c r="L836" s="212"/>
      <c r="M836" s="212"/>
    </row>
    <row r="837" ht="17.25" customHeight="1">
      <c r="D837" s="212"/>
      <c r="E837" s="1007"/>
      <c r="F837" s="1007"/>
      <c r="G837" s="212"/>
      <c r="H837" s="212"/>
      <c r="I837" s="212"/>
      <c r="J837" s="212"/>
      <c r="K837" s="212"/>
      <c r="L837" s="212"/>
      <c r="M837" s="212"/>
    </row>
    <row r="838" ht="17.25" customHeight="1">
      <c r="D838" s="212"/>
      <c r="E838" s="1007"/>
      <c r="F838" s="1007"/>
      <c r="G838" s="212"/>
      <c r="H838" s="212"/>
      <c r="I838" s="212"/>
      <c r="J838" s="212"/>
      <c r="K838" s="212"/>
      <c r="L838" s="212"/>
      <c r="M838" s="212"/>
    </row>
    <row r="839" ht="17.25" customHeight="1">
      <c r="D839" s="212"/>
      <c r="E839" s="1007"/>
      <c r="F839" s="1007"/>
      <c r="G839" s="212"/>
      <c r="H839" s="212"/>
      <c r="I839" s="212"/>
      <c r="J839" s="212"/>
      <c r="K839" s="212"/>
      <c r="L839" s="212"/>
      <c r="M839" s="212"/>
    </row>
    <row r="840" ht="17.25" customHeight="1">
      <c r="D840" s="212"/>
      <c r="E840" s="1007"/>
      <c r="F840" s="1007"/>
      <c r="G840" s="212"/>
      <c r="H840" s="212"/>
      <c r="I840" s="212"/>
      <c r="J840" s="212"/>
      <c r="K840" s="212"/>
      <c r="L840" s="212"/>
      <c r="M840" s="212"/>
    </row>
    <row r="841" ht="17.25" customHeight="1">
      <c r="D841" s="212"/>
      <c r="E841" s="1007"/>
      <c r="F841" s="1007"/>
      <c r="G841" s="212"/>
      <c r="H841" s="212"/>
      <c r="I841" s="212"/>
      <c r="J841" s="212"/>
      <c r="K841" s="212"/>
      <c r="L841" s="212"/>
      <c r="M841" s="212"/>
    </row>
    <row r="842" ht="17.25" customHeight="1">
      <c r="D842" s="212"/>
      <c r="E842" s="1007"/>
      <c r="F842" s="1007"/>
      <c r="G842" s="212"/>
      <c r="H842" s="212"/>
      <c r="I842" s="212"/>
      <c r="J842" s="212"/>
      <c r="K842" s="212"/>
      <c r="L842" s="212"/>
      <c r="M842" s="212"/>
    </row>
    <row r="843" ht="17.25" customHeight="1">
      <c r="D843" s="212"/>
      <c r="E843" s="1007"/>
      <c r="F843" s="1007"/>
      <c r="G843" s="212"/>
      <c r="H843" s="212"/>
      <c r="I843" s="212"/>
      <c r="J843" s="212"/>
      <c r="K843" s="212"/>
      <c r="L843" s="212"/>
      <c r="M843" s="212"/>
    </row>
    <row r="844" ht="17.25" customHeight="1">
      <c r="D844" s="212"/>
      <c r="E844" s="1007"/>
      <c r="F844" s="1007"/>
      <c r="G844" s="212"/>
      <c r="H844" s="212"/>
      <c r="I844" s="212"/>
      <c r="J844" s="212"/>
      <c r="K844" s="212"/>
      <c r="L844" s="212"/>
      <c r="M844" s="212"/>
    </row>
    <row r="845" ht="17.25" customHeight="1">
      <c r="D845" s="212"/>
      <c r="E845" s="1007"/>
      <c r="F845" s="1007"/>
      <c r="G845" s="212"/>
      <c r="H845" s="212"/>
      <c r="I845" s="212"/>
      <c r="J845" s="212"/>
      <c r="K845" s="212"/>
      <c r="L845" s="212"/>
      <c r="M845" s="212"/>
    </row>
    <row r="846" ht="17.25" customHeight="1">
      <c r="D846" s="212"/>
      <c r="E846" s="1007"/>
      <c r="F846" s="1007"/>
      <c r="G846" s="212"/>
      <c r="H846" s="212"/>
      <c r="I846" s="212"/>
      <c r="J846" s="212"/>
      <c r="K846" s="212"/>
      <c r="L846" s="212"/>
      <c r="M846" s="212"/>
    </row>
    <row r="847" ht="17.25" customHeight="1">
      <c r="D847" s="212"/>
      <c r="E847" s="1007"/>
      <c r="F847" s="1007"/>
      <c r="G847" s="212"/>
      <c r="H847" s="212"/>
      <c r="I847" s="212"/>
      <c r="J847" s="212"/>
      <c r="K847" s="212"/>
      <c r="L847" s="212"/>
      <c r="M847" s="212"/>
    </row>
    <row r="848" ht="17.25" customHeight="1">
      <c r="D848" s="212"/>
      <c r="E848" s="1007"/>
      <c r="F848" s="1007"/>
      <c r="G848" s="212"/>
      <c r="H848" s="212"/>
      <c r="I848" s="212"/>
      <c r="J848" s="212"/>
      <c r="K848" s="212"/>
      <c r="L848" s="212"/>
      <c r="M848" s="212"/>
    </row>
    <row r="849" ht="17.25" customHeight="1">
      <c r="D849" s="212"/>
      <c r="E849" s="1007"/>
      <c r="F849" s="1007"/>
      <c r="G849" s="212"/>
      <c r="H849" s="212"/>
      <c r="I849" s="212"/>
      <c r="J849" s="212"/>
      <c r="K849" s="212"/>
      <c r="L849" s="212"/>
      <c r="M849" s="212"/>
    </row>
    <row r="850" ht="17.25" customHeight="1">
      <c r="D850" s="212"/>
      <c r="E850" s="1007"/>
      <c r="F850" s="1007"/>
      <c r="G850" s="212"/>
      <c r="H850" s="212"/>
      <c r="I850" s="212"/>
      <c r="J850" s="212"/>
      <c r="K850" s="212"/>
      <c r="L850" s="212"/>
      <c r="M850" s="212"/>
    </row>
    <row r="851" ht="17.25" customHeight="1">
      <c r="D851" s="212"/>
      <c r="E851" s="1007"/>
      <c r="F851" s="1007"/>
      <c r="G851" s="212"/>
      <c r="H851" s="212"/>
      <c r="I851" s="212"/>
      <c r="J851" s="212"/>
      <c r="K851" s="212"/>
      <c r="L851" s="212"/>
      <c r="M851" s="212"/>
    </row>
    <row r="852" ht="17.25" customHeight="1">
      <c r="D852" s="212"/>
      <c r="E852" s="1007"/>
      <c r="F852" s="1007"/>
      <c r="G852" s="212"/>
      <c r="H852" s="212"/>
      <c r="I852" s="212"/>
      <c r="J852" s="212"/>
      <c r="K852" s="212"/>
      <c r="L852" s="212"/>
      <c r="M852" s="212"/>
    </row>
    <row r="853" ht="17.25" customHeight="1">
      <c r="D853" s="212"/>
      <c r="E853" s="1007"/>
      <c r="F853" s="1007"/>
      <c r="G853" s="212"/>
      <c r="H853" s="212"/>
      <c r="I853" s="212"/>
      <c r="J853" s="212"/>
      <c r="K853" s="212"/>
      <c r="L853" s="212"/>
      <c r="M853" s="212"/>
    </row>
    <row r="854" ht="17.25" customHeight="1">
      <c r="D854" s="212"/>
      <c r="E854" s="1007"/>
      <c r="F854" s="1007"/>
      <c r="G854" s="212"/>
      <c r="H854" s="212"/>
      <c r="I854" s="212"/>
      <c r="J854" s="212"/>
      <c r="K854" s="212"/>
      <c r="L854" s="212"/>
      <c r="M854" s="212"/>
    </row>
    <row r="855" ht="17.25" customHeight="1">
      <c r="D855" s="212"/>
      <c r="E855" s="1007"/>
      <c r="F855" s="1007"/>
      <c r="G855" s="212"/>
      <c r="H855" s="212"/>
      <c r="I855" s="212"/>
      <c r="J855" s="212"/>
      <c r="K855" s="212"/>
      <c r="L855" s="212"/>
      <c r="M855" s="212"/>
    </row>
    <row r="856" ht="17.25" customHeight="1">
      <c r="D856" s="212"/>
      <c r="E856" s="1007"/>
      <c r="F856" s="1007"/>
      <c r="G856" s="212"/>
      <c r="H856" s="212"/>
      <c r="I856" s="212"/>
      <c r="J856" s="212"/>
      <c r="K856" s="212"/>
      <c r="L856" s="212"/>
      <c r="M856" s="212"/>
    </row>
    <row r="857" ht="17.25" customHeight="1">
      <c r="D857" s="212"/>
      <c r="E857" s="1007"/>
      <c r="F857" s="1007"/>
      <c r="G857" s="212"/>
      <c r="H857" s="212"/>
      <c r="I857" s="212"/>
      <c r="J857" s="212"/>
      <c r="K857" s="212"/>
      <c r="L857" s="212"/>
      <c r="M857" s="212"/>
    </row>
    <row r="858" ht="17.25" customHeight="1">
      <c r="D858" s="212"/>
      <c r="E858" s="1007"/>
      <c r="F858" s="1007"/>
      <c r="G858" s="212"/>
      <c r="H858" s="212"/>
      <c r="I858" s="212"/>
      <c r="J858" s="212"/>
      <c r="K858" s="212"/>
      <c r="L858" s="212"/>
      <c r="M858" s="212"/>
    </row>
    <row r="859" ht="17.25" customHeight="1">
      <c r="D859" s="212"/>
      <c r="E859" s="1007"/>
      <c r="F859" s="1007"/>
      <c r="G859" s="212"/>
      <c r="H859" s="212"/>
      <c r="I859" s="212"/>
      <c r="J859" s="212"/>
      <c r="K859" s="212"/>
      <c r="L859" s="212"/>
      <c r="M859" s="212"/>
    </row>
    <row r="860" ht="17.25" customHeight="1">
      <c r="D860" s="212"/>
      <c r="E860" s="1007"/>
      <c r="F860" s="1007"/>
      <c r="G860" s="212"/>
      <c r="H860" s="212"/>
      <c r="I860" s="212"/>
      <c r="J860" s="212"/>
      <c r="K860" s="212"/>
      <c r="L860" s="212"/>
      <c r="M860" s="212"/>
    </row>
    <row r="861" ht="17.25" customHeight="1">
      <c r="D861" s="212"/>
      <c r="E861" s="1007"/>
      <c r="F861" s="1007"/>
      <c r="G861" s="212"/>
      <c r="H861" s="212"/>
      <c r="I861" s="212"/>
      <c r="J861" s="212"/>
      <c r="K861" s="212"/>
      <c r="L861" s="212"/>
      <c r="M861" s="212"/>
    </row>
    <row r="862" ht="17.25" customHeight="1">
      <c r="D862" s="212"/>
      <c r="E862" s="1007"/>
      <c r="F862" s="1007"/>
      <c r="G862" s="212"/>
      <c r="H862" s="212"/>
      <c r="I862" s="212"/>
      <c r="J862" s="212"/>
      <c r="K862" s="212"/>
      <c r="L862" s="212"/>
      <c r="M862" s="212"/>
    </row>
    <row r="863" ht="17.25" customHeight="1">
      <c r="D863" s="212"/>
      <c r="E863" s="1007"/>
      <c r="F863" s="1007"/>
      <c r="G863" s="212"/>
      <c r="H863" s="212"/>
      <c r="I863" s="212"/>
      <c r="J863" s="212"/>
      <c r="K863" s="212"/>
      <c r="L863" s="212"/>
      <c r="M863" s="212"/>
    </row>
    <row r="864" ht="17.25" customHeight="1">
      <c r="D864" s="212"/>
      <c r="E864" s="1007"/>
      <c r="F864" s="1007"/>
      <c r="G864" s="212"/>
      <c r="H864" s="212"/>
      <c r="I864" s="212"/>
      <c r="J864" s="212"/>
      <c r="K864" s="212"/>
      <c r="L864" s="212"/>
      <c r="M864" s="212"/>
    </row>
    <row r="865" ht="17.25" customHeight="1">
      <c r="D865" s="212"/>
      <c r="E865" s="1007"/>
      <c r="F865" s="1007"/>
      <c r="G865" s="212"/>
      <c r="H865" s="212"/>
      <c r="I865" s="212"/>
      <c r="J865" s="212"/>
      <c r="K865" s="212"/>
      <c r="L865" s="212"/>
      <c r="M865" s="212"/>
    </row>
    <row r="866" ht="17.25" customHeight="1">
      <c r="D866" s="212"/>
      <c r="E866" s="1007"/>
      <c r="F866" s="1007"/>
      <c r="G866" s="212"/>
      <c r="H866" s="212"/>
      <c r="I866" s="212"/>
      <c r="J866" s="212"/>
      <c r="K866" s="212"/>
      <c r="L866" s="212"/>
      <c r="M866" s="212"/>
    </row>
    <row r="867" ht="17.25" customHeight="1">
      <c r="D867" s="212"/>
      <c r="E867" s="1007"/>
      <c r="F867" s="1007"/>
      <c r="G867" s="212"/>
      <c r="H867" s="212"/>
      <c r="I867" s="212"/>
      <c r="J867" s="212"/>
      <c r="K867" s="212"/>
      <c r="L867" s="212"/>
      <c r="M867" s="212"/>
    </row>
    <row r="868" ht="17.25" customHeight="1">
      <c r="D868" s="212"/>
      <c r="E868" s="1007"/>
      <c r="F868" s="1007"/>
      <c r="G868" s="212"/>
      <c r="H868" s="212"/>
      <c r="I868" s="212"/>
      <c r="J868" s="212"/>
      <c r="K868" s="212"/>
      <c r="L868" s="212"/>
      <c r="M868" s="212"/>
    </row>
    <row r="869" ht="17.25" customHeight="1">
      <c r="D869" s="212"/>
      <c r="E869" s="1007"/>
      <c r="F869" s="1007"/>
      <c r="G869" s="212"/>
      <c r="H869" s="212"/>
      <c r="I869" s="212"/>
      <c r="J869" s="212"/>
      <c r="K869" s="212"/>
      <c r="L869" s="212"/>
      <c r="M869" s="212"/>
    </row>
    <row r="870" ht="17.25" customHeight="1">
      <c r="D870" s="212"/>
      <c r="E870" s="1007"/>
      <c r="F870" s="1007"/>
      <c r="G870" s="212"/>
      <c r="H870" s="212"/>
      <c r="I870" s="212"/>
      <c r="J870" s="212"/>
      <c r="K870" s="212"/>
      <c r="L870" s="212"/>
      <c r="M870" s="212"/>
    </row>
    <row r="871" ht="17.25" customHeight="1">
      <c r="D871" s="212"/>
      <c r="E871" s="1007"/>
      <c r="F871" s="1007"/>
      <c r="G871" s="212"/>
      <c r="H871" s="212"/>
      <c r="I871" s="212"/>
      <c r="J871" s="212"/>
      <c r="K871" s="212"/>
      <c r="L871" s="212"/>
      <c r="M871" s="212"/>
    </row>
    <row r="872" ht="17.25" customHeight="1">
      <c r="D872" s="212"/>
      <c r="E872" s="1007"/>
      <c r="F872" s="1007"/>
      <c r="G872" s="212"/>
      <c r="H872" s="212"/>
      <c r="I872" s="212"/>
      <c r="J872" s="212"/>
      <c r="K872" s="212"/>
      <c r="L872" s="212"/>
      <c r="M872" s="212"/>
    </row>
    <row r="873" ht="17.25" customHeight="1">
      <c r="D873" s="212"/>
      <c r="E873" s="1007"/>
      <c r="F873" s="1007"/>
      <c r="G873" s="212"/>
      <c r="H873" s="212"/>
      <c r="I873" s="212"/>
      <c r="J873" s="212"/>
      <c r="K873" s="212"/>
      <c r="L873" s="212"/>
      <c r="M873" s="212"/>
    </row>
    <row r="874" ht="17.25" customHeight="1">
      <c r="D874" s="212"/>
      <c r="E874" s="1007"/>
      <c r="F874" s="1007"/>
      <c r="G874" s="212"/>
      <c r="H874" s="212"/>
      <c r="I874" s="212"/>
      <c r="J874" s="212"/>
      <c r="K874" s="212"/>
      <c r="L874" s="212"/>
      <c r="M874" s="212"/>
    </row>
    <row r="875" ht="17.25" customHeight="1">
      <c r="D875" s="212"/>
      <c r="E875" s="1007"/>
      <c r="F875" s="1007"/>
      <c r="G875" s="212"/>
      <c r="H875" s="212"/>
      <c r="I875" s="212"/>
      <c r="J875" s="212"/>
      <c r="K875" s="212"/>
      <c r="L875" s="212"/>
      <c r="M875" s="212"/>
    </row>
    <row r="876" ht="17.25" customHeight="1">
      <c r="D876" s="212"/>
      <c r="E876" s="1007"/>
      <c r="F876" s="1007"/>
      <c r="G876" s="212"/>
      <c r="H876" s="212"/>
      <c r="I876" s="212"/>
      <c r="J876" s="212"/>
      <c r="K876" s="212"/>
      <c r="L876" s="212"/>
      <c r="M876" s="212"/>
    </row>
    <row r="877" ht="17.25" customHeight="1">
      <c r="D877" s="212"/>
      <c r="E877" s="1007"/>
      <c r="F877" s="1007"/>
      <c r="G877" s="212"/>
      <c r="H877" s="212"/>
      <c r="I877" s="212"/>
      <c r="J877" s="212"/>
      <c r="K877" s="212"/>
      <c r="L877" s="212"/>
      <c r="M877" s="212"/>
    </row>
    <row r="878" ht="17.25" customHeight="1">
      <c r="D878" s="212"/>
      <c r="E878" s="1007"/>
      <c r="F878" s="1007"/>
      <c r="G878" s="212"/>
      <c r="H878" s="212"/>
      <c r="I878" s="212"/>
      <c r="J878" s="212"/>
      <c r="K878" s="212"/>
      <c r="L878" s="212"/>
      <c r="M878" s="212"/>
    </row>
    <row r="879" ht="17.25" customHeight="1">
      <c r="D879" s="212"/>
      <c r="E879" s="1007"/>
      <c r="F879" s="1007"/>
      <c r="G879" s="212"/>
      <c r="H879" s="212"/>
      <c r="I879" s="212"/>
      <c r="J879" s="212"/>
      <c r="K879" s="212"/>
      <c r="L879" s="212"/>
      <c r="M879" s="212"/>
    </row>
    <row r="880" ht="17.25" customHeight="1">
      <c r="D880" s="212"/>
      <c r="E880" s="1007"/>
      <c r="F880" s="1007"/>
      <c r="G880" s="212"/>
      <c r="H880" s="212"/>
      <c r="I880" s="212"/>
      <c r="J880" s="212"/>
      <c r="K880" s="212"/>
      <c r="L880" s="212"/>
      <c r="M880" s="212"/>
    </row>
    <row r="881" ht="17.25" customHeight="1">
      <c r="D881" s="212"/>
      <c r="E881" s="1007"/>
      <c r="F881" s="1007"/>
      <c r="G881" s="212"/>
      <c r="H881" s="212"/>
      <c r="I881" s="212"/>
      <c r="J881" s="212"/>
      <c r="K881" s="212"/>
      <c r="L881" s="212"/>
      <c r="M881" s="212"/>
    </row>
    <row r="882" ht="17.25" customHeight="1">
      <c r="D882" s="212"/>
      <c r="E882" s="1007"/>
      <c r="F882" s="1007"/>
      <c r="G882" s="212"/>
      <c r="H882" s="212"/>
      <c r="I882" s="212"/>
      <c r="J882" s="212"/>
      <c r="K882" s="212"/>
      <c r="L882" s="212"/>
      <c r="M882" s="212"/>
    </row>
    <row r="883" ht="17.25" customHeight="1">
      <c r="D883" s="212"/>
      <c r="E883" s="1007"/>
      <c r="F883" s="1007"/>
      <c r="G883" s="212"/>
      <c r="H883" s="212"/>
      <c r="I883" s="212"/>
      <c r="J883" s="212"/>
      <c r="K883" s="212"/>
      <c r="L883" s="212"/>
      <c r="M883" s="212"/>
    </row>
    <row r="884" ht="17.25" customHeight="1">
      <c r="D884" s="212"/>
      <c r="E884" s="1007"/>
      <c r="F884" s="1007"/>
      <c r="G884" s="212"/>
      <c r="H884" s="212"/>
      <c r="I884" s="212"/>
      <c r="J884" s="212"/>
      <c r="K884" s="212"/>
      <c r="L884" s="212"/>
      <c r="M884" s="212"/>
    </row>
    <row r="885" ht="17.25" customHeight="1">
      <c r="D885" s="212"/>
      <c r="E885" s="1007"/>
      <c r="F885" s="1007"/>
      <c r="G885" s="212"/>
      <c r="H885" s="212"/>
      <c r="I885" s="212"/>
      <c r="J885" s="212"/>
      <c r="K885" s="212"/>
      <c r="L885" s="212"/>
      <c r="M885" s="212"/>
    </row>
    <row r="886" ht="17.25" customHeight="1">
      <c r="D886" s="212"/>
      <c r="E886" s="1007"/>
      <c r="F886" s="1007"/>
      <c r="G886" s="212"/>
      <c r="H886" s="212"/>
      <c r="I886" s="212"/>
      <c r="J886" s="212"/>
      <c r="K886" s="212"/>
      <c r="L886" s="212"/>
      <c r="M886" s="212"/>
    </row>
    <row r="887" ht="17.25" customHeight="1">
      <c r="D887" s="212"/>
      <c r="E887" s="1007"/>
      <c r="F887" s="1007"/>
      <c r="G887" s="212"/>
      <c r="H887" s="212"/>
      <c r="I887" s="212"/>
      <c r="J887" s="212"/>
      <c r="K887" s="212"/>
      <c r="L887" s="212"/>
      <c r="M887" s="212"/>
    </row>
    <row r="888" ht="17.25" customHeight="1">
      <c r="D888" s="212"/>
      <c r="E888" s="1007"/>
      <c r="F888" s="1007"/>
      <c r="G888" s="212"/>
      <c r="H888" s="212"/>
      <c r="I888" s="212"/>
      <c r="J888" s="212"/>
      <c r="K888" s="212"/>
      <c r="L888" s="212"/>
      <c r="M888" s="212"/>
    </row>
    <row r="889" ht="17.25" customHeight="1">
      <c r="D889" s="212"/>
      <c r="E889" s="1007"/>
      <c r="F889" s="1007"/>
      <c r="G889" s="212"/>
      <c r="H889" s="212"/>
      <c r="I889" s="212"/>
      <c r="J889" s="212"/>
      <c r="K889" s="212"/>
      <c r="L889" s="212"/>
      <c r="M889" s="212"/>
    </row>
    <row r="890" ht="17.25" customHeight="1">
      <c r="D890" s="212"/>
      <c r="E890" s="1007"/>
      <c r="F890" s="1007"/>
      <c r="G890" s="212"/>
      <c r="H890" s="212"/>
      <c r="I890" s="212"/>
      <c r="J890" s="212"/>
      <c r="K890" s="212"/>
      <c r="L890" s="212"/>
      <c r="M890" s="212"/>
    </row>
    <row r="891" ht="17.25" customHeight="1">
      <c r="D891" s="212"/>
      <c r="E891" s="1007"/>
      <c r="F891" s="1007"/>
      <c r="G891" s="212"/>
      <c r="H891" s="212"/>
      <c r="I891" s="212"/>
      <c r="J891" s="212"/>
      <c r="K891" s="212"/>
      <c r="L891" s="212"/>
      <c r="M891" s="212"/>
    </row>
    <row r="892" ht="17.25" customHeight="1">
      <c r="D892" s="212"/>
      <c r="E892" s="1007"/>
      <c r="F892" s="1007"/>
      <c r="G892" s="212"/>
      <c r="H892" s="212"/>
      <c r="I892" s="212"/>
      <c r="J892" s="212"/>
      <c r="K892" s="212"/>
      <c r="L892" s="212"/>
      <c r="M892" s="212"/>
    </row>
    <row r="893" ht="17.25" customHeight="1">
      <c r="D893" s="212"/>
      <c r="E893" s="1007"/>
      <c r="F893" s="1007"/>
      <c r="G893" s="212"/>
      <c r="H893" s="212"/>
      <c r="I893" s="212"/>
      <c r="J893" s="212"/>
      <c r="K893" s="212"/>
      <c r="L893" s="212"/>
      <c r="M893" s="212"/>
    </row>
    <row r="894" ht="17.25" customHeight="1">
      <c r="D894" s="212"/>
      <c r="E894" s="1007"/>
      <c r="F894" s="1007"/>
      <c r="G894" s="212"/>
      <c r="H894" s="212"/>
      <c r="I894" s="212"/>
      <c r="J894" s="212"/>
      <c r="K894" s="212"/>
      <c r="L894" s="212"/>
      <c r="M894" s="212"/>
    </row>
    <row r="895" ht="17.25" customHeight="1">
      <c r="D895" s="212"/>
      <c r="E895" s="1007"/>
      <c r="F895" s="1007"/>
      <c r="G895" s="212"/>
      <c r="H895" s="212"/>
      <c r="I895" s="212"/>
      <c r="J895" s="212"/>
      <c r="K895" s="212"/>
      <c r="L895" s="212"/>
      <c r="M895" s="212"/>
    </row>
    <row r="896" ht="17.25" customHeight="1">
      <c r="D896" s="212"/>
      <c r="E896" s="1007"/>
      <c r="F896" s="1007"/>
      <c r="G896" s="212"/>
      <c r="H896" s="212"/>
      <c r="I896" s="212"/>
      <c r="J896" s="212"/>
      <c r="K896" s="212"/>
      <c r="L896" s="212"/>
      <c r="M896" s="212"/>
    </row>
    <row r="897" ht="17.25" customHeight="1">
      <c r="D897" s="212"/>
      <c r="E897" s="1007"/>
      <c r="F897" s="1007"/>
      <c r="G897" s="212"/>
      <c r="H897" s="212"/>
      <c r="I897" s="212"/>
      <c r="J897" s="212"/>
      <c r="K897" s="212"/>
      <c r="L897" s="212"/>
      <c r="M897" s="212"/>
    </row>
    <row r="898" ht="17.25" customHeight="1">
      <c r="D898" s="212"/>
      <c r="E898" s="1007"/>
      <c r="F898" s="1007"/>
      <c r="G898" s="212"/>
      <c r="H898" s="212"/>
      <c r="I898" s="212"/>
      <c r="J898" s="212"/>
      <c r="K898" s="212"/>
      <c r="L898" s="212"/>
      <c r="M898" s="212"/>
    </row>
    <row r="899" ht="17.25" customHeight="1">
      <c r="D899" s="212"/>
      <c r="E899" s="1007"/>
      <c r="F899" s="1007"/>
      <c r="G899" s="212"/>
      <c r="H899" s="212"/>
      <c r="I899" s="212"/>
      <c r="J899" s="212"/>
      <c r="K899" s="212"/>
      <c r="L899" s="212"/>
      <c r="M899" s="212"/>
    </row>
    <row r="900" ht="17.25" customHeight="1">
      <c r="D900" s="212"/>
      <c r="E900" s="1007"/>
      <c r="F900" s="1007"/>
      <c r="G900" s="212"/>
      <c r="H900" s="212"/>
      <c r="I900" s="212"/>
      <c r="J900" s="212"/>
      <c r="K900" s="212"/>
      <c r="L900" s="212"/>
      <c r="M900" s="212"/>
    </row>
    <row r="901" ht="17.25" customHeight="1">
      <c r="D901" s="212"/>
      <c r="E901" s="1007"/>
      <c r="F901" s="1007"/>
      <c r="G901" s="212"/>
      <c r="H901" s="212"/>
      <c r="I901" s="212"/>
      <c r="J901" s="212"/>
      <c r="K901" s="212"/>
      <c r="L901" s="212"/>
      <c r="M901" s="212"/>
    </row>
    <row r="902" ht="17.25" customHeight="1">
      <c r="D902" s="212"/>
      <c r="E902" s="1007"/>
      <c r="F902" s="1007"/>
      <c r="G902" s="212"/>
      <c r="H902" s="212"/>
      <c r="I902" s="212"/>
      <c r="J902" s="212"/>
      <c r="K902" s="212"/>
      <c r="L902" s="212"/>
      <c r="M902" s="212"/>
    </row>
    <row r="903" ht="17.25" customHeight="1">
      <c r="D903" s="212"/>
      <c r="E903" s="1007"/>
      <c r="F903" s="1007"/>
      <c r="G903" s="212"/>
      <c r="H903" s="212"/>
      <c r="I903" s="212"/>
      <c r="J903" s="212"/>
      <c r="K903" s="212"/>
      <c r="L903" s="212"/>
      <c r="M903" s="212"/>
    </row>
    <row r="904" ht="17.25" customHeight="1">
      <c r="D904" s="212"/>
      <c r="E904" s="1007"/>
      <c r="F904" s="1007"/>
      <c r="G904" s="212"/>
      <c r="H904" s="212"/>
      <c r="I904" s="212"/>
      <c r="J904" s="212"/>
      <c r="K904" s="212"/>
      <c r="L904" s="212"/>
      <c r="M904" s="212"/>
    </row>
    <row r="905" ht="17.25" customHeight="1">
      <c r="D905" s="212"/>
      <c r="E905" s="1007"/>
      <c r="F905" s="1007"/>
      <c r="G905" s="212"/>
      <c r="H905" s="212"/>
      <c r="I905" s="212"/>
      <c r="J905" s="212"/>
      <c r="K905" s="212"/>
      <c r="L905" s="212"/>
      <c r="M905" s="212"/>
    </row>
    <row r="906" ht="17.25" customHeight="1">
      <c r="D906" s="212"/>
      <c r="E906" s="1007"/>
      <c r="F906" s="1007"/>
      <c r="G906" s="212"/>
      <c r="H906" s="212"/>
      <c r="I906" s="212"/>
      <c r="J906" s="212"/>
      <c r="K906" s="212"/>
      <c r="L906" s="212"/>
      <c r="M906" s="212"/>
    </row>
    <row r="907" ht="17.25" customHeight="1">
      <c r="D907" s="212"/>
      <c r="E907" s="1007"/>
      <c r="F907" s="1007"/>
      <c r="G907" s="212"/>
      <c r="H907" s="212"/>
      <c r="I907" s="212"/>
      <c r="J907" s="212"/>
      <c r="K907" s="212"/>
      <c r="L907" s="212"/>
      <c r="M907" s="212"/>
    </row>
    <row r="908" ht="17.25" customHeight="1">
      <c r="D908" s="212"/>
      <c r="E908" s="1007"/>
      <c r="F908" s="1007"/>
      <c r="G908" s="212"/>
      <c r="H908" s="212"/>
      <c r="I908" s="212"/>
      <c r="J908" s="212"/>
      <c r="K908" s="212"/>
      <c r="L908" s="212"/>
      <c r="M908" s="212"/>
    </row>
    <row r="909" ht="17.25" customHeight="1">
      <c r="D909" s="212"/>
      <c r="E909" s="1007"/>
      <c r="F909" s="1007"/>
      <c r="G909" s="212"/>
      <c r="H909" s="212"/>
      <c r="I909" s="212"/>
      <c r="J909" s="212"/>
      <c r="K909" s="212"/>
      <c r="L909" s="212"/>
      <c r="M909" s="212"/>
    </row>
    <row r="910" ht="17.25" customHeight="1">
      <c r="D910" s="212"/>
      <c r="E910" s="1007"/>
      <c r="F910" s="1007"/>
      <c r="G910" s="212"/>
      <c r="H910" s="212"/>
      <c r="I910" s="212"/>
      <c r="J910" s="212"/>
      <c r="K910" s="212"/>
      <c r="L910" s="212"/>
      <c r="M910" s="212"/>
    </row>
    <row r="911" ht="17.25" customHeight="1">
      <c r="D911" s="212"/>
      <c r="E911" s="1007"/>
      <c r="F911" s="1007"/>
      <c r="G911" s="212"/>
      <c r="H911" s="212"/>
      <c r="I911" s="212"/>
      <c r="J911" s="212"/>
      <c r="K911" s="212"/>
      <c r="L911" s="212"/>
      <c r="M911" s="212"/>
    </row>
    <row r="912" ht="17.25" customHeight="1">
      <c r="D912" s="212"/>
      <c r="E912" s="1007"/>
      <c r="F912" s="1007"/>
      <c r="G912" s="212"/>
      <c r="H912" s="212"/>
      <c r="I912" s="212"/>
      <c r="J912" s="212"/>
      <c r="K912" s="212"/>
      <c r="L912" s="212"/>
      <c r="M912" s="212"/>
    </row>
    <row r="913" ht="17.25" customHeight="1">
      <c r="D913" s="212"/>
      <c r="E913" s="1007"/>
      <c r="F913" s="1007"/>
      <c r="G913" s="212"/>
      <c r="H913" s="212"/>
      <c r="I913" s="212"/>
      <c r="J913" s="212"/>
      <c r="K913" s="212"/>
      <c r="L913" s="212"/>
      <c r="M913" s="212"/>
    </row>
    <row r="914" ht="17.25" customHeight="1">
      <c r="D914" s="212"/>
      <c r="E914" s="1007"/>
      <c r="F914" s="1007"/>
      <c r="G914" s="212"/>
      <c r="H914" s="212"/>
      <c r="I914" s="212"/>
      <c r="J914" s="212"/>
      <c r="K914" s="212"/>
      <c r="L914" s="212"/>
      <c r="M914" s="212"/>
    </row>
    <row r="915" ht="17.25" customHeight="1">
      <c r="D915" s="212"/>
      <c r="E915" s="1007"/>
      <c r="F915" s="1007"/>
      <c r="G915" s="212"/>
      <c r="H915" s="212"/>
      <c r="I915" s="212"/>
      <c r="J915" s="212"/>
      <c r="K915" s="212"/>
      <c r="L915" s="212"/>
      <c r="M915" s="212"/>
    </row>
    <row r="916" ht="17.25" customHeight="1">
      <c r="D916" s="212"/>
      <c r="E916" s="1007"/>
      <c r="F916" s="1007"/>
      <c r="G916" s="212"/>
      <c r="H916" s="212"/>
      <c r="I916" s="212"/>
      <c r="J916" s="212"/>
      <c r="K916" s="212"/>
      <c r="L916" s="212"/>
      <c r="M916" s="212"/>
    </row>
    <row r="917" ht="17.25" customHeight="1">
      <c r="D917" s="212"/>
      <c r="E917" s="1007"/>
      <c r="F917" s="1007"/>
      <c r="G917" s="212"/>
      <c r="H917" s="212"/>
      <c r="I917" s="212"/>
      <c r="J917" s="212"/>
      <c r="K917" s="212"/>
      <c r="L917" s="212"/>
      <c r="M917" s="212"/>
    </row>
    <row r="918" ht="17.25" customHeight="1">
      <c r="D918" s="212"/>
      <c r="E918" s="1007"/>
      <c r="F918" s="1007"/>
      <c r="G918" s="212"/>
      <c r="H918" s="212"/>
      <c r="I918" s="212"/>
      <c r="J918" s="212"/>
      <c r="K918" s="212"/>
      <c r="L918" s="212"/>
      <c r="M918" s="212"/>
    </row>
    <row r="919" ht="17.25" customHeight="1">
      <c r="D919" s="212"/>
      <c r="E919" s="1007"/>
      <c r="F919" s="1007"/>
      <c r="G919" s="212"/>
      <c r="H919" s="212"/>
      <c r="I919" s="212"/>
      <c r="J919" s="212"/>
      <c r="K919" s="212"/>
      <c r="L919" s="212"/>
      <c r="M919" s="212"/>
    </row>
    <row r="920" ht="17.25" customHeight="1">
      <c r="D920" s="212"/>
      <c r="E920" s="1007"/>
      <c r="F920" s="1007"/>
      <c r="G920" s="212"/>
      <c r="H920" s="212"/>
      <c r="I920" s="212"/>
      <c r="J920" s="212"/>
      <c r="K920" s="212"/>
      <c r="L920" s="212"/>
      <c r="M920" s="212"/>
    </row>
    <row r="921" ht="17.25" customHeight="1">
      <c r="D921" s="212"/>
      <c r="E921" s="1007"/>
      <c r="F921" s="1007"/>
      <c r="G921" s="212"/>
      <c r="H921" s="212"/>
      <c r="I921" s="212"/>
      <c r="J921" s="212"/>
      <c r="K921" s="212"/>
      <c r="L921" s="212"/>
      <c r="M921" s="212"/>
    </row>
    <row r="922" ht="17.25" customHeight="1">
      <c r="D922" s="212"/>
      <c r="E922" s="1007"/>
      <c r="F922" s="1007"/>
      <c r="G922" s="212"/>
      <c r="H922" s="212"/>
      <c r="I922" s="212"/>
      <c r="J922" s="212"/>
      <c r="K922" s="212"/>
      <c r="L922" s="212"/>
      <c r="M922" s="212"/>
    </row>
    <row r="923" ht="17.25" customHeight="1">
      <c r="D923" s="212"/>
      <c r="E923" s="1007"/>
      <c r="F923" s="1007"/>
      <c r="G923" s="212"/>
      <c r="H923" s="212"/>
      <c r="I923" s="212"/>
      <c r="J923" s="212"/>
      <c r="K923" s="212"/>
      <c r="L923" s="212"/>
      <c r="M923" s="212"/>
    </row>
    <row r="924" ht="17.25" customHeight="1">
      <c r="D924" s="212"/>
      <c r="E924" s="1007"/>
      <c r="F924" s="1007"/>
      <c r="G924" s="212"/>
      <c r="H924" s="212"/>
      <c r="I924" s="212"/>
      <c r="J924" s="212"/>
      <c r="K924" s="212"/>
      <c r="L924" s="212"/>
      <c r="M924" s="212"/>
    </row>
    <row r="925" ht="17.25" customHeight="1">
      <c r="D925" s="212"/>
      <c r="E925" s="1007"/>
      <c r="F925" s="1007"/>
      <c r="G925" s="212"/>
      <c r="H925" s="212"/>
      <c r="I925" s="212"/>
      <c r="J925" s="212"/>
      <c r="K925" s="212"/>
      <c r="L925" s="212"/>
      <c r="M925" s="212"/>
    </row>
    <row r="926" ht="17.25" customHeight="1">
      <c r="D926" s="212"/>
      <c r="E926" s="1007"/>
      <c r="F926" s="1007"/>
      <c r="G926" s="212"/>
      <c r="H926" s="212"/>
      <c r="I926" s="212"/>
      <c r="J926" s="212"/>
      <c r="K926" s="212"/>
      <c r="L926" s="212"/>
      <c r="M926" s="212"/>
    </row>
    <row r="927" ht="17.25" customHeight="1">
      <c r="D927" s="212"/>
      <c r="E927" s="1007"/>
      <c r="F927" s="1007"/>
      <c r="G927" s="212"/>
      <c r="H927" s="212"/>
      <c r="I927" s="212"/>
      <c r="J927" s="212"/>
      <c r="K927" s="212"/>
      <c r="L927" s="212"/>
      <c r="M927" s="212"/>
    </row>
    <row r="928" ht="17.25" customHeight="1">
      <c r="D928" s="212"/>
      <c r="E928" s="1007"/>
      <c r="F928" s="1007"/>
      <c r="G928" s="212"/>
      <c r="H928" s="212"/>
      <c r="I928" s="212"/>
      <c r="J928" s="212"/>
      <c r="K928" s="212"/>
      <c r="L928" s="212"/>
      <c r="M928" s="212"/>
    </row>
    <row r="929" ht="17.25" customHeight="1">
      <c r="D929" s="212"/>
      <c r="E929" s="1007"/>
      <c r="F929" s="1007"/>
      <c r="G929" s="212"/>
      <c r="H929" s="212"/>
      <c r="I929" s="212"/>
      <c r="J929" s="212"/>
      <c r="K929" s="212"/>
      <c r="L929" s="212"/>
      <c r="M929" s="212"/>
    </row>
    <row r="930" ht="17.25" customHeight="1">
      <c r="D930" s="212"/>
      <c r="E930" s="1007"/>
      <c r="F930" s="1007"/>
      <c r="G930" s="212"/>
      <c r="H930" s="212"/>
      <c r="I930" s="212"/>
      <c r="J930" s="212"/>
      <c r="K930" s="212"/>
      <c r="L930" s="212"/>
      <c r="M930" s="212"/>
    </row>
    <row r="931" ht="17.25" customHeight="1">
      <c r="D931" s="212"/>
      <c r="E931" s="1007"/>
      <c r="F931" s="1007"/>
      <c r="G931" s="212"/>
      <c r="H931" s="212"/>
      <c r="I931" s="212"/>
      <c r="J931" s="212"/>
      <c r="K931" s="212"/>
      <c r="L931" s="212"/>
      <c r="M931" s="212"/>
    </row>
    <row r="932" ht="17.25" customHeight="1">
      <c r="D932" s="212"/>
      <c r="E932" s="1007"/>
      <c r="F932" s="1007"/>
      <c r="G932" s="212"/>
      <c r="H932" s="212"/>
      <c r="I932" s="212"/>
      <c r="J932" s="212"/>
      <c r="K932" s="212"/>
      <c r="L932" s="212"/>
      <c r="M932" s="212"/>
    </row>
    <row r="933" ht="17.25" customHeight="1">
      <c r="D933" s="212"/>
      <c r="E933" s="1007"/>
      <c r="F933" s="1007"/>
      <c r="G933" s="212"/>
      <c r="H933" s="212"/>
      <c r="I933" s="212"/>
      <c r="J933" s="212"/>
      <c r="K933" s="212"/>
      <c r="L933" s="212"/>
      <c r="M933" s="212"/>
    </row>
    <row r="934" ht="17.25" customHeight="1">
      <c r="D934" s="212"/>
      <c r="E934" s="1007"/>
      <c r="F934" s="1007"/>
      <c r="G934" s="212"/>
      <c r="H934" s="212"/>
      <c r="I934" s="212"/>
      <c r="J934" s="212"/>
      <c r="K934" s="212"/>
      <c r="L934" s="212"/>
      <c r="M934" s="212"/>
    </row>
    <row r="935" ht="17.25" customHeight="1">
      <c r="D935" s="212"/>
      <c r="E935" s="1007"/>
      <c r="F935" s="1007"/>
      <c r="G935" s="212"/>
      <c r="H935" s="212"/>
      <c r="I935" s="212"/>
      <c r="J935" s="212"/>
      <c r="K935" s="212"/>
      <c r="L935" s="212"/>
      <c r="M935" s="212"/>
    </row>
    <row r="936" ht="17.25" customHeight="1">
      <c r="D936" s="212"/>
      <c r="E936" s="1007"/>
      <c r="F936" s="1007"/>
      <c r="G936" s="212"/>
      <c r="H936" s="212"/>
      <c r="I936" s="212"/>
      <c r="J936" s="212"/>
      <c r="K936" s="212"/>
      <c r="L936" s="212"/>
      <c r="M936" s="212"/>
    </row>
    <row r="937" ht="17.25" customHeight="1">
      <c r="D937" s="212"/>
      <c r="E937" s="1007"/>
      <c r="F937" s="1007"/>
      <c r="G937" s="212"/>
      <c r="H937" s="212"/>
      <c r="I937" s="212"/>
      <c r="J937" s="212"/>
      <c r="K937" s="212"/>
      <c r="L937" s="212"/>
      <c r="M937" s="212"/>
    </row>
    <row r="938" ht="17.25" customHeight="1">
      <c r="D938" s="212"/>
      <c r="E938" s="1007"/>
      <c r="F938" s="1007"/>
      <c r="G938" s="212"/>
      <c r="H938" s="212"/>
      <c r="I938" s="212"/>
      <c r="J938" s="212"/>
      <c r="K938" s="212"/>
      <c r="L938" s="212"/>
      <c r="M938" s="212"/>
    </row>
    <row r="939" ht="17.25" customHeight="1">
      <c r="D939" s="212"/>
      <c r="E939" s="1007"/>
      <c r="F939" s="1007"/>
      <c r="G939" s="212"/>
      <c r="H939" s="212"/>
      <c r="I939" s="212"/>
      <c r="J939" s="212"/>
      <c r="K939" s="212"/>
      <c r="L939" s="212"/>
      <c r="M939" s="212"/>
    </row>
    <row r="940" ht="17.25" customHeight="1">
      <c r="D940" s="212"/>
      <c r="E940" s="1007"/>
      <c r="F940" s="1007"/>
      <c r="G940" s="212"/>
      <c r="H940" s="212"/>
      <c r="I940" s="212"/>
      <c r="J940" s="212"/>
      <c r="K940" s="212"/>
      <c r="L940" s="212"/>
      <c r="M940" s="212"/>
    </row>
    <row r="941" ht="17.25" customHeight="1">
      <c r="D941" s="212"/>
      <c r="E941" s="1007"/>
      <c r="F941" s="1007"/>
      <c r="G941" s="212"/>
      <c r="H941" s="212"/>
      <c r="I941" s="212"/>
      <c r="J941" s="212"/>
      <c r="K941" s="212"/>
      <c r="L941" s="212"/>
      <c r="M941" s="212"/>
    </row>
    <row r="942" ht="17.25" customHeight="1">
      <c r="D942" s="212"/>
      <c r="E942" s="1007"/>
      <c r="F942" s="1007"/>
      <c r="G942" s="212"/>
      <c r="H942" s="212"/>
      <c r="I942" s="212"/>
      <c r="J942" s="212"/>
      <c r="K942" s="212"/>
      <c r="L942" s="212"/>
      <c r="M942" s="212"/>
    </row>
    <row r="943" ht="17.25" customHeight="1">
      <c r="D943" s="212"/>
      <c r="E943" s="1007"/>
      <c r="F943" s="1007"/>
      <c r="G943" s="212"/>
      <c r="H943" s="212"/>
      <c r="I943" s="212"/>
      <c r="J943" s="212"/>
      <c r="K943" s="212"/>
      <c r="L943" s="212"/>
      <c r="M943" s="212"/>
    </row>
    <row r="944" ht="17.25" customHeight="1">
      <c r="D944" s="212"/>
      <c r="E944" s="1007"/>
      <c r="F944" s="1007"/>
      <c r="G944" s="212"/>
      <c r="H944" s="212"/>
      <c r="I944" s="212"/>
      <c r="J944" s="212"/>
      <c r="K944" s="212"/>
      <c r="L944" s="212"/>
      <c r="M944" s="212"/>
    </row>
    <row r="945" ht="17.25" customHeight="1">
      <c r="D945" s="212"/>
      <c r="E945" s="1007"/>
      <c r="F945" s="1007"/>
      <c r="G945" s="212"/>
      <c r="H945" s="212"/>
      <c r="I945" s="212"/>
      <c r="J945" s="212"/>
      <c r="K945" s="212"/>
      <c r="L945" s="212"/>
      <c r="M945" s="212"/>
    </row>
    <row r="946" ht="17.25" customHeight="1">
      <c r="D946" s="212"/>
      <c r="E946" s="1007"/>
      <c r="F946" s="1007"/>
      <c r="G946" s="212"/>
      <c r="H946" s="212"/>
      <c r="I946" s="212"/>
      <c r="J946" s="212"/>
      <c r="K946" s="212"/>
      <c r="L946" s="212"/>
      <c r="M946" s="212"/>
    </row>
    <row r="947" ht="17.25" customHeight="1">
      <c r="D947" s="212"/>
      <c r="E947" s="1007"/>
      <c r="F947" s="1007"/>
      <c r="G947" s="212"/>
      <c r="H947" s="212"/>
      <c r="I947" s="212"/>
      <c r="J947" s="212"/>
      <c r="K947" s="212"/>
      <c r="L947" s="212"/>
      <c r="M947" s="212"/>
    </row>
    <row r="948" ht="17.25" customHeight="1">
      <c r="D948" s="212"/>
      <c r="E948" s="1007"/>
      <c r="F948" s="1007"/>
      <c r="G948" s="212"/>
      <c r="H948" s="212"/>
      <c r="I948" s="212"/>
      <c r="J948" s="212"/>
      <c r="K948" s="212"/>
      <c r="L948" s="212"/>
      <c r="M948" s="212"/>
    </row>
    <row r="949" ht="17.25" customHeight="1">
      <c r="D949" s="212"/>
      <c r="E949" s="1007"/>
      <c r="F949" s="1007"/>
      <c r="G949" s="212"/>
      <c r="H949" s="212"/>
      <c r="I949" s="212"/>
      <c r="J949" s="212"/>
      <c r="K949" s="212"/>
      <c r="L949" s="212"/>
      <c r="M949" s="212"/>
    </row>
    <row r="950" ht="17.25" customHeight="1">
      <c r="D950" s="212"/>
      <c r="E950" s="1007"/>
      <c r="F950" s="1007"/>
      <c r="G950" s="212"/>
      <c r="H950" s="212"/>
      <c r="I950" s="212"/>
      <c r="J950" s="212"/>
      <c r="K950" s="212"/>
      <c r="L950" s="212"/>
      <c r="M950" s="212"/>
    </row>
    <row r="951" ht="17.25" customHeight="1">
      <c r="D951" s="212"/>
      <c r="E951" s="1007"/>
      <c r="F951" s="1007"/>
      <c r="G951" s="212"/>
      <c r="H951" s="212"/>
      <c r="I951" s="212"/>
      <c r="J951" s="212"/>
      <c r="K951" s="212"/>
      <c r="L951" s="212"/>
      <c r="M951" s="212"/>
    </row>
    <row r="952" ht="17.25" customHeight="1">
      <c r="D952" s="212"/>
      <c r="E952" s="1007"/>
      <c r="F952" s="1007"/>
      <c r="G952" s="212"/>
      <c r="H952" s="212"/>
      <c r="I952" s="212"/>
      <c r="J952" s="212"/>
      <c r="K952" s="212"/>
      <c r="L952" s="212"/>
      <c r="M952" s="212"/>
    </row>
    <row r="953" ht="17.25" customHeight="1">
      <c r="D953" s="212"/>
      <c r="E953" s="1007"/>
      <c r="F953" s="1007"/>
      <c r="G953" s="212"/>
      <c r="H953" s="212"/>
      <c r="I953" s="212"/>
      <c r="J953" s="212"/>
      <c r="K953" s="212"/>
      <c r="L953" s="212"/>
      <c r="M953" s="212"/>
    </row>
    <row r="954" ht="17.25" customHeight="1">
      <c r="D954" s="212"/>
      <c r="E954" s="1007"/>
      <c r="F954" s="1007"/>
      <c r="G954" s="212"/>
      <c r="H954" s="212"/>
      <c r="I954" s="212"/>
      <c r="J954" s="212"/>
      <c r="K954" s="212"/>
      <c r="L954" s="212"/>
      <c r="M954" s="212"/>
    </row>
    <row r="955" ht="17.25" customHeight="1">
      <c r="D955" s="212"/>
      <c r="E955" s="1007"/>
      <c r="F955" s="1007"/>
      <c r="G955" s="212"/>
      <c r="H955" s="212"/>
      <c r="I955" s="212"/>
      <c r="J955" s="212"/>
      <c r="K955" s="212"/>
      <c r="L955" s="212"/>
      <c r="M955" s="212"/>
    </row>
    <row r="956" ht="17.25" customHeight="1">
      <c r="D956" s="212"/>
      <c r="E956" s="1007"/>
      <c r="F956" s="1007"/>
      <c r="G956" s="212"/>
      <c r="H956" s="212"/>
      <c r="I956" s="212"/>
      <c r="J956" s="212"/>
      <c r="K956" s="212"/>
      <c r="L956" s="212"/>
      <c r="M956" s="212"/>
    </row>
    <row r="957" ht="17.25" customHeight="1">
      <c r="D957" s="212"/>
      <c r="E957" s="1007"/>
      <c r="F957" s="1007"/>
      <c r="G957" s="212"/>
      <c r="H957" s="212"/>
      <c r="I957" s="212"/>
      <c r="J957" s="212"/>
      <c r="K957" s="212"/>
      <c r="L957" s="212"/>
      <c r="M957" s="212"/>
    </row>
    <row r="958" ht="17.25" customHeight="1">
      <c r="D958" s="212"/>
      <c r="E958" s="1007"/>
      <c r="F958" s="1007"/>
      <c r="G958" s="212"/>
      <c r="H958" s="212"/>
      <c r="I958" s="212"/>
      <c r="J958" s="212"/>
      <c r="K958" s="212"/>
      <c r="L958" s="212"/>
      <c r="M958" s="212"/>
    </row>
    <row r="959" ht="17.25" customHeight="1">
      <c r="D959" s="212"/>
      <c r="E959" s="1007"/>
      <c r="F959" s="1007"/>
      <c r="G959" s="212"/>
      <c r="H959" s="212"/>
      <c r="I959" s="212"/>
      <c r="J959" s="212"/>
      <c r="K959" s="212"/>
      <c r="L959" s="212"/>
      <c r="M959" s="212"/>
    </row>
    <row r="960" ht="17.25" customHeight="1">
      <c r="D960" s="212"/>
      <c r="E960" s="1007"/>
      <c r="F960" s="1007"/>
      <c r="G960" s="212"/>
      <c r="H960" s="212"/>
      <c r="I960" s="212"/>
      <c r="J960" s="212"/>
      <c r="K960" s="212"/>
      <c r="L960" s="212"/>
      <c r="M960" s="212"/>
    </row>
    <row r="961" ht="17.25" customHeight="1">
      <c r="D961" s="212"/>
      <c r="E961" s="1007"/>
      <c r="F961" s="1007"/>
      <c r="G961" s="212"/>
      <c r="H961" s="212"/>
      <c r="I961" s="212"/>
      <c r="J961" s="212"/>
      <c r="K961" s="212"/>
      <c r="L961" s="212"/>
      <c r="M961" s="212"/>
    </row>
    <row r="962" ht="17.25" customHeight="1">
      <c r="D962" s="212"/>
      <c r="E962" s="1007"/>
      <c r="F962" s="1007"/>
      <c r="G962" s="212"/>
      <c r="H962" s="212"/>
      <c r="I962" s="212"/>
      <c r="J962" s="212"/>
      <c r="K962" s="212"/>
      <c r="L962" s="212"/>
      <c r="M962" s="212"/>
    </row>
    <row r="963" ht="17.25" customHeight="1">
      <c r="D963" s="212"/>
      <c r="E963" s="1007"/>
      <c r="F963" s="1007"/>
      <c r="G963" s="212"/>
      <c r="H963" s="212"/>
      <c r="I963" s="212"/>
      <c r="J963" s="212"/>
      <c r="K963" s="212"/>
      <c r="L963" s="212"/>
      <c r="M963" s="212"/>
    </row>
    <row r="964" ht="17.25" customHeight="1">
      <c r="D964" s="212"/>
      <c r="E964" s="1007"/>
      <c r="F964" s="1007"/>
      <c r="G964" s="212"/>
      <c r="H964" s="212"/>
      <c r="I964" s="212"/>
      <c r="J964" s="212"/>
      <c r="K964" s="212"/>
      <c r="L964" s="212"/>
      <c r="M964" s="212"/>
    </row>
    <row r="965" ht="17.25" customHeight="1">
      <c r="D965" s="212"/>
      <c r="E965" s="1007"/>
      <c r="F965" s="1007"/>
      <c r="G965" s="212"/>
      <c r="H965" s="212"/>
      <c r="I965" s="212"/>
      <c r="J965" s="212"/>
      <c r="K965" s="212"/>
      <c r="L965" s="212"/>
      <c r="M965" s="212"/>
    </row>
    <row r="966" ht="17.25" customHeight="1">
      <c r="D966" s="212"/>
      <c r="E966" s="1007"/>
      <c r="F966" s="1007"/>
      <c r="G966" s="212"/>
      <c r="H966" s="212"/>
      <c r="I966" s="212"/>
      <c r="J966" s="212"/>
      <c r="K966" s="212"/>
      <c r="L966" s="212"/>
      <c r="M966" s="212"/>
    </row>
    <row r="967" ht="17.25" customHeight="1">
      <c r="D967" s="212"/>
      <c r="E967" s="1007"/>
      <c r="F967" s="1007"/>
      <c r="G967" s="212"/>
      <c r="H967" s="212"/>
      <c r="I967" s="212"/>
      <c r="J967" s="212"/>
      <c r="K967" s="212"/>
      <c r="L967" s="212"/>
      <c r="M967" s="212"/>
    </row>
    <row r="968" ht="17.25" customHeight="1">
      <c r="D968" s="212"/>
      <c r="E968" s="1007"/>
      <c r="F968" s="1007"/>
      <c r="G968" s="212"/>
      <c r="H968" s="212"/>
      <c r="I968" s="212"/>
      <c r="J968" s="212"/>
      <c r="K968" s="212"/>
      <c r="L968" s="212"/>
      <c r="M968" s="212"/>
    </row>
    <row r="969" ht="17.25" customHeight="1">
      <c r="D969" s="212"/>
      <c r="E969" s="1007"/>
      <c r="F969" s="1007"/>
      <c r="G969" s="212"/>
      <c r="H969" s="212"/>
      <c r="I969" s="212"/>
      <c r="J969" s="212"/>
      <c r="K969" s="212"/>
      <c r="L969" s="212"/>
      <c r="M969" s="212"/>
    </row>
    <row r="970" ht="17.25" customHeight="1">
      <c r="D970" s="212"/>
      <c r="E970" s="1007"/>
      <c r="F970" s="1007"/>
      <c r="G970" s="212"/>
      <c r="H970" s="212"/>
      <c r="I970" s="212"/>
      <c r="J970" s="212"/>
      <c r="K970" s="212"/>
      <c r="L970" s="212"/>
      <c r="M970" s="212"/>
    </row>
    <row r="971" ht="17.25" customHeight="1">
      <c r="D971" s="212"/>
      <c r="E971" s="1007"/>
      <c r="F971" s="1007"/>
      <c r="G971" s="212"/>
      <c r="H971" s="212"/>
      <c r="I971" s="212"/>
      <c r="J971" s="212"/>
      <c r="K971" s="212"/>
      <c r="L971" s="212"/>
      <c r="M971" s="212"/>
    </row>
    <row r="972" ht="17.25" customHeight="1">
      <c r="D972" s="212"/>
      <c r="E972" s="1007"/>
      <c r="F972" s="1007"/>
      <c r="G972" s="212"/>
      <c r="H972" s="212"/>
      <c r="I972" s="212"/>
      <c r="J972" s="212"/>
      <c r="K972" s="212"/>
      <c r="L972" s="212"/>
      <c r="M972" s="212"/>
    </row>
    <row r="973" ht="17.25" customHeight="1">
      <c r="D973" s="212"/>
      <c r="E973" s="1007"/>
      <c r="F973" s="1007"/>
      <c r="G973" s="212"/>
      <c r="H973" s="212"/>
      <c r="I973" s="212"/>
      <c r="J973" s="212"/>
      <c r="K973" s="212"/>
      <c r="L973" s="212"/>
      <c r="M973" s="212"/>
    </row>
    <row r="974" ht="17.25" customHeight="1">
      <c r="D974" s="212"/>
      <c r="E974" s="1007"/>
      <c r="F974" s="1007"/>
      <c r="G974" s="212"/>
      <c r="H974" s="212"/>
      <c r="I974" s="212"/>
      <c r="J974" s="212"/>
      <c r="K974" s="212"/>
      <c r="L974" s="212"/>
      <c r="M974" s="212"/>
    </row>
    <row r="975" ht="17.25" customHeight="1">
      <c r="D975" s="212"/>
      <c r="E975" s="1007"/>
      <c r="F975" s="1007"/>
      <c r="G975" s="212"/>
      <c r="H975" s="212"/>
      <c r="I975" s="212"/>
      <c r="J975" s="212"/>
      <c r="K975" s="212"/>
      <c r="L975" s="212"/>
      <c r="M975" s="212"/>
    </row>
    <row r="976" ht="17.25" customHeight="1">
      <c r="D976" s="212"/>
      <c r="E976" s="1007"/>
      <c r="F976" s="1007"/>
      <c r="G976" s="212"/>
      <c r="H976" s="212"/>
      <c r="I976" s="212"/>
      <c r="J976" s="212"/>
      <c r="K976" s="212"/>
      <c r="L976" s="212"/>
      <c r="M976" s="212"/>
    </row>
    <row r="977" ht="17.25" customHeight="1">
      <c r="D977" s="212"/>
      <c r="E977" s="1007"/>
      <c r="F977" s="1007"/>
      <c r="G977" s="212"/>
      <c r="H977" s="212"/>
      <c r="I977" s="212"/>
      <c r="J977" s="212"/>
      <c r="K977" s="212"/>
      <c r="L977" s="212"/>
      <c r="M977" s="212"/>
    </row>
    <row r="978" ht="17.25" customHeight="1">
      <c r="D978" s="212"/>
      <c r="E978" s="1007"/>
      <c r="F978" s="1007"/>
      <c r="G978" s="212"/>
      <c r="H978" s="212"/>
      <c r="I978" s="212"/>
      <c r="J978" s="212"/>
      <c r="K978" s="212"/>
      <c r="L978" s="212"/>
      <c r="M978" s="212"/>
    </row>
    <row r="979" ht="17.25" customHeight="1">
      <c r="D979" s="212"/>
      <c r="E979" s="1007"/>
      <c r="F979" s="1007"/>
      <c r="G979" s="212"/>
      <c r="H979" s="212"/>
      <c r="I979" s="212"/>
      <c r="J979" s="212"/>
      <c r="K979" s="212"/>
      <c r="L979" s="212"/>
      <c r="M979" s="212"/>
    </row>
    <row r="980" ht="17.25" customHeight="1">
      <c r="D980" s="212"/>
      <c r="E980" s="1007"/>
      <c r="F980" s="1007"/>
      <c r="G980" s="212"/>
      <c r="H980" s="212"/>
      <c r="I980" s="212"/>
      <c r="J980" s="212"/>
      <c r="K980" s="212"/>
      <c r="L980" s="212"/>
      <c r="M980" s="212"/>
    </row>
    <row r="981" ht="17.25" customHeight="1">
      <c r="D981" s="212"/>
      <c r="E981" s="1007"/>
      <c r="F981" s="1007"/>
      <c r="G981" s="212"/>
      <c r="H981" s="212"/>
      <c r="I981" s="212"/>
      <c r="J981" s="212"/>
      <c r="K981" s="212"/>
      <c r="L981" s="212"/>
      <c r="M981" s="212"/>
    </row>
    <row r="982" ht="17.25" customHeight="1">
      <c r="D982" s="212"/>
      <c r="E982" s="1007"/>
      <c r="F982" s="1007"/>
      <c r="G982" s="212"/>
      <c r="H982" s="212"/>
      <c r="I982" s="212"/>
      <c r="J982" s="212"/>
      <c r="K982" s="212"/>
      <c r="L982" s="212"/>
      <c r="M982" s="212"/>
    </row>
    <row r="983" ht="17.25" customHeight="1">
      <c r="D983" s="212"/>
      <c r="E983" s="1007"/>
      <c r="F983" s="1007"/>
      <c r="G983" s="212"/>
      <c r="H983" s="212"/>
      <c r="I983" s="212"/>
      <c r="J983" s="212"/>
      <c r="K983" s="212"/>
      <c r="L983" s="212"/>
      <c r="M983" s="212"/>
    </row>
    <row r="984" ht="17.25" customHeight="1">
      <c r="D984" s="212"/>
      <c r="E984" s="1007"/>
      <c r="F984" s="1007"/>
      <c r="G984" s="212"/>
      <c r="H984" s="212"/>
      <c r="I984" s="212"/>
      <c r="J984" s="212"/>
      <c r="K984" s="212"/>
      <c r="L984" s="212"/>
      <c r="M984" s="212"/>
    </row>
    <row r="985" ht="17.25" customHeight="1">
      <c r="D985" s="212"/>
      <c r="E985" s="1007"/>
      <c r="F985" s="1007"/>
      <c r="G985" s="212"/>
      <c r="H985" s="212"/>
      <c r="I985" s="212"/>
      <c r="J985" s="212"/>
      <c r="K985" s="212"/>
      <c r="L985" s="212"/>
      <c r="M985" s="212"/>
    </row>
    <row r="986" ht="17.25" customHeight="1">
      <c r="D986" s="212"/>
      <c r="E986" s="1007"/>
      <c r="F986" s="1007"/>
      <c r="G986" s="212"/>
      <c r="H986" s="212"/>
      <c r="I986" s="212"/>
      <c r="J986" s="212"/>
      <c r="K986" s="212"/>
      <c r="L986" s="212"/>
      <c r="M986" s="212"/>
    </row>
    <row r="987" ht="17.25" customHeight="1">
      <c r="D987" s="212"/>
      <c r="E987" s="1007"/>
      <c r="F987" s="1007"/>
      <c r="G987" s="212"/>
      <c r="H987" s="212"/>
      <c r="I987" s="212"/>
      <c r="J987" s="212"/>
      <c r="K987" s="212"/>
      <c r="L987" s="212"/>
      <c r="M987" s="212"/>
    </row>
    <row r="988" ht="17.25" customHeight="1">
      <c r="D988" s="212"/>
      <c r="E988" s="1007"/>
      <c r="F988" s="1007"/>
      <c r="G988" s="212"/>
      <c r="H988" s="212"/>
      <c r="I988" s="212"/>
      <c r="J988" s="212"/>
      <c r="K988" s="212"/>
      <c r="L988" s="212"/>
      <c r="M988" s="212"/>
    </row>
    <row r="989" ht="17.25" customHeight="1">
      <c r="D989" s="212"/>
      <c r="E989" s="1007"/>
      <c r="F989" s="1007"/>
      <c r="G989" s="212"/>
      <c r="H989" s="212"/>
      <c r="I989" s="212"/>
      <c r="J989" s="212"/>
      <c r="K989" s="212"/>
      <c r="L989" s="212"/>
      <c r="M989" s="212"/>
    </row>
    <row r="990" ht="17.25" customHeight="1">
      <c r="D990" s="212"/>
      <c r="E990" s="1007"/>
      <c r="F990" s="1007"/>
      <c r="G990" s="212"/>
      <c r="H990" s="212"/>
      <c r="I990" s="212"/>
      <c r="J990" s="212"/>
      <c r="K990" s="212"/>
      <c r="L990" s="212"/>
      <c r="M990" s="212"/>
    </row>
    <row r="991" ht="17.25" customHeight="1">
      <c r="D991" s="212"/>
      <c r="E991" s="1007"/>
      <c r="F991" s="1007"/>
      <c r="G991" s="212"/>
      <c r="H991" s="212"/>
      <c r="I991" s="212"/>
      <c r="J991" s="212"/>
      <c r="K991" s="212"/>
      <c r="L991" s="212"/>
      <c r="M991" s="212"/>
    </row>
    <row r="992" ht="17.25" customHeight="1">
      <c r="D992" s="212"/>
      <c r="E992" s="1007"/>
      <c r="F992" s="1007"/>
      <c r="G992" s="212"/>
      <c r="H992" s="212"/>
      <c r="I992" s="212"/>
      <c r="J992" s="212"/>
      <c r="K992" s="212"/>
      <c r="L992" s="212"/>
      <c r="M992" s="212"/>
    </row>
    <row r="993" ht="17.25" customHeight="1">
      <c r="D993" s="212"/>
      <c r="E993" s="1007"/>
      <c r="F993" s="1007"/>
      <c r="G993" s="212"/>
      <c r="H993" s="212"/>
      <c r="I993" s="212"/>
      <c r="J993" s="212"/>
      <c r="K993" s="212"/>
      <c r="L993" s="212"/>
      <c r="M993" s="212"/>
    </row>
    <row r="994" ht="17.25" customHeight="1">
      <c r="D994" s="212"/>
      <c r="E994" s="1007"/>
      <c r="F994" s="1007"/>
      <c r="G994" s="212"/>
      <c r="H994" s="212"/>
      <c r="I994" s="212"/>
      <c r="J994" s="212"/>
      <c r="K994" s="212"/>
      <c r="L994" s="212"/>
      <c r="M994" s="212"/>
    </row>
    <row r="995" ht="17.25" customHeight="1">
      <c r="D995" s="212"/>
      <c r="E995" s="1007"/>
      <c r="F995" s="1007"/>
      <c r="G995" s="212"/>
      <c r="H995" s="212"/>
      <c r="I995" s="212"/>
      <c r="J995" s="212"/>
      <c r="K995" s="212"/>
      <c r="L995" s="212"/>
      <c r="M995" s="212"/>
    </row>
    <row r="996" ht="17.25" customHeight="1">
      <c r="D996" s="212"/>
      <c r="E996" s="1007"/>
      <c r="F996" s="1007"/>
      <c r="G996" s="212"/>
      <c r="H996" s="212"/>
      <c r="I996" s="212"/>
      <c r="J996" s="212"/>
      <c r="K996" s="212"/>
      <c r="L996" s="212"/>
      <c r="M996" s="212"/>
    </row>
    <row r="997" ht="17.25" customHeight="1">
      <c r="D997" s="212"/>
      <c r="E997" s="1007"/>
      <c r="F997" s="1007"/>
      <c r="G997" s="212"/>
      <c r="H997" s="212"/>
      <c r="I997" s="212"/>
      <c r="J997" s="212"/>
      <c r="K997" s="212"/>
      <c r="L997" s="212"/>
      <c r="M997" s="212"/>
    </row>
    <row r="998" ht="17.25" customHeight="1">
      <c r="D998" s="212"/>
      <c r="E998" s="1007"/>
      <c r="F998" s="1007"/>
      <c r="G998" s="212"/>
      <c r="H998" s="212"/>
      <c r="I998" s="212"/>
      <c r="J998" s="212"/>
      <c r="K998" s="212"/>
      <c r="L998" s="212"/>
      <c r="M998" s="212"/>
    </row>
    <row r="999" ht="17.25" customHeight="1">
      <c r="D999" s="212"/>
      <c r="E999" s="1007"/>
      <c r="F999" s="1007"/>
      <c r="G999" s="212"/>
      <c r="H999" s="212"/>
      <c r="I999" s="212"/>
      <c r="J999" s="212"/>
      <c r="K999" s="212"/>
      <c r="L999" s="212"/>
      <c r="M999" s="212"/>
    </row>
    <row r="1000" ht="17.25" customHeight="1">
      <c r="D1000" s="212"/>
      <c r="E1000" s="1007"/>
      <c r="F1000" s="1007"/>
      <c r="G1000" s="212"/>
      <c r="H1000" s="212"/>
      <c r="I1000" s="212"/>
      <c r="J1000" s="212"/>
      <c r="K1000" s="212"/>
      <c r="L1000" s="212"/>
      <c r="M1000" s="212"/>
    </row>
    <row r="1001" ht="17.25" customHeight="1">
      <c r="D1001" s="212"/>
      <c r="E1001" s="1007"/>
      <c r="F1001" s="1007"/>
      <c r="G1001" s="212"/>
      <c r="H1001" s="212"/>
      <c r="I1001" s="212"/>
      <c r="J1001" s="212"/>
      <c r="K1001" s="212"/>
      <c r="L1001" s="212"/>
      <c r="M1001" s="212"/>
    </row>
    <row r="1002" ht="17.25" customHeight="1">
      <c r="D1002" s="212"/>
      <c r="E1002" s="1007"/>
      <c r="F1002" s="1007"/>
      <c r="G1002" s="212"/>
      <c r="H1002" s="212"/>
      <c r="I1002" s="212"/>
      <c r="J1002" s="212"/>
      <c r="K1002" s="212"/>
      <c r="L1002" s="212"/>
      <c r="M1002" s="212"/>
    </row>
    <row r="1003" ht="17.25" customHeight="1">
      <c r="D1003" s="212"/>
      <c r="E1003" s="1007"/>
      <c r="F1003" s="1007"/>
      <c r="G1003" s="212"/>
      <c r="H1003" s="212"/>
      <c r="I1003" s="212"/>
      <c r="J1003" s="212"/>
      <c r="K1003" s="212"/>
      <c r="L1003" s="212"/>
      <c r="M1003" s="212"/>
    </row>
    <row r="1004" ht="17.25" customHeight="1">
      <c r="D1004" s="212"/>
      <c r="E1004" s="1007"/>
      <c r="F1004" s="1007"/>
      <c r="G1004" s="212"/>
      <c r="H1004" s="212"/>
      <c r="I1004" s="212"/>
      <c r="J1004" s="212"/>
      <c r="K1004" s="212"/>
      <c r="L1004" s="212"/>
      <c r="M1004" s="212"/>
    </row>
    <row r="1005" ht="17.25" customHeight="1">
      <c r="D1005" s="212"/>
      <c r="E1005" s="1007"/>
      <c r="F1005" s="1007"/>
      <c r="G1005" s="212"/>
      <c r="H1005" s="212"/>
      <c r="I1005" s="212"/>
      <c r="J1005" s="212"/>
      <c r="K1005" s="212"/>
      <c r="L1005" s="212"/>
      <c r="M1005" s="212"/>
    </row>
    <row r="1006" ht="17.25" customHeight="1">
      <c r="D1006" s="212"/>
      <c r="E1006" s="1007"/>
      <c r="F1006" s="1007"/>
      <c r="G1006" s="212"/>
      <c r="H1006" s="212"/>
      <c r="I1006" s="212"/>
      <c r="J1006" s="212"/>
      <c r="K1006" s="212"/>
      <c r="L1006" s="212"/>
      <c r="M1006" s="212"/>
    </row>
    <row r="1007" ht="17.25" customHeight="1">
      <c r="D1007" s="212"/>
      <c r="E1007" s="1007"/>
      <c r="F1007" s="1007"/>
      <c r="G1007" s="212"/>
      <c r="H1007" s="212"/>
      <c r="I1007" s="212"/>
      <c r="J1007" s="212"/>
      <c r="K1007" s="212"/>
      <c r="L1007" s="212"/>
      <c r="M1007" s="212"/>
    </row>
    <row r="1008" ht="17.25" customHeight="1">
      <c r="D1008" s="212"/>
      <c r="E1008" s="1007"/>
      <c r="F1008" s="1007"/>
      <c r="G1008" s="212"/>
      <c r="H1008" s="212"/>
      <c r="I1008" s="212"/>
      <c r="J1008" s="212"/>
      <c r="K1008" s="212"/>
      <c r="L1008" s="212"/>
      <c r="M1008" s="212"/>
    </row>
    <row r="1009" ht="17.25" customHeight="1">
      <c r="D1009" s="212"/>
      <c r="E1009" s="1007"/>
      <c r="F1009" s="1007"/>
      <c r="G1009" s="212"/>
      <c r="H1009" s="212"/>
      <c r="I1009" s="212"/>
      <c r="J1009" s="212"/>
      <c r="K1009" s="212"/>
      <c r="L1009" s="212"/>
      <c r="M1009" s="212"/>
    </row>
    <row r="1010" ht="17.25" customHeight="1">
      <c r="D1010" s="212"/>
      <c r="E1010" s="1007"/>
      <c r="F1010" s="1007"/>
      <c r="G1010" s="212"/>
      <c r="H1010" s="212"/>
      <c r="I1010" s="212"/>
      <c r="J1010" s="212"/>
      <c r="K1010" s="212"/>
      <c r="L1010" s="212"/>
      <c r="M1010" s="212"/>
    </row>
    <row r="1011" ht="17.25" customHeight="1">
      <c r="D1011" s="212"/>
      <c r="E1011" s="1007"/>
      <c r="F1011" s="1007"/>
      <c r="G1011" s="212"/>
      <c r="H1011" s="212"/>
      <c r="I1011" s="212"/>
      <c r="J1011" s="212"/>
      <c r="K1011" s="212"/>
      <c r="L1011" s="212"/>
      <c r="M1011" s="212"/>
    </row>
    <row r="1012" ht="17.25" customHeight="1">
      <c r="D1012" s="212"/>
      <c r="E1012" s="1007"/>
      <c r="F1012" s="1007"/>
      <c r="G1012" s="212"/>
      <c r="H1012" s="212"/>
      <c r="I1012" s="212"/>
      <c r="J1012" s="212"/>
      <c r="K1012" s="212"/>
      <c r="L1012" s="212"/>
      <c r="M1012" s="212"/>
    </row>
    <row r="1013" ht="17.25" customHeight="1">
      <c r="D1013" s="212"/>
      <c r="E1013" s="1007"/>
      <c r="F1013" s="1007"/>
      <c r="G1013" s="212"/>
      <c r="H1013" s="212"/>
      <c r="I1013" s="212"/>
      <c r="J1013" s="212"/>
      <c r="K1013" s="212"/>
      <c r="L1013" s="212"/>
      <c r="M1013" s="212"/>
    </row>
    <row r="1014" ht="17.25" customHeight="1">
      <c r="D1014" s="212"/>
      <c r="E1014" s="1007"/>
      <c r="F1014" s="1007"/>
      <c r="G1014" s="212"/>
      <c r="H1014" s="212"/>
      <c r="I1014" s="212"/>
      <c r="J1014" s="212"/>
      <c r="K1014" s="212"/>
      <c r="L1014" s="212"/>
      <c r="M1014" s="212"/>
    </row>
    <row r="1015" ht="17.25" customHeight="1">
      <c r="D1015" s="212"/>
      <c r="E1015" s="1007"/>
      <c r="F1015" s="1007"/>
      <c r="G1015" s="212"/>
      <c r="H1015" s="212"/>
      <c r="I1015" s="212"/>
      <c r="J1015" s="212"/>
      <c r="K1015" s="212"/>
      <c r="L1015" s="212"/>
      <c r="M1015" s="212"/>
    </row>
    <row r="1016" ht="17.25" customHeight="1">
      <c r="D1016" s="212"/>
      <c r="E1016" s="1007"/>
      <c r="F1016" s="1007"/>
      <c r="G1016" s="212"/>
      <c r="H1016" s="212"/>
      <c r="I1016" s="212"/>
      <c r="J1016" s="212"/>
      <c r="K1016" s="212"/>
      <c r="L1016" s="212"/>
      <c r="M1016" s="212"/>
    </row>
    <row r="1017" ht="17.25" customHeight="1">
      <c r="D1017" s="212"/>
      <c r="E1017" s="1007"/>
      <c r="F1017" s="1007"/>
      <c r="G1017" s="212"/>
      <c r="H1017" s="212"/>
      <c r="I1017" s="212"/>
      <c r="J1017" s="212"/>
      <c r="K1017" s="212"/>
      <c r="L1017" s="212"/>
      <c r="M1017" s="212"/>
    </row>
    <row r="1018" ht="17.25" customHeight="1">
      <c r="D1018" s="212"/>
      <c r="E1018" s="1007"/>
      <c r="F1018" s="1007"/>
      <c r="G1018" s="212"/>
      <c r="H1018" s="212"/>
      <c r="I1018" s="212"/>
      <c r="J1018" s="212"/>
      <c r="K1018" s="212"/>
      <c r="L1018" s="212"/>
      <c r="M1018" s="212"/>
    </row>
    <row r="1019" ht="17.25" customHeight="1">
      <c r="D1019" s="212"/>
      <c r="E1019" s="1007"/>
      <c r="F1019" s="1007"/>
      <c r="G1019" s="212"/>
      <c r="H1019" s="212"/>
      <c r="I1019" s="212"/>
      <c r="J1019" s="212"/>
      <c r="K1019" s="212"/>
      <c r="L1019" s="212"/>
      <c r="M1019" s="212"/>
    </row>
    <row r="1020" ht="17.25" customHeight="1">
      <c r="D1020" s="212"/>
      <c r="E1020" s="1007"/>
      <c r="F1020" s="1007"/>
      <c r="G1020" s="212"/>
      <c r="H1020" s="212"/>
      <c r="I1020" s="212"/>
      <c r="J1020" s="212"/>
      <c r="K1020" s="212"/>
      <c r="L1020" s="212"/>
      <c r="M1020" s="212"/>
    </row>
    <row r="1021" ht="17.25" customHeight="1">
      <c r="D1021" s="212"/>
      <c r="E1021" s="1007"/>
      <c r="F1021" s="1007"/>
      <c r="G1021" s="212"/>
      <c r="H1021" s="212"/>
      <c r="I1021" s="212"/>
      <c r="J1021" s="212"/>
      <c r="K1021" s="212"/>
      <c r="L1021" s="212"/>
      <c r="M1021" s="212"/>
    </row>
  </sheetData>
  <mergeCells count="13">
    <mergeCell ref="J2:M2"/>
    <mergeCell ref="J4:M4"/>
    <mergeCell ref="E4:G5"/>
    <mergeCell ref="D6:E6"/>
    <mergeCell ref="F6:M6"/>
    <mergeCell ref="B8:E8"/>
    <mergeCell ref="G1:I1"/>
    <mergeCell ref="J1:M1"/>
    <mergeCell ref="B2:C3"/>
    <mergeCell ref="G2:I2"/>
    <mergeCell ref="D3:I3"/>
    <mergeCell ref="X3:Y3"/>
    <mergeCell ref="J5:M5"/>
  </mergeCells>
  <dataValidations>
    <dataValidation type="list" allowBlank="1" sqref="C4">
      <formula1>'206 Hospitals'!$O$5:$O$11</formula1>
    </dataValidation>
    <dataValidation type="list" allowBlank="1" sqref="C6">
      <formula1>'206 Hospitals'!$U$5:$U$60</formula1>
    </dataValidation>
    <dataValidation type="list" allowBlank="1" sqref="C5">
      <formula1>'206 Hospitals'!$S$5:$S$15</formula1>
    </dataValidation>
  </dataValidations>
  <hyperlinks>
    <hyperlink r:id="rId2" ref="J1"/>
    <hyperlink r:id="rId3" ref="J2"/>
  </hyperlinks>
  <drawing r:id="rId4"/>
  <legacyDrawing r:id="rId5"/>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8"/>
    <col customWidth="1" min="2" max="2" width="15.88"/>
    <col customWidth="1" min="3" max="3" width="20.38"/>
    <col customWidth="1" min="4" max="4" width="5.0"/>
    <col customWidth="1" min="5" max="5" width="10.25"/>
    <col customWidth="1" min="6" max="6" width="12.88"/>
    <col customWidth="1" min="7" max="7" width="4.88"/>
    <col customWidth="1" min="8" max="8" width="1.88"/>
    <col customWidth="1" min="9" max="9" width="13.75"/>
    <col customWidth="1" min="10" max="10" width="13.88"/>
    <col customWidth="1" min="11" max="11" width="3.75"/>
    <col customWidth="1" min="12" max="12" width="2.25"/>
    <col customWidth="1" min="14" max="14" width="13.88"/>
    <col customWidth="1" min="15" max="15" width="4.5"/>
    <col customWidth="1" min="16" max="16" width="3.25"/>
    <col customWidth="1" min="17" max="17" width="13.38"/>
    <col customWidth="1" min="18" max="18" width="15.5"/>
  </cols>
  <sheetData>
    <row r="1">
      <c r="B1" s="1036" t="s">
        <v>2189</v>
      </c>
      <c r="C1" s="45"/>
      <c r="I1" s="1037" t="s">
        <v>2190</v>
      </c>
      <c r="J1" s="210"/>
    </row>
    <row r="2">
      <c r="B2" s="1038" t="str">
        <f>IncName</f>
        <v>NO NAME</v>
      </c>
      <c r="C2" s="55"/>
      <c r="I2" s="104" t="str">
        <f>'203'!B5</f>
        <v/>
      </c>
      <c r="J2" s="55"/>
      <c r="M2" s="1039" t="s">
        <v>345</v>
      </c>
      <c r="N2" s="210"/>
    </row>
    <row r="3">
      <c r="B3" s="1036" t="s">
        <v>2191</v>
      </c>
      <c r="C3" s="45"/>
      <c r="D3" s="41"/>
      <c r="I3" s="1040"/>
      <c r="J3" s="1041"/>
      <c r="K3" s="108"/>
      <c r="L3" s="84"/>
      <c r="M3" s="1038" t="str">
        <f>'203'!B9</f>
        <v/>
      </c>
      <c r="N3" s="55"/>
    </row>
    <row r="4">
      <c r="B4" s="1042" t="s">
        <v>2192</v>
      </c>
      <c r="C4" s="1042" t="s">
        <v>2193</v>
      </c>
      <c r="I4" s="1040"/>
      <c r="J4" s="166"/>
      <c r="K4" s="108"/>
      <c r="M4" s="212"/>
    </row>
    <row r="5">
      <c r="B5" s="1043">
        <f>OpDate</f>
        <v>43893</v>
      </c>
      <c r="C5" s="1044">
        <f>OpDateTo</f>
        <v>43894</v>
      </c>
      <c r="I5" s="1040"/>
      <c r="J5" s="166"/>
      <c r="K5" s="108"/>
      <c r="M5" s="1039" t="s">
        <v>341</v>
      </c>
      <c r="N5" s="210"/>
    </row>
    <row r="6">
      <c r="B6" s="1045" t="str">
        <f>OpStart</f>
        <v>0700</v>
      </c>
      <c r="C6" s="1045" t="str">
        <f>OpEnd</f>
        <v>0700</v>
      </c>
      <c r="I6" s="1040"/>
      <c r="J6" s="84"/>
      <c r="K6" s="86"/>
      <c r="L6" s="84"/>
      <c r="M6" s="1038" t="str">
        <f>'203'!B7</f>
        <v/>
      </c>
      <c r="N6" s="55"/>
    </row>
    <row r="7">
      <c r="I7" s="1040"/>
      <c r="J7" s="166"/>
      <c r="K7" s="108"/>
      <c r="M7" s="212"/>
    </row>
    <row r="8">
      <c r="I8" s="1040"/>
      <c r="J8" s="166"/>
      <c r="K8" s="108"/>
      <c r="L8" s="113"/>
      <c r="M8" s="1039" t="s">
        <v>2194</v>
      </c>
      <c r="N8" s="210"/>
    </row>
    <row r="9">
      <c r="I9" s="1040"/>
      <c r="J9" s="166"/>
      <c r="M9" s="1038" t="str">
        <f>'203'!B8</f>
        <v/>
      </c>
      <c r="N9" s="55"/>
    </row>
    <row r="10">
      <c r="C10" s="1046"/>
      <c r="D10" s="1046"/>
      <c r="E10" s="1046"/>
      <c r="F10" s="1046"/>
      <c r="G10" s="1046"/>
      <c r="H10" s="1046"/>
      <c r="I10" s="1047"/>
      <c r="J10" s="1046"/>
      <c r="K10" s="1046"/>
      <c r="L10" s="1046"/>
      <c r="M10" s="1046"/>
      <c r="N10" s="1046"/>
      <c r="O10" s="1046"/>
      <c r="P10" s="1046"/>
      <c r="Q10" s="1046"/>
    </row>
    <row r="11">
      <c r="B11" s="1040"/>
      <c r="C11" s="1048"/>
      <c r="D11" s="165"/>
      <c r="E11" s="165"/>
      <c r="F11" s="165"/>
      <c r="G11" s="165"/>
      <c r="H11" s="165"/>
      <c r="I11" s="1040"/>
      <c r="J11" s="1048"/>
      <c r="K11" s="165"/>
      <c r="L11" s="165"/>
      <c r="M11" s="1040"/>
      <c r="N11" s="1048"/>
      <c r="O11" s="165"/>
      <c r="P11" s="165"/>
      <c r="Q11" s="1040"/>
    </row>
    <row r="12">
      <c r="B12" s="1037" t="s">
        <v>338</v>
      </c>
      <c r="C12" s="210"/>
      <c r="I12" s="1037" t="s">
        <v>2195</v>
      </c>
      <c r="J12" s="210"/>
      <c r="M12" s="1037" t="s">
        <v>2196</v>
      </c>
      <c r="N12" s="210"/>
      <c r="Q12" s="1037" t="s">
        <v>2197</v>
      </c>
      <c r="R12" s="210"/>
    </row>
    <row r="13">
      <c r="B13" s="1049" t="str">
        <f>'203'!E5</f>
        <v/>
      </c>
      <c r="C13" s="94"/>
      <c r="D13" s="77"/>
      <c r="E13" s="1039" t="s">
        <v>2198</v>
      </c>
      <c r="F13" s="210"/>
      <c r="I13" s="166" t="str">
        <f>'203'!A30</f>
        <v>Chief</v>
      </c>
      <c r="J13" s="94" t="str">
        <f>'203'!B30</f>
        <v/>
      </c>
      <c r="M13" s="166" t="str">
        <f>'203'!A43</f>
        <v>Chief</v>
      </c>
      <c r="N13" s="94" t="str">
        <f>'203'!B43</f>
        <v/>
      </c>
      <c r="Q13" s="166" t="str">
        <f>'203'!D45</f>
        <v>Chief</v>
      </c>
      <c r="R13" s="94" t="str">
        <f>'203'!E45</f>
        <v/>
      </c>
    </row>
    <row r="14">
      <c r="B14" s="1038" t="str">
        <f>'203'!E6</f>
        <v/>
      </c>
      <c r="C14" s="55"/>
      <c r="E14" s="104" t="str">
        <f>'203'!F8</f>
        <v/>
      </c>
      <c r="F14" s="55"/>
      <c r="I14" s="104" t="str">
        <f>'203'!A31</f>
        <v>Deputy</v>
      </c>
      <c r="J14" s="55" t="str">
        <f>'203'!B31</f>
        <v/>
      </c>
      <c r="M14" s="104"/>
      <c r="N14" s="55" t="str">
        <f>'203'!E30</f>
        <v/>
      </c>
      <c r="Q14" s="104" t="str">
        <f>'203'!G30</f>
        <v/>
      </c>
      <c r="R14" s="55" t="str">
        <f>'203'!H30</f>
        <v/>
      </c>
    </row>
    <row r="15">
      <c r="C15" s="79"/>
      <c r="D15" s="113"/>
      <c r="E15" s="113"/>
      <c r="I15" s="108"/>
      <c r="L15" s="113"/>
      <c r="M15" s="115"/>
      <c r="Q15" s="115"/>
    </row>
    <row r="16">
      <c r="C16" s="107"/>
      <c r="E16" s="108"/>
      <c r="G16" s="108"/>
      <c r="H16" s="84"/>
      <c r="I16" s="84"/>
      <c r="K16" s="108"/>
      <c r="P16" s="1050"/>
    </row>
    <row r="17">
      <c r="B17" s="378" t="str">
        <f> Concatenate('203'!D9,"  ",'203'!E9)</f>
        <v>Branch  I</v>
      </c>
      <c r="C17" s="45" t="str">
        <f>'203'!F9</f>
        <v>Joseph Branch (Example)</v>
      </c>
      <c r="E17" s="1051" t="s">
        <v>2199</v>
      </c>
      <c r="F17" s="210"/>
      <c r="G17" s="108"/>
      <c r="I17" s="1052" t="str">
        <f>'203'!A32</f>
        <v>Resource Unit</v>
      </c>
      <c r="J17" s="210"/>
      <c r="K17" s="108"/>
      <c r="M17" s="1052" t="str">
        <f>'203'!A44</f>
        <v>Supply Unit</v>
      </c>
      <c r="N17" s="210"/>
      <c r="O17" s="108"/>
      <c r="Q17" s="1052" t="str">
        <f>'203'!D46</f>
        <v>Time Unit</v>
      </c>
      <c r="R17" s="210"/>
    </row>
    <row r="18">
      <c r="B18" s="378" t="str">
        <f> Concatenate('203'!D10,"  ",'203'!E10)</f>
        <v>Division/Group  A - FEMA</v>
      </c>
      <c r="C18" s="45" t="str">
        <f>'203'!F10</f>
        <v>Tim Braun (Example)</v>
      </c>
      <c r="E18" s="1049" t="str">
        <f>'203'!G39</f>
        <v/>
      </c>
      <c r="F18" s="94"/>
      <c r="G18" s="108"/>
      <c r="H18" s="84"/>
      <c r="I18" s="1038" t="str">
        <f>'203'!B32</f>
        <v/>
      </c>
      <c r="J18" s="55"/>
      <c r="K18" s="108"/>
      <c r="L18" s="84"/>
      <c r="M18" s="1038" t="str">
        <f>'203'!B44</f>
        <v/>
      </c>
      <c r="N18" s="55"/>
      <c r="O18" s="108"/>
      <c r="P18" s="84"/>
      <c r="Q18" s="1038" t="str">
        <f>'203'!E46</f>
        <v/>
      </c>
      <c r="R18" s="55"/>
    </row>
    <row r="19">
      <c r="B19" s="378" t="str">
        <f> Concatenate('203'!D11,"  ",'203'!E11)</f>
        <v>Division/Group  B - NWCG</v>
      </c>
      <c r="C19" s="45" t="str">
        <f>'203'!F11</f>
        <v>Jack Templeton (example)</v>
      </c>
      <c r="E19" s="1053" t="str">
        <f>'203'!D40</f>
        <v>Air Support Group Supervisor</v>
      </c>
      <c r="F19" s="94"/>
      <c r="G19" s="108"/>
      <c r="I19" s="212"/>
      <c r="K19" s="108"/>
      <c r="M19" s="212"/>
      <c r="O19" s="108"/>
      <c r="Q19" s="212"/>
    </row>
    <row r="20">
      <c r="B20" s="378" t="str">
        <f> Concatenate('203'!D12,"  ",'203'!E12)</f>
        <v>Division/Group  M</v>
      </c>
      <c r="C20" s="45" t="str">
        <f>'203'!F12</f>
        <v/>
      </c>
      <c r="E20" s="1049" t="str">
        <f>'203'!F40</f>
        <v/>
      </c>
      <c r="F20" s="94"/>
      <c r="G20" s="108"/>
      <c r="I20" s="1052" t="str">
        <f>'203'!A33</f>
        <v>Situation Unit</v>
      </c>
      <c r="J20" s="210"/>
      <c r="K20" s="108"/>
      <c r="M20" s="1052" t="str">
        <f>'203'!A45</f>
        <v>Facilities Unit</v>
      </c>
      <c r="N20" s="210"/>
      <c r="O20" s="108"/>
      <c r="Q20" s="1052" t="str">
        <f>'203'!D47</f>
        <v>Procurement Unit</v>
      </c>
      <c r="R20" s="210"/>
    </row>
    <row r="21">
      <c r="B21" s="378" t="str">
        <f> Concatenate('203'!D13,"  ",'203'!E13)</f>
        <v>Division/Group  </v>
      </c>
      <c r="C21" s="45" t="str">
        <f>'203'!F13</f>
        <v/>
      </c>
      <c r="E21" s="1053" t="str">
        <f>'203'!D41</f>
        <v>Air Tactical Group Supervisor</v>
      </c>
      <c r="F21" s="94"/>
      <c r="G21" s="108"/>
      <c r="H21" s="84"/>
      <c r="I21" s="1038" t="str">
        <f>'203'!B33</f>
        <v/>
      </c>
      <c r="J21" s="55"/>
      <c r="K21" s="108"/>
      <c r="L21" s="84"/>
      <c r="M21" s="1038" t="str">
        <f>'203'!B45</f>
        <v/>
      </c>
      <c r="N21" s="55"/>
      <c r="O21" s="108"/>
      <c r="P21" s="84"/>
      <c r="Q21" s="1038" t="str">
        <f>'203'!E47</f>
        <v/>
      </c>
      <c r="R21" s="55"/>
    </row>
    <row r="22">
      <c r="B22" s="378" t="str">
        <f> Concatenate('203'!D14,"  ",'203'!E14)</f>
        <v>Division/Group  </v>
      </c>
      <c r="C22" s="45" t="str">
        <f>'203'!F14</f>
        <v/>
      </c>
      <c r="E22" s="1038" t="str">
        <f>'203'!F41</f>
        <v/>
      </c>
      <c r="F22" s="55"/>
      <c r="G22" s="108"/>
      <c r="I22" s="212"/>
      <c r="K22" s="108"/>
      <c r="M22" s="212"/>
      <c r="O22" s="108"/>
      <c r="Q22" s="212"/>
    </row>
    <row r="23">
      <c r="B23" s="378" t="str">
        <f> Concatenate('203'!D15,"  ",'203'!E15)</f>
        <v>Branch  II</v>
      </c>
      <c r="C23" s="45" t="str">
        <f>'203'!F15</f>
        <v/>
      </c>
      <c r="G23" s="108"/>
      <c r="I23" s="1052" t="str">
        <f>'203'!A34</f>
        <v>Documentation Unit</v>
      </c>
      <c r="J23" s="210"/>
      <c r="K23" s="108"/>
      <c r="M23" s="1052" t="str">
        <f>'203'!A46</f>
        <v>Ground Support Unit</v>
      </c>
      <c r="N23" s="210"/>
      <c r="O23" s="108"/>
      <c r="Q23" s="1052" t="str">
        <f>'203'!D48</f>
        <v>Comp/Claims Unit</v>
      </c>
      <c r="R23" s="210"/>
    </row>
    <row r="24">
      <c r="B24" s="378" t="str">
        <f> Concatenate('203'!D16,"  ",'203'!E16)</f>
        <v>Division/Group  </v>
      </c>
      <c r="C24" s="45" t="str">
        <f>'203'!F16</f>
        <v/>
      </c>
      <c r="G24" s="108"/>
      <c r="H24" s="84"/>
      <c r="I24" s="1038" t="str">
        <f>'203'!B34</f>
        <v/>
      </c>
      <c r="J24" s="55"/>
      <c r="K24" s="108"/>
      <c r="L24" s="84"/>
      <c r="M24" s="1038" t="str">
        <f>'203'!B46</f>
        <v/>
      </c>
      <c r="N24" s="55"/>
      <c r="O24" s="108"/>
      <c r="P24" s="84"/>
      <c r="Q24" s="1038" t="str">
        <f>'203'!E48</f>
        <v/>
      </c>
      <c r="R24" s="55"/>
    </row>
    <row r="25">
      <c r="B25" s="378" t="str">
        <f> Concatenate('203'!D17,"  ",'203'!E17)</f>
        <v>Division/Group  </v>
      </c>
      <c r="C25" s="45" t="str">
        <f>'203'!F17</f>
        <v/>
      </c>
      <c r="G25" s="108"/>
      <c r="I25" s="212"/>
      <c r="K25" s="108"/>
      <c r="M25" s="212"/>
      <c r="O25" s="108"/>
      <c r="Q25" s="212"/>
    </row>
    <row r="26">
      <c r="B26" s="378" t="str">
        <f> Concatenate('203'!D18,"  ",'203'!E18)</f>
        <v>Division/Group  </v>
      </c>
      <c r="C26" s="45" t="str">
        <f>'203'!F18</f>
        <v/>
      </c>
      <c r="G26" s="108"/>
      <c r="I26" s="1052" t="str">
        <f>'203'!A35</f>
        <v>Demobilization Unit</v>
      </c>
      <c r="J26" s="210"/>
      <c r="K26" s="108"/>
      <c r="M26" s="1052" t="str">
        <f>'203'!A47</f>
        <v>Communications Unit</v>
      </c>
      <c r="N26" s="210"/>
      <c r="O26" s="108"/>
      <c r="Q26" s="1052" t="str">
        <f>'203'!D49</f>
        <v>Cost Unit</v>
      </c>
      <c r="R26" s="210"/>
    </row>
    <row r="27">
      <c r="B27" s="378" t="str">
        <f> Concatenate('203'!D19,"  ",'203'!E19)</f>
        <v>Division/Group  </v>
      </c>
      <c r="C27" s="45" t="str">
        <f>'203'!F19</f>
        <v/>
      </c>
      <c r="G27" s="108"/>
      <c r="H27" s="84"/>
      <c r="I27" s="1038" t="str">
        <f>'203'!B35</f>
        <v/>
      </c>
      <c r="J27" s="55"/>
      <c r="K27" s="108"/>
      <c r="L27" s="84"/>
      <c r="M27" s="1038" t="str">
        <f>'203'!B47</f>
        <v/>
      </c>
      <c r="N27" s="55"/>
      <c r="O27" s="108"/>
      <c r="P27" s="84"/>
      <c r="Q27" s="1038" t="str">
        <f>'203'!E49</f>
        <v/>
      </c>
      <c r="R27" s="55"/>
    </row>
    <row r="28">
      <c r="B28" s="378" t="str">
        <f> Concatenate('203'!D20,"  ",'203'!E20)</f>
        <v>Division/Group  </v>
      </c>
      <c r="C28" s="45" t="str">
        <f>'203'!F20</f>
        <v/>
      </c>
      <c r="G28" s="108"/>
      <c r="I28" s="212"/>
      <c r="K28" s="108"/>
      <c r="M28" s="212"/>
      <c r="O28" s="108"/>
      <c r="Q28" s="212"/>
    </row>
    <row r="29">
      <c r="A29" s="1054"/>
      <c r="B29" s="378" t="str">
        <f> Concatenate('203'!D21,"  ",'203'!E21)</f>
        <v>Branch  III</v>
      </c>
      <c r="C29" s="45" t="str">
        <f>'203'!F21</f>
        <v/>
      </c>
      <c r="G29" s="108"/>
      <c r="I29" s="1052" t="str">
        <f>'203'!A36</f>
        <v>GISS</v>
      </c>
      <c r="J29" s="210"/>
      <c r="K29" s="108"/>
      <c r="M29" s="1052" t="str">
        <f>'203'!A48</f>
        <v>Medical Unit</v>
      </c>
      <c r="N29" s="210"/>
      <c r="O29" s="108"/>
      <c r="Q29" s="1052" t="str">
        <f>'203'!D50</f>
        <v/>
      </c>
      <c r="R29" s="210"/>
    </row>
    <row r="30">
      <c r="B30" s="378" t="str">
        <f> Concatenate('203'!D22,"  ",'203'!E22)</f>
        <v>Division/Group  </v>
      </c>
      <c r="C30" s="45" t="str">
        <f>'203'!F22</f>
        <v/>
      </c>
      <c r="G30" s="108"/>
      <c r="H30" s="84"/>
      <c r="I30" s="1038" t="str">
        <f>'203'!B36</f>
        <v/>
      </c>
      <c r="J30" s="55"/>
      <c r="K30" s="108"/>
      <c r="L30" s="84"/>
      <c r="M30" s="1038" t="str">
        <f>'203'!B48</f>
        <v/>
      </c>
      <c r="N30" s="55"/>
      <c r="P30" s="1055"/>
      <c r="Q30" s="1056" t="str">
        <f>'203'!E50</f>
        <v/>
      </c>
      <c r="R30" s="55"/>
    </row>
    <row r="31">
      <c r="B31" s="378" t="str">
        <f> Concatenate('203'!D23,"  ",'203'!E23)</f>
        <v>Division/Group  </v>
      </c>
      <c r="C31" s="45" t="str">
        <f>'203'!F23</f>
        <v/>
      </c>
      <c r="G31" s="108"/>
      <c r="I31" s="212"/>
      <c r="K31" s="108"/>
      <c r="M31" s="212"/>
      <c r="Q31" s="212"/>
    </row>
    <row r="32">
      <c r="B32" s="378" t="str">
        <f> Concatenate('203'!D24,"  ",'203'!E24)</f>
        <v>Division/Group  </v>
      </c>
      <c r="C32" s="45" t="str">
        <f>'203'!F24</f>
        <v> </v>
      </c>
      <c r="G32" s="108"/>
      <c r="I32" s="1052" t="str">
        <f>'203'!A39</f>
        <v>Training Tech Spec</v>
      </c>
      <c r="J32" s="210"/>
      <c r="K32" s="108"/>
      <c r="M32" s="1052" t="str">
        <f>'203'!A49</f>
        <v/>
      </c>
      <c r="N32" s="210"/>
      <c r="Q32" s="212"/>
    </row>
    <row r="33">
      <c r="B33" s="378" t="str">
        <f> Concatenate('203'!D25,"  ",'203'!E25)</f>
        <v>Division/Group  </v>
      </c>
      <c r="C33" s="45" t="str">
        <f>'203'!F25</f>
        <v/>
      </c>
      <c r="G33" s="108"/>
      <c r="H33" s="84"/>
      <c r="I33" s="1038" t="str">
        <f>'203'!B39</f>
        <v/>
      </c>
      <c r="J33" s="55"/>
      <c r="K33" s="108"/>
      <c r="L33" s="84"/>
      <c r="M33" s="1038" t="str">
        <f>'203'!B49</f>
        <v/>
      </c>
      <c r="N33" s="55"/>
      <c r="Q33" s="212"/>
    </row>
    <row r="34">
      <c r="B34" s="378" t="str">
        <f> Concatenate('203'!D26,"  ",'203'!E26)</f>
        <v>Division/Group  </v>
      </c>
      <c r="C34" s="45" t="str">
        <f>'203'!F26</f>
        <v/>
      </c>
      <c r="G34" s="108"/>
      <c r="I34" s="212"/>
      <c r="K34" s="108"/>
      <c r="M34" s="212"/>
      <c r="Q34" s="212"/>
    </row>
    <row r="35">
      <c r="B35" s="378" t="str">
        <f> Concatenate('203'!D27,"  ",'203'!E27)</f>
        <v>Branch  IV</v>
      </c>
      <c r="C35" s="45" t="str">
        <f>'203'!F27</f>
        <v/>
      </c>
      <c r="G35" s="108"/>
      <c r="H35" s="94"/>
      <c r="I35" s="1052" t="str">
        <f>'203'!A40</f>
        <v/>
      </c>
      <c r="J35" s="210"/>
      <c r="K35" s="108"/>
      <c r="L35" s="94"/>
      <c r="M35" s="1057" t="str">
        <f>'203'!A50</f>
        <v/>
      </c>
      <c r="N35" s="210"/>
      <c r="Q35" s="212"/>
    </row>
    <row r="36">
      <c r="B36" s="378" t="str">
        <f> Concatenate('203'!D28,"  ",'203'!E28)</f>
        <v>Division/Group  </v>
      </c>
      <c r="C36" s="45" t="str">
        <f>'203'!F28</f>
        <v/>
      </c>
      <c r="G36" s="108"/>
      <c r="H36" s="84"/>
      <c r="I36" s="1038" t="str">
        <f>'203'!B40</f>
        <v/>
      </c>
      <c r="J36" s="55"/>
      <c r="K36" s="108"/>
      <c r="L36" s="84"/>
      <c r="M36" s="1038" t="str">
        <f>'203'!B50</f>
        <v/>
      </c>
      <c r="N36" s="55"/>
      <c r="Q36" s="212"/>
    </row>
    <row r="37">
      <c r="B37" s="378" t="str">
        <f> Concatenate('203'!D29,"  ",'203'!E29)</f>
        <v>Division/Group  </v>
      </c>
      <c r="C37" s="45" t="str">
        <f>'203'!F29</f>
        <v/>
      </c>
      <c r="G37" s="108"/>
      <c r="I37" s="212"/>
      <c r="K37" s="108"/>
      <c r="M37" s="212"/>
      <c r="Q37" s="212"/>
    </row>
    <row r="38">
      <c r="B38" s="378" t="str">
        <f> Concatenate('203'!D30,"  ",'203'!E30)</f>
        <v>Division/Group  </v>
      </c>
      <c r="C38" s="45" t="str">
        <f>'203'!F30</f>
        <v/>
      </c>
      <c r="G38" s="108"/>
      <c r="I38" s="1052" t="str">
        <f>'203'!A41</f>
        <v/>
      </c>
      <c r="J38" s="210"/>
      <c r="K38" s="108"/>
      <c r="L38" s="113"/>
      <c r="M38" s="1052"/>
      <c r="N38" s="210"/>
      <c r="Q38" s="212"/>
    </row>
    <row r="39">
      <c r="B39" s="378" t="str">
        <f> Concatenate('203'!D31,"  ",'203'!E31)</f>
        <v>Division/Group  </v>
      </c>
      <c r="C39" s="45" t="str">
        <f>'203'!F31</f>
        <v/>
      </c>
      <c r="G39" s="108"/>
      <c r="H39" s="84"/>
      <c r="I39" s="1038" t="str">
        <f>'203'!B41</f>
        <v/>
      </c>
      <c r="J39" s="55"/>
      <c r="L39" s="94"/>
      <c r="M39" s="1056"/>
      <c r="N39" s="55"/>
      <c r="Q39" s="212"/>
    </row>
    <row r="40">
      <c r="B40" s="378" t="str">
        <f> Concatenate('203'!D32,"  ",'203'!E32)</f>
        <v>Division/Group  </v>
      </c>
      <c r="C40" s="45" t="str">
        <f>'203'!F32</f>
        <v/>
      </c>
      <c r="G40" s="108"/>
      <c r="I40" s="212"/>
      <c r="M40" s="212"/>
    </row>
    <row r="41">
      <c r="B41" s="378" t="str">
        <f> Concatenate('203'!D33,"  ",'203'!E33)</f>
        <v>Branch  V</v>
      </c>
      <c r="C41" s="45" t="str">
        <f>'203'!F33</f>
        <v/>
      </c>
      <c r="G41" s="108"/>
      <c r="I41" s="1052"/>
      <c r="J41" s="210"/>
      <c r="M41" s="212"/>
    </row>
    <row r="42">
      <c r="B42" s="378" t="str">
        <f> Concatenate('203'!D34,"  ",'203'!E34)</f>
        <v>Division/Group  </v>
      </c>
      <c r="C42" s="45" t="str">
        <f>'203'!F34</f>
        <v/>
      </c>
      <c r="H42" s="84"/>
      <c r="I42" s="1038"/>
      <c r="J42" s="55"/>
      <c r="M42" s="212"/>
    </row>
    <row r="43">
      <c r="B43" s="378" t="str">
        <f> Concatenate('203'!D35,"  ",'203'!E35)</f>
        <v>Division/Group  </v>
      </c>
      <c r="C43" s="45" t="str">
        <f>'203'!F35</f>
        <v/>
      </c>
    </row>
    <row r="44">
      <c r="B44" s="378" t="str">
        <f> Concatenate('203'!D36,"  ",'203'!E36)</f>
        <v>Division/Group  </v>
      </c>
      <c r="C44" s="45" t="str">
        <f>'203'!F36</f>
        <v/>
      </c>
    </row>
    <row r="45">
      <c r="B45" s="378" t="str">
        <f> Concatenate('203'!D37,"  ",'203'!E37)</f>
        <v>Division/Group  </v>
      </c>
      <c r="C45" s="45" t="str">
        <f>'203'!F37</f>
        <v/>
      </c>
    </row>
    <row r="46">
      <c r="B46" s="378" t="str">
        <f> Concatenate('203'!D38,"  ",'203'!E38)</f>
        <v>Division/Group  </v>
      </c>
      <c r="C46" s="45" t="str">
        <f>'203'!F38</f>
        <v/>
      </c>
    </row>
  </sheetData>
  <mergeCells count="102">
    <mergeCell ref="B13:C13"/>
    <mergeCell ref="E13:F13"/>
    <mergeCell ref="B14:C14"/>
    <mergeCell ref="E14:F14"/>
    <mergeCell ref="I17:J17"/>
    <mergeCell ref="M17:N17"/>
    <mergeCell ref="Q17:R17"/>
    <mergeCell ref="E17:F17"/>
    <mergeCell ref="E18:F18"/>
    <mergeCell ref="I18:J18"/>
    <mergeCell ref="M18:N18"/>
    <mergeCell ref="E19:F19"/>
    <mergeCell ref="M19:N19"/>
    <mergeCell ref="M20:N20"/>
    <mergeCell ref="I19:J19"/>
    <mergeCell ref="I20:J20"/>
    <mergeCell ref="I21:J21"/>
    <mergeCell ref="I22:J22"/>
    <mergeCell ref="I23:J23"/>
    <mergeCell ref="I24:J24"/>
    <mergeCell ref="I25:J25"/>
    <mergeCell ref="I26:J26"/>
    <mergeCell ref="I27:J27"/>
    <mergeCell ref="I28:J28"/>
    <mergeCell ref="I29:J29"/>
    <mergeCell ref="I30:J30"/>
    <mergeCell ref="I31:J31"/>
    <mergeCell ref="I32:J32"/>
    <mergeCell ref="I40:J40"/>
    <mergeCell ref="I41:J41"/>
    <mergeCell ref="I42:J42"/>
    <mergeCell ref="I33:J33"/>
    <mergeCell ref="I34:J34"/>
    <mergeCell ref="I35:J35"/>
    <mergeCell ref="I36:J36"/>
    <mergeCell ref="I37:J37"/>
    <mergeCell ref="I38:J38"/>
    <mergeCell ref="I39:J39"/>
    <mergeCell ref="Q32:R32"/>
    <mergeCell ref="Q33:R33"/>
    <mergeCell ref="Q36:R36"/>
    <mergeCell ref="Q37:R37"/>
    <mergeCell ref="Q38:R38"/>
    <mergeCell ref="Q39:R39"/>
    <mergeCell ref="Q25:R25"/>
    <mergeCell ref="Q26:R26"/>
    <mergeCell ref="Q27:R27"/>
    <mergeCell ref="Q28:R28"/>
    <mergeCell ref="Q29:R29"/>
    <mergeCell ref="Q30:R30"/>
    <mergeCell ref="Q31:R31"/>
    <mergeCell ref="M35:N35"/>
    <mergeCell ref="M36:N36"/>
    <mergeCell ref="M37:N37"/>
    <mergeCell ref="M38:N38"/>
    <mergeCell ref="M39:N39"/>
    <mergeCell ref="M40:N40"/>
    <mergeCell ref="M41:N41"/>
    <mergeCell ref="M42:N42"/>
    <mergeCell ref="M28:N28"/>
    <mergeCell ref="M29:N29"/>
    <mergeCell ref="M30:N30"/>
    <mergeCell ref="M31:N31"/>
    <mergeCell ref="M32:N32"/>
    <mergeCell ref="M33:N33"/>
    <mergeCell ref="M34:N34"/>
    <mergeCell ref="B1:C1"/>
    <mergeCell ref="I1:J1"/>
    <mergeCell ref="B2:C2"/>
    <mergeCell ref="I2:J2"/>
    <mergeCell ref="M2:N2"/>
    <mergeCell ref="B3:C3"/>
    <mergeCell ref="M3:N3"/>
    <mergeCell ref="I12:J12"/>
    <mergeCell ref="M12:N12"/>
    <mergeCell ref="Q12:R12"/>
    <mergeCell ref="M4:N4"/>
    <mergeCell ref="M5:N5"/>
    <mergeCell ref="M6:N6"/>
    <mergeCell ref="M7:N7"/>
    <mergeCell ref="M8:N8"/>
    <mergeCell ref="M9:N9"/>
    <mergeCell ref="B12:C12"/>
    <mergeCell ref="E20:F20"/>
    <mergeCell ref="E21:F21"/>
    <mergeCell ref="E22:F22"/>
    <mergeCell ref="M21:N21"/>
    <mergeCell ref="M22:N22"/>
    <mergeCell ref="M23:N23"/>
    <mergeCell ref="M24:N24"/>
    <mergeCell ref="M25:N25"/>
    <mergeCell ref="M26:N26"/>
    <mergeCell ref="M27:N27"/>
    <mergeCell ref="Q34:R34"/>
    <mergeCell ref="Q35:R35"/>
    <mergeCell ref="Q18:R18"/>
    <mergeCell ref="Q19:R19"/>
    <mergeCell ref="Q20:R20"/>
    <mergeCell ref="Q21:R21"/>
    <mergeCell ref="Q22:R22"/>
    <mergeCell ref="Q23:R23"/>
    <mergeCell ref="Q24:R24"/>
  </mergeCells>
  <conditionalFormatting sqref="B17:C46">
    <cfRule type="expression" dxfId="10" priority="1">
      <formula> (Search("Branch",$B17,1))</formula>
    </cfRule>
  </conditionalFormatting>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58" t="s">
        <v>2200</v>
      </c>
      <c r="B1" s="77"/>
      <c r="C1" s="77"/>
      <c r="D1" s="77"/>
      <c r="E1" s="77"/>
      <c r="F1" s="77"/>
      <c r="G1" s="77"/>
      <c r="H1" s="77"/>
    </row>
    <row r="2">
      <c r="A2" s="1059" t="s">
        <v>1143</v>
      </c>
      <c r="B2" s="517"/>
      <c r="C2" s="1060" t="s">
        <v>283</v>
      </c>
      <c r="D2" s="165"/>
      <c r="E2" s="1061" t="s">
        <v>1144</v>
      </c>
      <c r="F2" s="1062">
        <f>OpDate</f>
        <v>43893</v>
      </c>
      <c r="G2" s="1063" t="s">
        <v>1145</v>
      </c>
      <c r="H2" s="1062">
        <f>OpDateTo</f>
        <v>43894</v>
      </c>
    </row>
    <row r="3">
      <c r="A3" s="1064" t="str">
        <f>IncName</f>
        <v>NO NAME</v>
      </c>
      <c r="B3" s="78"/>
      <c r="C3" s="316"/>
      <c r="D3" s="77"/>
      <c r="E3" s="1065" t="s">
        <v>131</v>
      </c>
      <c r="F3" s="1066" t="str">
        <f>OpStart</f>
        <v>0700</v>
      </c>
      <c r="G3" s="1067" t="s">
        <v>133</v>
      </c>
      <c r="H3" s="1066" t="str">
        <f>OpEnd</f>
        <v>0700</v>
      </c>
    </row>
    <row r="4">
      <c r="A4" s="1068"/>
      <c r="B4" s="1069"/>
      <c r="C4" s="165"/>
      <c r="D4" s="165"/>
      <c r="E4" s="165"/>
      <c r="F4" s="165"/>
      <c r="G4" s="165"/>
      <c r="H4" s="1070"/>
    </row>
    <row r="5">
      <c r="A5" s="1071" t="s">
        <v>2201</v>
      </c>
      <c r="B5" s="1072"/>
      <c r="C5" s="165"/>
      <c r="D5" s="165"/>
      <c r="E5" s="165"/>
      <c r="F5" s="165"/>
      <c r="G5" s="210"/>
      <c r="H5" s="1073" t="s">
        <v>198</v>
      </c>
    </row>
    <row r="6">
      <c r="A6" s="1071" t="s">
        <v>517</v>
      </c>
      <c r="B6" s="1074"/>
      <c r="G6" s="94"/>
      <c r="H6" s="1073" t="s">
        <v>2202</v>
      </c>
    </row>
    <row r="7">
      <c r="A7" s="1071" t="s">
        <v>2203</v>
      </c>
      <c r="B7" s="1075" t="s">
        <v>2204</v>
      </c>
      <c r="G7" s="94"/>
      <c r="H7" s="1076" t="s">
        <v>2205</v>
      </c>
    </row>
    <row r="8">
      <c r="A8" s="1071" t="s">
        <v>2206</v>
      </c>
      <c r="B8" s="166"/>
      <c r="G8" s="94"/>
      <c r="H8" s="1073" t="s">
        <v>2201</v>
      </c>
    </row>
    <row r="9">
      <c r="A9" s="1071" t="s">
        <v>2202</v>
      </c>
      <c r="B9" s="1075" t="s">
        <v>2207</v>
      </c>
      <c r="G9" s="94"/>
      <c r="H9" s="1073"/>
    </row>
    <row r="10">
      <c r="A10" s="1071" t="s">
        <v>2208</v>
      </c>
      <c r="B10" s="166"/>
      <c r="G10" s="94"/>
      <c r="H10" s="1073" t="s">
        <v>2209</v>
      </c>
    </row>
    <row r="11">
      <c r="A11" s="1071"/>
      <c r="B11" s="1075" t="s">
        <v>2210</v>
      </c>
      <c r="G11" s="94"/>
      <c r="H11" s="1073" t="s">
        <v>2211</v>
      </c>
    </row>
    <row r="12">
      <c r="A12" s="1071" t="s">
        <v>2201</v>
      </c>
      <c r="B12" s="166"/>
      <c r="G12" s="94"/>
      <c r="H12" s="1073"/>
    </row>
    <row r="13">
      <c r="A13" s="1071" t="s">
        <v>517</v>
      </c>
      <c r="B13" s="1075" t="s">
        <v>2212</v>
      </c>
      <c r="G13" s="94"/>
      <c r="H13" s="1073" t="s">
        <v>2202</v>
      </c>
    </row>
    <row r="14">
      <c r="A14" s="1071" t="s">
        <v>2203</v>
      </c>
      <c r="B14" s="166"/>
      <c r="G14" s="94"/>
      <c r="H14" s="1073" t="s">
        <v>2213</v>
      </c>
    </row>
    <row r="15">
      <c r="A15" s="1071" t="s">
        <v>2206</v>
      </c>
      <c r="B15" s="1075" t="s">
        <v>2214</v>
      </c>
      <c r="G15" s="94"/>
      <c r="H15" s="1073"/>
    </row>
    <row r="16">
      <c r="A16" s="1071" t="s">
        <v>2202</v>
      </c>
      <c r="B16" s="166"/>
      <c r="G16" s="94"/>
      <c r="H16" s="1073" t="s">
        <v>2208</v>
      </c>
    </row>
    <row r="17">
      <c r="A17" s="1071" t="s">
        <v>2208</v>
      </c>
      <c r="B17" s="1075" t="s">
        <v>2215</v>
      </c>
      <c r="G17" s="94"/>
      <c r="H17" s="1073" t="s">
        <v>2213</v>
      </c>
    </row>
    <row r="18">
      <c r="A18" s="1071"/>
      <c r="B18" s="166"/>
      <c r="G18" s="94"/>
      <c r="H18" s="1073" t="s">
        <v>2209</v>
      </c>
    </row>
    <row r="19">
      <c r="A19" s="1071" t="s">
        <v>2201</v>
      </c>
      <c r="B19" s="1075" t="s">
        <v>2216</v>
      </c>
      <c r="G19" s="94"/>
      <c r="H19" s="1073" t="s">
        <v>2217</v>
      </c>
    </row>
    <row r="20">
      <c r="A20" s="1071" t="s">
        <v>517</v>
      </c>
      <c r="B20" s="166"/>
      <c r="G20" s="94"/>
      <c r="H20" s="1073" t="s">
        <v>2217</v>
      </c>
    </row>
    <row r="21">
      <c r="A21" s="1071" t="s">
        <v>2203</v>
      </c>
      <c r="B21" s="1075" t="s">
        <v>2218</v>
      </c>
      <c r="G21" s="94"/>
      <c r="H21" s="1073" t="s">
        <v>2217</v>
      </c>
    </row>
    <row r="22">
      <c r="A22" s="1071" t="s">
        <v>2206</v>
      </c>
      <c r="B22" s="166"/>
      <c r="G22" s="94"/>
      <c r="H22" s="1073" t="s">
        <v>2217</v>
      </c>
    </row>
    <row r="23">
      <c r="A23" s="1071" t="s">
        <v>2202</v>
      </c>
      <c r="B23" s="311"/>
      <c r="H23" s="1073" t="s">
        <v>2217</v>
      </c>
    </row>
    <row r="24">
      <c r="A24" s="1071" t="s">
        <v>2208</v>
      </c>
      <c r="B24" s="166"/>
      <c r="H24" s="1073" t="s">
        <v>2217</v>
      </c>
    </row>
    <row r="25">
      <c r="A25" s="1071"/>
      <c r="B25" s="1077"/>
      <c r="G25" s="94"/>
      <c r="H25" s="1073" t="s">
        <v>2217</v>
      </c>
    </row>
    <row r="26">
      <c r="A26" s="1071" t="s">
        <v>2201</v>
      </c>
      <c r="B26" s="166"/>
      <c r="G26" s="94"/>
      <c r="H26" s="1073" t="s">
        <v>2217</v>
      </c>
    </row>
    <row r="27">
      <c r="A27" s="1071" t="s">
        <v>517</v>
      </c>
      <c r="B27" s="311"/>
      <c r="G27" s="94"/>
      <c r="H27" s="1073" t="s">
        <v>2217</v>
      </c>
    </row>
    <row r="28">
      <c r="A28" s="1071" t="s">
        <v>2203</v>
      </c>
      <c r="B28" s="166"/>
      <c r="G28" s="94"/>
      <c r="H28" s="1073" t="s">
        <v>2217</v>
      </c>
    </row>
    <row r="29">
      <c r="A29" s="1071" t="s">
        <v>2206</v>
      </c>
      <c r="B29" s="311"/>
      <c r="H29" s="1073" t="s">
        <v>2217</v>
      </c>
    </row>
    <row r="30">
      <c r="A30" s="1071" t="s">
        <v>2202</v>
      </c>
      <c r="B30" s="166"/>
      <c r="H30" s="1073" t="s">
        <v>2217</v>
      </c>
    </row>
    <row r="31">
      <c r="A31" s="1071" t="s">
        <v>2208</v>
      </c>
      <c r="B31" s="311"/>
      <c r="G31" s="94"/>
      <c r="H31" s="1073" t="s">
        <v>2217</v>
      </c>
    </row>
    <row r="32">
      <c r="A32" s="1071"/>
      <c r="B32" s="166"/>
      <c r="G32" s="94"/>
      <c r="H32" s="1078"/>
    </row>
    <row r="33">
      <c r="A33" s="1071"/>
      <c r="B33" s="311"/>
      <c r="G33" s="94"/>
      <c r="H33" s="1079"/>
    </row>
    <row r="34">
      <c r="A34" s="1071"/>
      <c r="B34" s="166"/>
      <c r="G34" s="94"/>
      <c r="H34" s="1078"/>
    </row>
    <row r="35">
      <c r="A35" s="1080" t="s">
        <v>2219</v>
      </c>
      <c r="B35" s="1081" t="str">
        <f>'203'!B7</f>
        <v/>
      </c>
      <c r="C35" s="165"/>
      <c r="D35" s="1082" t="s">
        <v>1152</v>
      </c>
      <c r="E35" s="1083" t="s">
        <v>2220</v>
      </c>
      <c r="F35" s="1084" t="s">
        <v>388</v>
      </c>
      <c r="G35" s="165"/>
      <c r="H35" s="210"/>
    </row>
    <row r="36">
      <c r="A36" s="321" t="s">
        <v>322</v>
      </c>
      <c r="B36" s="383"/>
      <c r="C36" s="1085" t="s">
        <v>389</v>
      </c>
      <c r="D36" s="1086">
        <f>'101 General Info'!D8 -1</f>
        <v>43892</v>
      </c>
      <c r="E36" s="1087" t="s">
        <v>2221</v>
      </c>
      <c r="F36" s="77"/>
      <c r="G36" s="77"/>
      <c r="H36" s="55"/>
    </row>
  </sheetData>
  <mergeCells count="24">
    <mergeCell ref="A1:H1"/>
    <mergeCell ref="A2:B2"/>
    <mergeCell ref="C2:D2"/>
    <mergeCell ref="A3:B3"/>
    <mergeCell ref="C3:D3"/>
    <mergeCell ref="B4:G4"/>
    <mergeCell ref="B5:G5"/>
    <mergeCell ref="B6:G6"/>
    <mergeCell ref="B7:G8"/>
    <mergeCell ref="B9:G10"/>
    <mergeCell ref="B11:G12"/>
    <mergeCell ref="B13:G14"/>
    <mergeCell ref="B15:G16"/>
    <mergeCell ref="B17:G18"/>
    <mergeCell ref="B33:G34"/>
    <mergeCell ref="B35:C35"/>
    <mergeCell ref="F35:H36"/>
    <mergeCell ref="B19:G20"/>
    <mergeCell ref="B21:G22"/>
    <mergeCell ref="B23:G24"/>
    <mergeCell ref="B25:G26"/>
    <mergeCell ref="B27:G28"/>
    <mergeCell ref="B29:G30"/>
    <mergeCell ref="B31:G32"/>
  </mergeCells>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58" t="s">
        <v>2222</v>
      </c>
      <c r="B1" s="77"/>
      <c r="C1" s="77"/>
      <c r="D1" s="77"/>
      <c r="E1" s="77"/>
      <c r="F1" s="77"/>
      <c r="G1" s="77"/>
      <c r="H1" s="77"/>
    </row>
    <row r="2">
      <c r="A2" s="1059" t="s">
        <v>1143</v>
      </c>
      <c r="B2" s="517"/>
      <c r="C2" s="1060" t="s">
        <v>283</v>
      </c>
      <c r="D2" s="165"/>
      <c r="E2" s="1061" t="s">
        <v>1144</v>
      </c>
      <c r="F2" s="1062">
        <f>OpDate</f>
        <v>43893</v>
      </c>
      <c r="G2" s="1063" t="s">
        <v>1145</v>
      </c>
      <c r="H2" s="1062">
        <f>OpDateTo</f>
        <v>43894</v>
      </c>
    </row>
    <row r="3">
      <c r="A3" s="1064" t="str">
        <f>IncName</f>
        <v>NO NAME</v>
      </c>
      <c r="B3" s="78"/>
      <c r="C3" s="316"/>
      <c r="D3" s="77"/>
      <c r="E3" s="1065" t="s">
        <v>131</v>
      </c>
      <c r="F3" s="1066" t="str">
        <f>OpStart</f>
        <v>0700</v>
      </c>
      <c r="G3" s="1067" t="s">
        <v>133</v>
      </c>
      <c r="H3" s="1066" t="str">
        <f>OpEnd</f>
        <v>0700</v>
      </c>
    </row>
    <row r="4">
      <c r="A4" s="1088" t="s">
        <v>2204</v>
      </c>
      <c r="B4" s="165"/>
      <c r="C4" s="165"/>
      <c r="D4" s="165"/>
      <c r="E4" s="165"/>
      <c r="F4" s="165"/>
      <c r="G4" s="165"/>
      <c r="H4" s="210"/>
    </row>
    <row r="5">
      <c r="A5" s="166"/>
      <c r="H5" s="94"/>
    </row>
    <row r="6">
      <c r="A6" s="1089" t="s">
        <v>2207</v>
      </c>
      <c r="H6" s="94"/>
    </row>
    <row r="7">
      <c r="A7" s="166"/>
      <c r="H7" s="94"/>
    </row>
    <row r="8">
      <c r="A8" s="1089" t="s">
        <v>2210</v>
      </c>
      <c r="H8" s="94"/>
    </row>
    <row r="9">
      <c r="A9" s="166"/>
      <c r="H9" s="94"/>
    </row>
    <row r="10">
      <c r="A10" s="1089" t="s">
        <v>2212</v>
      </c>
      <c r="H10" s="94"/>
    </row>
    <row r="11">
      <c r="A11" s="166"/>
      <c r="H11" s="94"/>
    </row>
    <row r="12">
      <c r="A12" s="1089" t="s">
        <v>2214</v>
      </c>
      <c r="H12" s="94"/>
    </row>
    <row r="13">
      <c r="A13" s="166"/>
      <c r="H13" s="94"/>
    </row>
    <row r="14">
      <c r="A14" s="1089" t="s">
        <v>2215</v>
      </c>
      <c r="H14" s="94"/>
    </row>
    <row r="15">
      <c r="A15" s="166"/>
      <c r="H15" s="94"/>
    </row>
    <row r="16">
      <c r="A16" s="1089" t="s">
        <v>2216</v>
      </c>
      <c r="H16" s="94"/>
    </row>
    <row r="17">
      <c r="A17" s="166"/>
      <c r="H17" s="94"/>
    </row>
    <row r="18">
      <c r="A18" s="1089" t="s">
        <v>2218</v>
      </c>
      <c r="H18" s="94"/>
    </row>
    <row r="19">
      <c r="A19" s="1089"/>
      <c r="H19" s="94"/>
    </row>
    <row r="20">
      <c r="A20" s="166"/>
      <c r="H20" s="94"/>
    </row>
    <row r="21">
      <c r="A21" s="166"/>
      <c r="H21" s="94"/>
    </row>
    <row r="22">
      <c r="A22" s="166"/>
      <c r="H22" s="94"/>
    </row>
    <row r="23">
      <c r="A23" s="166"/>
      <c r="H23" s="94"/>
    </row>
    <row r="24">
      <c r="A24" s="166"/>
      <c r="H24" s="94"/>
    </row>
    <row r="25">
      <c r="A25" s="166"/>
      <c r="H25" s="94"/>
    </row>
    <row r="26">
      <c r="A26" s="166"/>
      <c r="H26" s="94"/>
    </row>
    <row r="27">
      <c r="A27" s="166"/>
      <c r="H27" s="94"/>
    </row>
    <row r="28">
      <c r="A28" s="166"/>
      <c r="H28" s="94"/>
    </row>
    <row r="29">
      <c r="A29" s="166"/>
      <c r="H29" s="94"/>
    </row>
    <row r="30">
      <c r="A30" s="166"/>
      <c r="H30" s="94"/>
    </row>
    <row r="31">
      <c r="A31" s="166"/>
      <c r="H31" s="94"/>
    </row>
    <row r="32">
      <c r="A32" s="166"/>
      <c r="H32" s="94"/>
    </row>
    <row r="33">
      <c r="A33" s="166"/>
      <c r="H33" s="94"/>
    </row>
    <row r="34">
      <c r="A34" s="166"/>
      <c r="H34" s="94"/>
    </row>
    <row r="35">
      <c r="A35" s="166"/>
      <c r="H35" s="94"/>
    </row>
    <row r="36">
      <c r="A36" s="166"/>
      <c r="H36" s="94"/>
    </row>
    <row r="37">
      <c r="A37" s="166"/>
      <c r="H37" s="94"/>
    </row>
    <row r="38">
      <c r="A38" s="166"/>
      <c r="H38" s="94"/>
    </row>
    <row r="39">
      <c r="A39" s="166"/>
      <c r="H39" s="94"/>
    </row>
    <row r="40">
      <c r="A40" s="104"/>
      <c r="B40" s="77"/>
      <c r="C40" s="77"/>
      <c r="D40" s="77"/>
      <c r="E40" s="77"/>
      <c r="F40" s="77"/>
      <c r="G40" s="77"/>
      <c r="H40" s="55"/>
    </row>
    <row r="41">
      <c r="A41" s="1090" t="s">
        <v>2223</v>
      </c>
      <c r="B41" s="1091"/>
      <c r="C41" s="1092" t="s">
        <v>166</v>
      </c>
      <c r="D41" s="1093"/>
      <c r="E41" s="1094"/>
      <c r="F41" s="1093"/>
      <c r="G41" s="1093"/>
      <c r="H41" s="669"/>
    </row>
    <row r="42">
      <c r="A42" s="1095" t="s">
        <v>2224</v>
      </c>
      <c r="B42" s="1096"/>
      <c r="C42" s="1097"/>
      <c r="D42" s="24"/>
      <c r="E42" s="1097"/>
      <c r="F42" s="24"/>
      <c r="G42" s="24"/>
      <c r="H42" s="242"/>
    </row>
    <row r="43">
      <c r="A43" s="1080" t="s">
        <v>2219</v>
      </c>
      <c r="B43" s="1098" t="str">
        <f>'203'!B7</f>
        <v/>
      </c>
      <c r="C43" s="165"/>
      <c r="D43" s="1082" t="s">
        <v>1152</v>
      </c>
      <c r="E43" s="1083" t="s">
        <v>2220</v>
      </c>
      <c r="F43" s="1084" t="s">
        <v>388</v>
      </c>
      <c r="G43" s="165"/>
      <c r="H43" s="210"/>
    </row>
    <row r="44">
      <c r="A44" s="321" t="s">
        <v>322</v>
      </c>
      <c r="B44" s="383"/>
      <c r="C44" s="1085" t="s">
        <v>389</v>
      </c>
      <c r="D44" s="1086">
        <f>'101 General Info'!D8 -1</f>
        <v>43892</v>
      </c>
      <c r="E44" s="1087" t="s">
        <v>2221</v>
      </c>
      <c r="F44" s="77"/>
      <c r="G44" s="77"/>
      <c r="H44" s="55"/>
    </row>
  </sheetData>
  <mergeCells count="23">
    <mergeCell ref="A1:H1"/>
    <mergeCell ref="A2:B2"/>
    <mergeCell ref="C2:D2"/>
    <mergeCell ref="A3:B3"/>
    <mergeCell ref="C3:D3"/>
    <mergeCell ref="A4:H4"/>
    <mergeCell ref="A5:H5"/>
    <mergeCell ref="A6:H6"/>
    <mergeCell ref="A7:H7"/>
    <mergeCell ref="A8:H8"/>
    <mergeCell ref="A9:H9"/>
    <mergeCell ref="A10:H10"/>
    <mergeCell ref="A11:H11"/>
    <mergeCell ref="A12:H12"/>
    <mergeCell ref="B43:C43"/>
    <mergeCell ref="F43:H44"/>
    <mergeCell ref="A13:H13"/>
    <mergeCell ref="A14:H14"/>
    <mergeCell ref="A15:H15"/>
    <mergeCell ref="A16:H16"/>
    <mergeCell ref="A17:H17"/>
    <mergeCell ref="A18:H18"/>
    <mergeCell ref="A19:H40"/>
  </mergeCells>
  <dataValidations>
    <dataValidation type="list" allowBlank="1" sqref="C41">
      <formula1>"☑ Yes,☐ No"</formula1>
    </dataValidation>
  </dataValidations>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5.0"/>
    <col customWidth="1" min="2" max="2" width="6.63"/>
    <col customWidth="1" min="3" max="3" width="6.25"/>
    <col customWidth="1" min="4" max="4" width="5.13"/>
    <col customWidth="1" min="5" max="5" width="7.63"/>
    <col customWidth="1" min="6" max="6" width="11.88"/>
    <col customWidth="1" min="7" max="7" width="7.5"/>
    <col customWidth="1" min="8" max="8" width="10.5"/>
    <col customWidth="1" min="9" max="9" width="10.63"/>
    <col customWidth="1" min="11" max="11" width="7.0"/>
    <col customWidth="1" min="12" max="12" width="6.0"/>
    <col customWidth="1" min="13" max="13" width="3.88"/>
    <col customWidth="1" min="14" max="14" width="3.75"/>
    <col customWidth="1" min="15" max="15" width="8.0"/>
    <col customWidth="1" min="16" max="16" width="6.75"/>
    <col customWidth="1" min="17" max="17" width="8.88"/>
    <col customWidth="1" min="18" max="18" width="6.75"/>
    <col customWidth="1" min="19" max="19" width="9.75"/>
    <col customWidth="1" min="20" max="20" width="10.88"/>
    <col customWidth="1" min="21" max="21" width="4.63"/>
    <col customWidth="1" min="22" max="22" width="6.63"/>
  </cols>
  <sheetData>
    <row r="1">
      <c r="A1" s="1099" t="s">
        <v>2225</v>
      </c>
    </row>
    <row r="2">
      <c r="A2" s="1100" t="s">
        <v>2226</v>
      </c>
      <c r="B2" s="74"/>
      <c r="C2" s="74"/>
      <c r="D2" s="74"/>
      <c r="E2" s="74"/>
      <c r="F2" s="45"/>
      <c r="G2" s="1101" t="s">
        <v>2189</v>
      </c>
      <c r="H2" s="165"/>
      <c r="I2" s="165"/>
      <c r="J2" s="210"/>
      <c r="K2" s="1102" t="s">
        <v>2227</v>
      </c>
      <c r="L2" s="74"/>
      <c r="M2" s="74"/>
      <c r="N2" s="74"/>
      <c r="O2" s="74"/>
      <c r="P2" s="74"/>
      <c r="Q2" s="74"/>
      <c r="R2" s="74"/>
      <c r="S2" s="45"/>
      <c r="T2" s="1103" t="s">
        <v>262</v>
      </c>
      <c r="U2" s="165"/>
      <c r="V2" s="210"/>
    </row>
    <row r="3">
      <c r="A3" s="1104"/>
      <c r="F3" s="94"/>
      <c r="G3" s="1105" t="str">
        <f>IncName</f>
        <v>NO NAME</v>
      </c>
      <c r="J3" s="94"/>
      <c r="K3" s="316" t="b">
        <v>0</v>
      </c>
      <c r="L3" s="55"/>
      <c r="M3" s="314" t="b">
        <v>0</v>
      </c>
      <c r="N3" s="77"/>
      <c r="O3" s="55"/>
      <c r="P3" s="314" t="b">
        <v>0</v>
      </c>
      <c r="Q3" s="55"/>
      <c r="R3" s="314" t="b">
        <v>0</v>
      </c>
      <c r="S3" s="55"/>
      <c r="T3" s="104"/>
      <c r="U3" s="77"/>
      <c r="V3" s="55"/>
    </row>
    <row r="4">
      <c r="A4" s="311" t="b">
        <v>0</v>
      </c>
      <c r="B4" s="1106" t="s">
        <v>427</v>
      </c>
      <c r="D4" s="41" t="b">
        <v>0</v>
      </c>
      <c r="E4" s="1106" t="s">
        <v>2228</v>
      </c>
      <c r="F4" s="1107" t="b">
        <v>0</v>
      </c>
      <c r="J4" s="94"/>
      <c r="K4" s="1108" t="s">
        <v>2229</v>
      </c>
      <c r="L4" s="45"/>
      <c r="M4" s="1109" t="s">
        <v>2230</v>
      </c>
      <c r="N4" s="74"/>
      <c r="O4" s="45"/>
      <c r="P4" s="1109" t="s">
        <v>2231</v>
      </c>
      <c r="Q4" s="45"/>
      <c r="R4" s="1109" t="s">
        <v>2232</v>
      </c>
      <c r="S4" s="45"/>
      <c r="T4" s="1110" t="s">
        <v>2233</v>
      </c>
      <c r="U4" s="165"/>
      <c r="V4" s="210"/>
    </row>
    <row r="5">
      <c r="A5" s="311" t="b">
        <v>0</v>
      </c>
      <c r="B5" s="1106" t="s">
        <v>2234</v>
      </c>
      <c r="D5" s="41" t="b">
        <v>0</v>
      </c>
      <c r="E5" s="1106" t="s">
        <v>2235</v>
      </c>
      <c r="F5" s="1107" t="b">
        <v>0</v>
      </c>
      <c r="J5" s="94"/>
      <c r="K5" s="314" t="b">
        <v>0</v>
      </c>
      <c r="L5" s="55"/>
      <c r="M5" s="314" t="b">
        <v>0</v>
      </c>
      <c r="N5" s="77"/>
      <c r="O5" s="55"/>
      <c r="P5" s="314" t="b">
        <v>0</v>
      </c>
      <c r="Q5" s="55"/>
      <c r="R5" s="314" t="b">
        <v>0</v>
      </c>
      <c r="S5" s="55"/>
      <c r="T5" s="104"/>
      <c r="U5" s="77"/>
      <c r="V5" s="55"/>
    </row>
    <row r="6">
      <c r="A6" s="311"/>
      <c r="B6" s="1106" t="s">
        <v>2236</v>
      </c>
      <c r="D6" s="41"/>
      <c r="E6" s="1106" t="s">
        <v>2237</v>
      </c>
      <c r="F6" s="1111" t="b">
        <v>0</v>
      </c>
      <c r="J6" s="94"/>
      <c r="K6" s="1110" t="s">
        <v>2238</v>
      </c>
      <c r="L6" s="210"/>
      <c r="M6" s="1110" t="s">
        <v>2239</v>
      </c>
      <c r="N6" s="165"/>
      <c r="O6" s="210"/>
      <c r="R6" s="166"/>
      <c r="T6" s="1048"/>
      <c r="U6" s="165"/>
      <c r="V6" s="210"/>
    </row>
    <row r="7">
      <c r="A7" s="1112" t="s">
        <v>2240</v>
      </c>
      <c r="B7" s="864"/>
      <c r="C7" s="864"/>
      <c r="D7" s="864"/>
      <c r="E7" s="864"/>
      <c r="F7" s="864"/>
      <c r="G7" s="864"/>
      <c r="H7" s="864"/>
      <c r="I7" s="864"/>
      <c r="J7" s="864"/>
      <c r="K7" s="864"/>
      <c r="L7" s="864"/>
      <c r="M7" s="864"/>
      <c r="N7" s="864"/>
      <c r="O7" s="864"/>
      <c r="P7" s="864"/>
      <c r="Q7" s="864"/>
      <c r="R7" s="864"/>
      <c r="S7" s="864"/>
      <c r="T7" s="864"/>
      <c r="U7" s="864"/>
      <c r="V7" s="1113"/>
    </row>
    <row r="8" ht="29.25" customHeight="1">
      <c r="A8" s="1114" t="s">
        <v>2241</v>
      </c>
      <c r="G8" s="1115" t="s">
        <v>2242</v>
      </c>
      <c r="H8" s="1115" t="s">
        <v>2243</v>
      </c>
      <c r="I8" s="1115" t="s">
        <v>2244</v>
      </c>
      <c r="J8" s="1116" t="s">
        <v>2245</v>
      </c>
      <c r="K8" s="94"/>
      <c r="L8" s="1115" t="s">
        <v>2246</v>
      </c>
      <c r="M8" s="1117" t="s">
        <v>2247</v>
      </c>
      <c r="O8" s="94"/>
      <c r="P8" s="1115" t="s">
        <v>2248</v>
      </c>
      <c r="Q8" s="1115" t="s">
        <v>2249</v>
      </c>
      <c r="R8" s="1115" t="s">
        <v>2250</v>
      </c>
      <c r="S8" s="1115" t="s">
        <v>2251</v>
      </c>
      <c r="T8" s="1115" t="s">
        <v>2252</v>
      </c>
      <c r="U8" s="1115" t="s">
        <v>172</v>
      </c>
      <c r="V8" s="1115" t="s">
        <v>2253</v>
      </c>
    </row>
    <row r="9" ht="18.0" customHeight="1">
      <c r="A9" s="1118" t="s">
        <v>2254</v>
      </c>
      <c r="B9" s="1118" t="s">
        <v>2255</v>
      </c>
      <c r="C9" s="1119" t="s">
        <v>2256</v>
      </c>
      <c r="D9" s="210"/>
      <c r="E9" s="1118" t="s">
        <v>2257</v>
      </c>
      <c r="F9" s="1120" t="s">
        <v>2258</v>
      </c>
      <c r="G9" s="813"/>
      <c r="H9" s="813"/>
      <c r="I9" s="813"/>
      <c r="J9" s="77"/>
      <c r="K9" s="55"/>
      <c r="L9" s="813"/>
      <c r="M9" s="104"/>
      <c r="N9" s="77"/>
      <c r="O9" s="55"/>
      <c r="P9" s="813"/>
      <c r="Q9" s="813"/>
      <c r="R9" s="813"/>
      <c r="S9" s="813"/>
      <c r="T9" s="813"/>
      <c r="U9" s="813"/>
      <c r="V9" s="813"/>
    </row>
    <row r="10" ht="30.0" customHeight="1">
      <c r="A10" s="1121"/>
      <c r="B10" s="1122"/>
      <c r="C10" s="1123"/>
      <c r="D10" s="136"/>
      <c r="E10" s="1124"/>
      <c r="F10" s="1125"/>
      <c r="G10" s="1124"/>
      <c r="H10" s="1126"/>
      <c r="I10" s="1127"/>
      <c r="J10" s="1128"/>
      <c r="K10" s="136"/>
      <c r="L10" s="1121"/>
      <c r="M10" s="1129"/>
      <c r="N10" s="135"/>
      <c r="O10" s="136"/>
      <c r="P10" s="1121"/>
      <c r="Q10" s="1121"/>
      <c r="R10" s="1121"/>
      <c r="S10" s="1130"/>
      <c r="T10" s="1130"/>
      <c r="U10" s="1121"/>
      <c r="V10" s="1121"/>
    </row>
    <row r="11" ht="30.0" customHeight="1">
      <c r="A11" s="1131"/>
      <c r="B11" s="1132"/>
      <c r="C11" s="1133"/>
      <c r="D11" s="45"/>
      <c r="E11" s="1134"/>
      <c r="F11" s="1131"/>
      <c r="G11" s="1134"/>
      <c r="H11" s="1126"/>
      <c r="I11" s="1135"/>
      <c r="J11" s="355"/>
      <c r="K11" s="45"/>
      <c r="L11" s="1131"/>
      <c r="M11" s="1136"/>
      <c r="N11" s="74"/>
      <c r="O11" s="45"/>
      <c r="P11" s="1131"/>
      <c r="Q11" s="1131"/>
      <c r="R11" s="1131"/>
      <c r="S11" s="1137"/>
      <c r="T11" s="1137"/>
      <c r="U11" s="1137"/>
      <c r="V11" s="1131"/>
    </row>
    <row r="12" ht="30.0" customHeight="1">
      <c r="A12" s="1137"/>
      <c r="B12" s="1138"/>
      <c r="C12" s="1139"/>
      <c r="D12" s="45"/>
      <c r="E12" s="1140"/>
      <c r="F12" s="1137"/>
      <c r="G12" s="1140"/>
      <c r="H12" s="1140"/>
      <c r="I12" s="1140"/>
      <c r="J12" s="452"/>
      <c r="K12" s="45"/>
      <c r="L12" s="1137"/>
      <c r="M12" s="1141"/>
      <c r="N12" s="74"/>
      <c r="O12" s="45"/>
      <c r="P12" s="1137"/>
      <c r="Q12" s="1137"/>
      <c r="R12" s="1137"/>
      <c r="S12" s="1137"/>
      <c r="T12" s="1137"/>
      <c r="U12" s="1137"/>
      <c r="V12" s="1131"/>
    </row>
    <row r="13" ht="30.0" customHeight="1">
      <c r="A13" s="1137"/>
      <c r="B13" s="1138"/>
      <c r="C13" s="1139"/>
      <c r="D13" s="45"/>
      <c r="E13" s="1140"/>
      <c r="F13" s="1137"/>
      <c r="G13" s="1140"/>
      <c r="H13" s="1140"/>
      <c r="I13" s="1140"/>
      <c r="J13" s="452"/>
      <c r="K13" s="45"/>
      <c r="L13" s="1137"/>
      <c r="M13" s="1141"/>
      <c r="N13" s="74"/>
      <c r="O13" s="45"/>
      <c r="P13" s="1137"/>
      <c r="Q13" s="1137"/>
      <c r="R13" s="1137"/>
      <c r="S13" s="1137"/>
      <c r="T13" s="1137"/>
      <c r="U13" s="1137"/>
      <c r="V13" s="1131"/>
    </row>
    <row r="14" ht="30.0" customHeight="1">
      <c r="A14" s="1137"/>
      <c r="B14" s="1138"/>
      <c r="C14" s="1139"/>
      <c r="D14" s="45"/>
      <c r="E14" s="1140"/>
      <c r="F14" s="1137"/>
      <c r="G14" s="1140"/>
      <c r="H14" s="1140"/>
      <c r="I14" s="1140"/>
      <c r="J14" s="452"/>
      <c r="K14" s="45"/>
      <c r="L14" s="1137"/>
      <c r="M14" s="1141"/>
      <c r="N14" s="74"/>
      <c r="O14" s="45"/>
      <c r="P14" s="1137"/>
      <c r="Q14" s="1137"/>
      <c r="R14" s="1137"/>
      <c r="S14" s="1137"/>
      <c r="T14" s="1137"/>
      <c r="U14" s="1137"/>
      <c r="V14" s="1131"/>
    </row>
    <row r="15" ht="30.0" customHeight="1">
      <c r="A15" s="1137"/>
      <c r="B15" s="1138"/>
      <c r="C15" s="1139"/>
      <c r="D15" s="45"/>
      <c r="E15" s="1140"/>
      <c r="F15" s="1137"/>
      <c r="G15" s="1140"/>
      <c r="H15" s="1140"/>
      <c r="I15" s="1140"/>
      <c r="J15" s="452"/>
      <c r="K15" s="45"/>
      <c r="L15" s="1137"/>
      <c r="M15" s="1141"/>
      <c r="N15" s="74"/>
      <c r="O15" s="45"/>
      <c r="P15" s="1137"/>
      <c r="Q15" s="1137"/>
      <c r="R15" s="1137"/>
      <c r="S15" s="1137"/>
      <c r="T15" s="1137"/>
      <c r="U15" s="1137"/>
      <c r="V15" s="1131"/>
    </row>
    <row r="16" ht="30.0" customHeight="1">
      <c r="A16" s="1137"/>
      <c r="B16" s="1138"/>
      <c r="C16" s="1139"/>
      <c r="D16" s="45"/>
      <c r="E16" s="1140"/>
      <c r="F16" s="1137"/>
      <c r="G16" s="1140"/>
      <c r="H16" s="1140"/>
      <c r="I16" s="1140"/>
      <c r="J16" s="452"/>
      <c r="K16" s="45"/>
      <c r="L16" s="1137"/>
      <c r="M16" s="1141"/>
      <c r="N16" s="74"/>
      <c r="O16" s="45"/>
      <c r="P16" s="1137"/>
      <c r="Q16" s="1137"/>
      <c r="R16" s="1137"/>
      <c r="S16" s="1137"/>
      <c r="T16" s="1137"/>
      <c r="U16" s="1137"/>
      <c r="V16" s="1131"/>
    </row>
    <row r="17" ht="30.0" customHeight="1">
      <c r="A17" s="1137"/>
      <c r="B17" s="1140"/>
      <c r="C17" s="1139"/>
      <c r="D17" s="45"/>
      <c r="E17" s="1140"/>
      <c r="F17" s="1137"/>
      <c r="G17" s="1140"/>
      <c r="H17" s="1140"/>
      <c r="I17" s="1140"/>
      <c r="J17" s="452"/>
      <c r="K17" s="45"/>
      <c r="L17" s="1137"/>
      <c r="M17" s="1141"/>
      <c r="N17" s="74"/>
      <c r="O17" s="45"/>
      <c r="P17" s="1137"/>
      <c r="Q17" s="1137"/>
      <c r="R17" s="1137"/>
      <c r="S17" s="1137"/>
      <c r="T17" s="1137"/>
      <c r="U17" s="1137"/>
      <c r="V17" s="1131"/>
    </row>
    <row r="18" ht="30.0" customHeight="1">
      <c r="A18" s="1137"/>
      <c r="B18" s="1140"/>
      <c r="C18" s="1139"/>
      <c r="D18" s="45"/>
      <c r="E18" s="1140"/>
      <c r="F18" s="1137"/>
      <c r="G18" s="1140"/>
      <c r="H18" s="1140"/>
      <c r="I18" s="1140"/>
      <c r="J18" s="452"/>
      <c r="K18" s="45"/>
      <c r="L18" s="1137"/>
      <c r="M18" s="1141"/>
      <c r="N18" s="74"/>
      <c r="O18" s="45"/>
      <c r="P18" s="1137"/>
      <c r="Q18" s="1137"/>
      <c r="R18" s="1137"/>
      <c r="S18" s="1137"/>
      <c r="T18" s="1137"/>
      <c r="U18" s="1137"/>
      <c r="V18" s="1131"/>
    </row>
    <row r="19" ht="30.0" customHeight="1">
      <c r="A19" s="1137"/>
      <c r="B19" s="1140"/>
      <c r="C19" s="1139"/>
      <c r="D19" s="45"/>
      <c r="E19" s="1140"/>
      <c r="F19" s="1137"/>
      <c r="G19" s="1140"/>
      <c r="H19" s="1140"/>
      <c r="I19" s="1140"/>
      <c r="J19" s="452"/>
      <c r="K19" s="45"/>
      <c r="L19" s="1137"/>
      <c r="M19" s="1141"/>
      <c r="N19" s="74"/>
      <c r="O19" s="45"/>
      <c r="P19" s="1137"/>
      <c r="Q19" s="1137"/>
      <c r="R19" s="1137"/>
      <c r="S19" s="1137"/>
      <c r="T19" s="1137"/>
      <c r="U19" s="1137"/>
      <c r="V19" s="1131"/>
    </row>
    <row r="20" ht="30.0" customHeight="1">
      <c r="A20" s="1137"/>
      <c r="B20" s="1140"/>
      <c r="C20" s="1139"/>
      <c r="D20" s="45"/>
      <c r="E20" s="1140"/>
      <c r="F20" s="1137"/>
      <c r="G20" s="1140"/>
      <c r="H20" s="1140"/>
      <c r="I20" s="1140"/>
      <c r="J20" s="452"/>
      <c r="K20" s="45"/>
      <c r="L20" s="1137"/>
      <c r="M20" s="1141"/>
      <c r="N20" s="74"/>
      <c r="O20" s="45"/>
      <c r="P20" s="1137"/>
      <c r="Q20" s="1137"/>
      <c r="R20" s="1137"/>
      <c r="S20" s="1137"/>
      <c r="T20" s="1137"/>
      <c r="U20" s="1137"/>
      <c r="V20" s="1131"/>
    </row>
    <row r="21" ht="30.0" customHeight="1">
      <c r="A21" s="1137"/>
      <c r="B21" s="1140"/>
      <c r="C21" s="1139"/>
      <c r="D21" s="45"/>
      <c r="E21" s="1140"/>
      <c r="F21" s="1137"/>
      <c r="G21" s="1140"/>
      <c r="H21" s="1140"/>
      <c r="I21" s="1140"/>
      <c r="J21" s="452"/>
      <c r="K21" s="45"/>
      <c r="L21" s="1137"/>
      <c r="M21" s="1141"/>
      <c r="N21" s="74"/>
      <c r="O21" s="45"/>
      <c r="P21" s="1137"/>
      <c r="Q21" s="1137"/>
      <c r="R21" s="1137"/>
      <c r="S21" s="1137"/>
      <c r="T21" s="1137"/>
      <c r="U21" s="1137"/>
      <c r="V21" s="1131"/>
    </row>
    <row r="22" ht="30.0" customHeight="1">
      <c r="A22" s="1137"/>
      <c r="B22" s="1140"/>
      <c r="C22" s="1139"/>
      <c r="D22" s="45"/>
      <c r="E22" s="1140"/>
      <c r="F22" s="1137"/>
      <c r="G22" s="1140"/>
      <c r="H22" s="1140"/>
      <c r="I22" s="1140"/>
      <c r="J22" s="452"/>
      <c r="K22" s="45"/>
      <c r="L22" s="1137"/>
      <c r="M22" s="1141"/>
      <c r="N22" s="74"/>
      <c r="O22" s="45"/>
      <c r="P22" s="1137"/>
      <c r="Q22" s="1137"/>
      <c r="R22" s="1137"/>
      <c r="S22" s="1137"/>
      <c r="T22" s="1137"/>
      <c r="U22" s="1137"/>
      <c r="V22" s="1131"/>
    </row>
    <row r="23" ht="30.0" customHeight="1">
      <c r="A23" s="1137"/>
      <c r="B23" s="1140"/>
      <c r="C23" s="1139"/>
      <c r="D23" s="45"/>
      <c r="E23" s="1140"/>
      <c r="F23" s="1137"/>
      <c r="G23" s="1140"/>
      <c r="H23" s="1140"/>
      <c r="I23" s="1140"/>
      <c r="J23" s="452"/>
      <c r="K23" s="45"/>
      <c r="L23" s="1137"/>
      <c r="M23" s="1141"/>
      <c r="N23" s="74"/>
      <c r="O23" s="45"/>
      <c r="P23" s="1137"/>
      <c r="Q23" s="1137"/>
      <c r="R23" s="1137"/>
      <c r="S23" s="1137"/>
      <c r="T23" s="1137"/>
      <c r="U23" s="1137"/>
      <c r="V23" s="1131"/>
    </row>
    <row r="24" ht="30.0" customHeight="1">
      <c r="A24" s="1137"/>
      <c r="B24" s="1140"/>
      <c r="C24" s="1139"/>
      <c r="D24" s="45"/>
      <c r="E24" s="1140"/>
      <c r="F24" s="1137"/>
      <c r="G24" s="1140"/>
      <c r="H24" s="1140"/>
      <c r="I24" s="1140"/>
      <c r="J24" s="452"/>
      <c r="K24" s="45"/>
      <c r="L24" s="1137"/>
      <c r="M24" s="1141"/>
      <c r="N24" s="74"/>
      <c r="O24" s="45"/>
      <c r="P24" s="1137"/>
      <c r="Q24" s="1137"/>
      <c r="R24" s="1137"/>
      <c r="S24" s="1137"/>
      <c r="T24" s="1137"/>
      <c r="U24" s="1137"/>
      <c r="V24" s="1131"/>
    </row>
    <row r="25" ht="30.0" customHeight="1">
      <c r="A25" s="1137"/>
      <c r="B25" s="1140"/>
      <c r="C25" s="1139"/>
      <c r="D25" s="45"/>
      <c r="E25" s="1140"/>
      <c r="F25" s="1137"/>
      <c r="G25" s="1140"/>
      <c r="H25" s="1140"/>
      <c r="I25" s="1140"/>
      <c r="J25" s="452"/>
      <c r="K25" s="45"/>
      <c r="L25" s="1137"/>
      <c r="M25" s="1141"/>
      <c r="N25" s="74"/>
      <c r="O25" s="45"/>
      <c r="P25" s="1137"/>
      <c r="Q25" s="1137"/>
      <c r="R25" s="1137"/>
      <c r="S25" s="1137"/>
      <c r="T25" s="1137"/>
      <c r="U25" s="1137"/>
      <c r="V25" s="1131"/>
    </row>
    <row r="26">
      <c r="A26" s="1142" t="s">
        <v>2259</v>
      </c>
      <c r="B26" s="165"/>
      <c r="C26" s="1143">
        <f>Total211</f>
        <v>1</v>
      </c>
      <c r="D26" s="1144" t="s">
        <v>2260</v>
      </c>
      <c r="V26" s="94"/>
    </row>
    <row r="27">
      <c r="A27" s="104"/>
      <c r="B27" s="77"/>
      <c r="C27" s="55"/>
      <c r="D27" s="1145"/>
      <c r="E27" s="77"/>
      <c r="F27" s="77"/>
      <c r="G27" s="77"/>
      <c r="H27" s="77"/>
      <c r="I27" s="77"/>
      <c r="J27" s="77"/>
      <c r="K27" s="77"/>
      <c r="L27" s="77"/>
      <c r="M27" s="77"/>
      <c r="N27" s="77"/>
      <c r="O27" s="77"/>
      <c r="P27" s="77"/>
      <c r="Q27" s="77"/>
      <c r="R27" s="77"/>
      <c r="S27" s="77"/>
      <c r="T27" s="77"/>
      <c r="U27" s="77"/>
      <c r="V27" s="55"/>
    </row>
    <row r="28">
      <c r="A28" s="1146"/>
      <c r="B28" s="1146"/>
      <c r="C28" s="1147" t="str">
        <f> if((COUNTIF(A10:A25,"&gt;*") + COUNTBLANK(A10:A25)) &gt; 16,"Adding rows has a negative effect on certain formulas. Maybe create another page?"," ")</f>
        <v> </v>
      </c>
      <c r="D28" s="165"/>
      <c r="E28" s="165"/>
      <c r="F28" s="165"/>
      <c r="G28" s="165"/>
      <c r="H28" s="165"/>
      <c r="I28" s="165"/>
      <c r="J28" s="165"/>
      <c r="K28" s="165"/>
      <c r="L28" s="165"/>
      <c r="M28" s="165"/>
      <c r="N28" s="165"/>
      <c r="O28" s="165"/>
      <c r="P28" s="165"/>
      <c r="Q28" s="165"/>
      <c r="R28" s="165"/>
      <c r="S28" s="165"/>
      <c r="T28" s="1146"/>
      <c r="U28" s="165"/>
      <c r="V28" s="165"/>
    </row>
    <row r="29">
      <c r="A29" s="1148"/>
      <c r="B29" s="1148"/>
      <c r="C29" s="1148"/>
      <c r="D29" s="1148"/>
      <c r="E29" s="1149"/>
      <c r="F29" s="1149"/>
      <c r="G29" s="1149"/>
      <c r="H29" s="1149"/>
      <c r="I29" s="1149"/>
      <c r="J29" s="1149"/>
      <c r="K29" s="1149"/>
      <c r="L29" s="1149"/>
      <c r="M29" s="1149"/>
      <c r="N29" s="1149"/>
      <c r="O29" s="1149"/>
      <c r="P29" s="1149"/>
      <c r="Q29" s="1149"/>
      <c r="R29" s="1149"/>
      <c r="S29" s="1149"/>
    </row>
  </sheetData>
  <mergeCells count="96">
    <mergeCell ref="J10:K10"/>
    <mergeCell ref="J11:K11"/>
    <mergeCell ref="G3:J6"/>
    <mergeCell ref="K4:L4"/>
    <mergeCell ref="K5:L5"/>
    <mergeCell ref="K6:L6"/>
    <mergeCell ref="G8:G9"/>
    <mergeCell ref="H8:H9"/>
    <mergeCell ref="I8:I9"/>
    <mergeCell ref="M10:O10"/>
    <mergeCell ref="M11:O11"/>
    <mergeCell ref="J12:K12"/>
    <mergeCell ref="M12:O12"/>
    <mergeCell ref="J13:K13"/>
    <mergeCell ref="M13:O13"/>
    <mergeCell ref="M14:O14"/>
    <mergeCell ref="J23:K23"/>
    <mergeCell ref="J24:K24"/>
    <mergeCell ref="J25:K25"/>
    <mergeCell ref="J14:K14"/>
    <mergeCell ref="J15:K15"/>
    <mergeCell ref="J18:K18"/>
    <mergeCell ref="J19:K19"/>
    <mergeCell ref="J20:K20"/>
    <mergeCell ref="J21:K21"/>
    <mergeCell ref="J22:K22"/>
    <mergeCell ref="M24:O24"/>
    <mergeCell ref="M25:O25"/>
    <mergeCell ref="M15:O15"/>
    <mergeCell ref="M18:O18"/>
    <mergeCell ref="M19:O19"/>
    <mergeCell ref="M20:O20"/>
    <mergeCell ref="M21:O21"/>
    <mergeCell ref="M22:O22"/>
    <mergeCell ref="M23:O23"/>
    <mergeCell ref="C9:D9"/>
    <mergeCell ref="C10:D10"/>
    <mergeCell ref="C11:D11"/>
    <mergeCell ref="C12:D12"/>
    <mergeCell ref="C13:D13"/>
    <mergeCell ref="C14:D14"/>
    <mergeCell ref="C15:D15"/>
    <mergeCell ref="C24:D24"/>
    <mergeCell ref="C25:D25"/>
    <mergeCell ref="A26:B27"/>
    <mergeCell ref="C26:C27"/>
    <mergeCell ref="C17:D17"/>
    <mergeCell ref="C18:D18"/>
    <mergeCell ref="C19:D19"/>
    <mergeCell ref="C20:D20"/>
    <mergeCell ref="C21:D21"/>
    <mergeCell ref="C22:D22"/>
    <mergeCell ref="C23:D23"/>
    <mergeCell ref="P3:Q3"/>
    <mergeCell ref="R3:S3"/>
    <mergeCell ref="P4:Q4"/>
    <mergeCell ref="R4:S4"/>
    <mergeCell ref="T4:V4"/>
    <mergeCell ref="T5:V5"/>
    <mergeCell ref="A1:V1"/>
    <mergeCell ref="A2:F2"/>
    <mergeCell ref="G2:J2"/>
    <mergeCell ref="K2:S2"/>
    <mergeCell ref="T2:V2"/>
    <mergeCell ref="A3:F3"/>
    <mergeCell ref="T3:V3"/>
    <mergeCell ref="P6:Q6"/>
    <mergeCell ref="R6:S6"/>
    <mergeCell ref="A7:V7"/>
    <mergeCell ref="A8:F8"/>
    <mergeCell ref="K3:L3"/>
    <mergeCell ref="M3:O3"/>
    <mergeCell ref="M4:O4"/>
    <mergeCell ref="M5:O5"/>
    <mergeCell ref="P5:Q5"/>
    <mergeCell ref="R5:S5"/>
    <mergeCell ref="M6:O6"/>
    <mergeCell ref="T8:T9"/>
    <mergeCell ref="U8:U9"/>
    <mergeCell ref="V8:V9"/>
    <mergeCell ref="J8:K9"/>
    <mergeCell ref="L8:L9"/>
    <mergeCell ref="M8:O9"/>
    <mergeCell ref="P8:P9"/>
    <mergeCell ref="Q8:Q9"/>
    <mergeCell ref="R8:R9"/>
    <mergeCell ref="S8:S9"/>
    <mergeCell ref="C28:S28"/>
    <mergeCell ref="T28:V29"/>
    <mergeCell ref="C16:D16"/>
    <mergeCell ref="J16:K16"/>
    <mergeCell ref="M16:O16"/>
    <mergeCell ref="J17:K17"/>
    <mergeCell ref="M17:O17"/>
    <mergeCell ref="D26:V26"/>
    <mergeCell ref="D27:V27"/>
  </mergeCells>
  <printOptions horizontalCentered="1"/>
  <pageMargins bottom="0.75" footer="0.0" header="0.0" left="0.25" right="0.25" top="0.75"/>
  <pageSetup orientation="landscape" pageOrder="overThenDown"/>
  <drawing r:id="rId2"/>
  <legacyDrawing r:id="rId3"/>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58" t="s">
        <v>2261</v>
      </c>
      <c r="B1" s="77"/>
      <c r="C1" s="77"/>
      <c r="D1" s="77"/>
      <c r="E1" s="77"/>
      <c r="F1" s="77"/>
      <c r="G1" s="77"/>
      <c r="H1" s="77"/>
    </row>
    <row r="2">
      <c r="A2" s="1059" t="s">
        <v>1143</v>
      </c>
      <c r="B2" s="517"/>
      <c r="C2" s="1060" t="s">
        <v>283</v>
      </c>
      <c r="D2" s="165"/>
      <c r="E2" s="1061" t="s">
        <v>1144</v>
      </c>
      <c r="F2" s="1062">
        <f>OpDate</f>
        <v>43893</v>
      </c>
      <c r="G2" s="1063" t="s">
        <v>1145</v>
      </c>
      <c r="H2" s="1062">
        <f>OpDateTo</f>
        <v>43894</v>
      </c>
    </row>
    <row r="3">
      <c r="A3" s="1150" t="str">
        <f>IncName</f>
        <v>NO NAME</v>
      </c>
      <c r="B3" s="94"/>
      <c r="C3" s="77"/>
      <c r="D3" s="77"/>
      <c r="E3" s="1065" t="s">
        <v>131</v>
      </c>
      <c r="F3" s="1066" t="str">
        <f>OpStart</f>
        <v>0700</v>
      </c>
      <c r="G3" s="1067" t="s">
        <v>133</v>
      </c>
      <c r="H3" s="1066" t="str">
        <f>OpEnd</f>
        <v>0700</v>
      </c>
    </row>
    <row r="4">
      <c r="A4" s="66" t="s">
        <v>2262</v>
      </c>
      <c r="B4" s="45"/>
      <c r="C4" s="66" t="s">
        <v>2263</v>
      </c>
      <c r="D4" s="74"/>
      <c r="E4" s="45"/>
      <c r="F4" s="66" t="s">
        <v>2264</v>
      </c>
      <c r="G4" s="74"/>
      <c r="H4" s="45"/>
    </row>
    <row r="5">
      <c r="A5" s="1151" t="s">
        <v>245</v>
      </c>
      <c r="B5" s="210"/>
      <c r="C5" s="1151" t="s">
        <v>2265</v>
      </c>
      <c r="D5" s="165"/>
      <c r="E5" s="210"/>
      <c r="F5" s="1151" t="s">
        <v>2266</v>
      </c>
      <c r="G5" s="165"/>
      <c r="H5" s="210"/>
    </row>
    <row r="6">
      <c r="A6" s="166"/>
      <c r="B6" s="94"/>
      <c r="C6" s="166"/>
      <c r="E6" s="94"/>
      <c r="F6" s="166"/>
      <c r="H6" s="94"/>
    </row>
    <row r="7" ht="46.5" customHeight="1">
      <c r="A7" s="104"/>
      <c r="B7" s="55"/>
      <c r="C7" s="104"/>
      <c r="D7" s="77"/>
      <c r="E7" s="55"/>
      <c r="F7" s="104"/>
      <c r="G7" s="77"/>
      <c r="H7" s="55"/>
    </row>
    <row r="8">
      <c r="A8" s="1151" t="s">
        <v>245</v>
      </c>
      <c r="B8" s="210"/>
      <c r="C8" s="1151" t="s">
        <v>2267</v>
      </c>
      <c r="D8" s="165"/>
      <c r="E8" s="210"/>
      <c r="F8" s="1151" t="s">
        <v>2268</v>
      </c>
      <c r="G8" s="165"/>
      <c r="H8" s="210"/>
    </row>
    <row r="9">
      <c r="A9" s="166"/>
      <c r="B9" s="94"/>
      <c r="C9" s="166"/>
      <c r="E9" s="94"/>
      <c r="F9" s="166"/>
      <c r="H9" s="94"/>
    </row>
    <row r="10" ht="35.25" customHeight="1">
      <c r="A10" s="104"/>
      <c r="B10" s="55"/>
      <c r="C10" s="104"/>
      <c r="D10" s="77"/>
      <c r="E10" s="55"/>
      <c r="F10" s="104"/>
      <c r="G10" s="77"/>
      <c r="H10" s="55"/>
    </row>
    <row r="11">
      <c r="A11" s="1151" t="s">
        <v>245</v>
      </c>
      <c r="B11" s="210"/>
      <c r="C11" s="1151" t="s">
        <v>662</v>
      </c>
      <c r="D11" s="165"/>
      <c r="E11" s="210"/>
      <c r="F11" s="1151" t="s">
        <v>2269</v>
      </c>
      <c r="G11" s="165"/>
      <c r="H11" s="210"/>
    </row>
    <row r="12">
      <c r="A12" s="166"/>
      <c r="B12" s="94"/>
      <c r="C12" s="166"/>
      <c r="E12" s="94"/>
      <c r="F12" s="166"/>
      <c r="H12" s="94"/>
    </row>
    <row r="13" ht="21.75" customHeight="1">
      <c r="A13" s="104"/>
      <c r="B13" s="55"/>
      <c r="C13" s="104"/>
      <c r="D13" s="77"/>
      <c r="E13" s="55"/>
      <c r="F13" s="104"/>
      <c r="G13" s="77"/>
      <c r="H13" s="55"/>
    </row>
    <row r="14">
      <c r="A14" s="1151" t="s">
        <v>245</v>
      </c>
      <c r="B14" s="210"/>
      <c r="C14" s="1151" t="s">
        <v>2270</v>
      </c>
      <c r="D14" s="165"/>
      <c r="E14" s="210"/>
      <c r="F14" s="1151" t="s">
        <v>2271</v>
      </c>
      <c r="G14" s="165"/>
      <c r="H14" s="210"/>
    </row>
    <row r="15">
      <c r="A15" s="166"/>
      <c r="B15" s="94"/>
      <c r="C15" s="166"/>
      <c r="E15" s="94"/>
      <c r="F15" s="166"/>
      <c r="H15" s="94"/>
    </row>
    <row r="16" ht="47.25" customHeight="1">
      <c r="A16" s="104"/>
      <c r="B16" s="55"/>
      <c r="C16" s="104"/>
      <c r="D16" s="77"/>
      <c r="E16" s="55"/>
      <c r="F16" s="104"/>
      <c r="G16" s="77"/>
      <c r="H16" s="55"/>
    </row>
    <row r="17">
      <c r="A17" s="1151" t="s">
        <v>245</v>
      </c>
      <c r="B17" s="210"/>
      <c r="C17" s="1151" t="s">
        <v>2272</v>
      </c>
      <c r="D17" s="165"/>
      <c r="E17" s="210"/>
      <c r="F17" s="1151" t="s">
        <v>2273</v>
      </c>
      <c r="G17" s="165"/>
      <c r="H17" s="210"/>
    </row>
    <row r="18">
      <c r="A18" s="166"/>
      <c r="B18" s="94"/>
      <c r="C18" s="166"/>
      <c r="E18" s="94"/>
      <c r="F18" s="166"/>
      <c r="H18" s="94"/>
    </row>
    <row r="19" ht="22.5" customHeight="1">
      <c r="A19" s="104"/>
      <c r="B19" s="55"/>
      <c r="C19" s="104"/>
      <c r="D19" s="77"/>
      <c r="E19" s="55"/>
      <c r="F19" s="104"/>
      <c r="G19" s="77"/>
      <c r="H19" s="55"/>
    </row>
    <row r="20">
      <c r="A20" s="1151" t="s">
        <v>245</v>
      </c>
      <c r="B20" s="210"/>
      <c r="C20" s="1151" t="s">
        <v>2274</v>
      </c>
      <c r="D20" s="165"/>
      <c r="E20" s="210"/>
      <c r="F20" s="1151" t="s">
        <v>2275</v>
      </c>
      <c r="G20" s="165"/>
      <c r="H20" s="210"/>
    </row>
    <row r="21">
      <c r="A21" s="166"/>
      <c r="B21" s="94"/>
      <c r="C21" s="166"/>
      <c r="E21" s="94"/>
      <c r="F21" s="166"/>
      <c r="H21" s="94"/>
    </row>
    <row r="22">
      <c r="A22" s="104"/>
      <c r="B22" s="55"/>
      <c r="C22" s="104"/>
      <c r="D22" s="77"/>
      <c r="E22" s="55"/>
      <c r="F22" s="104"/>
      <c r="G22" s="77"/>
      <c r="H22" s="55"/>
    </row>
    <row r="23">
      <c r="A23" s="1151"/>
      <c r="B23" s="210"/>
      <c r="C23" s="1152"/>
      <c r="D23" s="165"/>
      <c r="E23" s="210"/>
      <c r="F23" s="1152"/>
      <c r="G23" s="165"/>
      <c r="H23" s="210"/>
    </row>
    <row r="24">
      <c r="A24" s="166"/>
      <c r="B24" s="94"/>
      <c r="C24" s="166"/>
      <c r="E24" s="94"/>
      <c r="F24" s="166"/>
      <c r="H24" s="94"/>
    </row>
    <row r="25">
      <c r="A25" s="104"/>
      <c r="B25" s="55"/>
      <c r="C25" s="104"/>
      <c r="D25" s="77"/>
      <c r="E25" s="55"/>
      <c r="F25" s="104"/>
      <c r="G25" s="77"/>
      <c r="H25" s="55"/>
    </row>
    <row r="26">
      <c r="A26" s="1151"/>
      <c r="B26" s="210"/>
      <c r="C26" s="1152"/>
      <c r="D26" s="165"/>
      <c r="E26" s="210"/>
      <c r="F26" s="1152"/>
      <c r="G26" s="165"/>
      <c r="H26" s="210"/>
    </row>
    <row r="27">
      <c r="A27" s="166"/>
      <c r="B27" s="94"/>
      <c r="C27" s="166"/>
      <c r="E27" s="94"/>
      <c r="F27" s="166"/>
      <c r="H27" s="94"/>
    </row>
    <row r="28">
      <c r="A28" s="104"/>
      <c r="B28" s="55"/>
      <c r="C28" s="104"/>
      <c r="D28" s="77"/>
      <c r="E28" s="55"/>
      <c r="F28" s="104"/>
      <c r="G28" s="77"/>
      <c r="H28" s="55"/>
    </row>
    <row r="29">
      <c r="A29" s="1151"/>
      <c r="B29" s="210"/>
      <c r="C29" s="1152"/>
      <c r="D29" s="165"/>
      <c r="E29" s="210"/>
      <c r="F29" s="1152"/>
      <c r="G29" s="165"/>
      <c r="H29" s="210"/>
    </row>
    <row r="30">
      <c r="A30" s="166"/>
      <c r="B30" s="94"/>
      <c r="C30" s="166"/>
      <c r="E30" s="94"/>
      <c r="F30" s="166"/>
      <c r="H30" s="94"/>
    </row>
    <row r="31">
      <c r="A31" s="104"/>
      <c r="B31" s="55"/>
      <c r="C31" s="104"/>
      <c r="D31" s="77"/>
      <c r="E31" s="55"/>
      <c r="F31" s="104"/>
      <c r="G31" s="77"/>
      <c r="H31" s="55"/>
    </row>
    <row r="32">
      <c r="A32" s="1151"/>
      <c r="B32" s="210"/>
      <c r="C32" s="1152"/>
      <c r="D32" s="165"/>
      <c r="E32" s="210"/>
      <c r="F32" s="1152"/>
      <c r="G32" s="165"/>
      <c r="H32" s="210"/>
    </row>
    <row r="33">
      <c r="A33" s="166"/>
      <c r="B33" s="94"/>
      <c r="C33" s="166"/>
      <c r="E33" s="94"/>
      <c r="F33" s="166"/>
      <c r="H33" s="94"/>
    </row>
    <row r="34">
      <c r="A34" s="104"/>
      <c r="B34" s="55"/>
      <c r="C34" s="104"/>
      <c r="D34" s="77"/>
      <c r="E34" s="55"/>
      <c r="F34" s="104"/>
      <c r="G34" s="77"/>
      <c r="H34" s="55"/>
    </row>
    <row r="35">
      <c r="A35" s="1080" t="s">
        <v>2219</v>
      </c>
      <c r="B35" s="1098"/>
      <c r="C35" s="165"/>
      <c r="D35" s="1082" t="s">
        <v>1152</v>
      </c>
      <c r="E35" s="1083" t="s">
        <v>2220</v>
      </c>
      <c r="F35" s="1084" t="s">
        <v>388</v>
      </c>
      <c r="G35" s="165"/>
      <c r="H35" s="210"/>
    </row>
    <row r="36">
      <c r="A36" s="321" t="s">
        <v>310</v>
      </c>
      <c r="B36" s="383"/>
      <c r="C36" s="1085" t="s">
        <v>389</v>
      </c>
      <c r="D36" s="1086">
        <f>'101 General Info'!D8 -1</f>
        <v>43892</v>
      </c>
      <c r="E36" s="1087" t="s">
        <v>2221</v>
      </c>
      <c r="F36" s="77"/>
      <c r="G36" s="77"/>
      <c r="H36" s="55"/>
    </row>
    <row r="38">
      <c r="A38" s="41"/>
      <c r="B38" s="41"/>
    </row>
    <row r="39">
      <c r="A39" s="41"/>
      <c r="B39" s="41"/>
    </row>
    <row r="40">
      <c r="B40" s="41"/>
      <c r="C40" s="41"/>
    </row>
    <row r="41">
      <c r="A41" s="41"/>
    </row>
    <row r="42">
      <c r="A42" s="41"/>
      <c r="B42" s="41"/>
    </row>
  </sheetData>
  <mergeCells count="40">
    <mergeCell ref="A1:H1"/>
    <mergeCell ref="A2:B2"/>
    <mergeCell ref="C2:D2"/>
    <mergeCell ref="A3:B3"/>
    <mergeCell ref="C3:D3"/>
    <mergeCell ref="C4:E4"/>
    <mergeCell ref="F4:H4"/>
    <mergeCell ref="A4:B4"/>
    <mergeCell ref="A5:B7"/>
    <mergeCell ref="C5:E7"/>
    <mergeCell ref="F5:H7"/>
    <mergeCell ref="A8:B10"/>
    <mergeCell ref="C8:E10"/>
    <mergeCell ref="F8:H10"/>
    <mergeCell ref="C17:E19"/>
    <mergeCell ref="F17:H19"/>
    <mergeCell ref="A11:B13"/>
    <mergeCell ref="C11:E13"/>
    <mergeCell ref="F11:H13"/>
    <mergeCell ref="A14:B16"/>
    <mergeCell ref="C14:E16"/>
    <mergeCell ref="F14:H16"/>
    <mergeCell ref="A17:B19"/>
    <mergeCell ref="C26:E28"/>
    <mergeCell ref="F26:H28"/>
    <mergeCell ref="A29:B31"/>
    <mergeCell ref="C29:E31"/>
    <mergeCell ref="F29:H31"/>
    <mergeCell ref="A32:B34"/>
    <mergeCell ref="C32:E34"/>
    <mergeCell ref="F32:H34"/>
    <mergeCell ref="B35:C35"/>
    <mergeCell ref="F35:H36"/>
    <mergeCell ref="A20:B22"/>
    <mergeCell ref="C20:E22"/>
    <mergeCell ref="F20:H22"/>
    <mergeCell ref="A23:B25"/>
    <mergeCell ref="C23:E25"/>
    <mergeCell ref="F23:H25"/>
    <mergeCell ref="A26:B28"/>
  </mergeCell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2.5"/>
    <col customWidth="1" min="4" max="4" width="16.5"/>
  </cols>
  <sheetData>
    <row r="1" ht="21.75" customHeight="1">
      <c r="A1" s="1153" t="s">
        <v>2276</v>
      </c>
    </row>
    <row r="2">
      <c r="A2" s="1154" t="s">
        <v>2277</v>
      </c>
      <c r="B2" s="1155" t="s">
        <v>2278</v>
      </c>
      <c r="C2" s="1155" t="s">
        <v>2279</v>
      </c>
      <c r="D2" s="1155" t="s">
        <v>2280</v>
      </c>
    </row>
    <row r="3">
      <c r="A3" s="1156" t="s">
        <v>2281</v>
      </c>
      <c r="B3" s="227" t="s">
        <v>2282</v>
      </c>
      <c r="C3" s="241" t="s">
        <v>2208</v>
      </c>
      <c r="D3" s="170" t="s">
        <v>2283</v>
      </c>
    </row>
    <row r="4">
      <c r="A4" s="1157" t="s">
        <v>2284</v>
      </c>
      <c r="B4" s="227"/>
      <c r="C4" s="241" t="s">
        <v>2285</v>
      </c>
      <c r="D4" s="241"/>
    </row>
    <row r="5">
      <c r="A5" s="1156" t="s">
        <v>2286</v>
      </c>
      <c r="B5" s="227" t="s">
        <v>2287</v>
      </c>
      <c r="C5" s="241" t="s">
        <v>2285</v>
      </c>
      <c r="D5" s="241"/>
    </row>
    <row r="6">
      <c r="A6" s="1156" t="s">
        <v>2288</v>
      </c>
      <c r="B6" s="227" t="s">
        <v>2289</v>
      </c>
      <c r="C6" s="241" t="s">
        <v>2285</v>
      </c>
      <c r="D6" s="241"/>
    </row>
    <row r="7">
      <c r="A7" s="1158" t="s">
        <v>2290</v>
      </c>
      <c r="B7" s="227"/>
      <c r="C7" s="241" t="s">
        <v>2285</v>
      </c>
      <c r="D7" s="241"/>
    </row>
    <row r="8">
      <c r="A8" s="1158" t="s">
        <v>2291</v>
      </c>
      <c r="B8" s="227"/>
      <c r="C8" s="241" t="s">
        <v>2285</v>
      </c>
      <c r="D8" s="241"/>
    </row>
    <row r="9">
      <c r="A9" s="1159" t="s">
        <v>2292</v>
      </c>
      <c r="B9" s="227"/>
      <c r="C9" s="241" t="s">
        <v>2285</v>
      </c>
      <c r="D9" s="241"/>
    </row>
    <row r="10">
      <c r="A10" s="1156" t="s">
        <v>2293</v>
      </c>
      <c r="B10" s="227" t="s">
        <v>2294</v>
      </c>
      <c r="C10" s="241" t="s">
        <v>2208</v>
      </c>
      <c r="D10" s="241"/>
    </row>
    <row r="11">
      <c r="A11" s="1156" t="s">
        <v>2295</v>
      </c>
      <c r="B11" s="227" t="s">
        <v>2296</v>
      </c>
      <c r="C11" s="241" t="s">
        <v>2285</v>
      </c>
      <c r="D11" s="241"/>
    </row>
    <row r="12">
      <c r="A12" s="1158" t="s">
        <v>2297</v>
      </c>
      <c r="B12" s="227"/>
      <c r="C12" s="241" t="s">
        <v>2285</v>
      </c>
      <c r="D12" s="241"/>
    </row>
    <row r="13">
      <c r="A13" s="1158" t="s">
        <v>2298</v>
      </c>
      <c r="B13" s="227"/>
      <c r="C13" s="241" t="s">
        <v>2285</v>
      </c>
      <c r="D13" s="241"/>
    </row>
    <row r="14">
      <c r="A14" s="1160" t="s">
        <v>2299</v>
      </c>
      <c r="B14" s="227" t="s">
        <v>2300</v>
      </c>
      <c r="C14" s="241" t="s">
        <v>2285</v>
      </c>
      <c r="D14" s="241"/>
    </row>
    <row r="15">
      <c r="A15" s="1158" t="s">
        <v>2301</v>
      </c>
      <c r="B15" s="227"/>
      <c r="C15" s="241" t="s">
        <v>2285</v>
      </c>
      <c r="D15" s="241"/>
    </row>
    <row r="16">
      <c r="A16" s="1156" t="s">
        <v>2302</v>
      </c>
      <c r="B16" s="227" t="s">
        <v>2303</v>
      </c>
      <c r="C16" s="241" t="s">
        <v>2285</v>
      </c>
      <c r="D16" s="241"/>
    </row>
    <row r="17">
      <c r="A17" s="1158" t="s">
        <v>2304</v>
      </c>
      <c r="B17" s="227"/>
      <c r="C17" s="241" t="s">
        <v>2285</v>
      </c>
      <c r="D17" s="241"/>
    </row>
    <row r="18">
      <c r="A18" s="1160" t="s">
        <v>2305</v>
      </c>
      <c r="B18" s="227" t="s">
        <v>2306</v>
      </c>
      <c r="C18" s="241" t="s">
        <v>2285</v>
      </c>
      <c r="D18" s="241"/>
    </row>
    <row r="19">
      <c r="A19" s="1156" t="s">
        <v>2307</v>
      </c>
      <c r="B19" s="227" t="s">
        <v>2308</v>
      </c>
      <c r="C19" s="241" t="s">
        <v>2285</v>
      </c>
      <c r="D19" s="241"/>
    </row>
    <row r="20">
      <c r="A20" s="1156" t="s">
        <v>2309</v>
      </c>
      <c r="B20" s="227" t="s">
        <v>2310</v>
      </c>
      <c r="C20" s="241" t="s">
        <v>2208</v>
      </c>
      <c r="D20" s="241"/>
    </row>
    <row r="21">
      <c r="A21" s="1156" t="s">
        <v>2311</v>
      </c>
      <c r="B21" s="227" t="s">
        <v>2312</v>
      </c>
      <c r="C21" s="241" t="s">
        <v>2285</v>
      </c>
      <c r="D21" s="241"/>
    </row>
    <row r="22">
      <c r="A22" s="1158" t="s">
        <v>2313</v>
      </c>
      <c r="B22" s="227"/>
      <c r="C22" s="241" t="s">
        <v>2285</v>
      </c>
      <c r="D22" s="241"/>
    </row>
    <row r="23">
      <c r="A23" s="1156" t="s">
        <v>2314</v>
      </c>
      <c r="B23" s="227" t="s">
        <v>2315</v>
      </c>
      <c r="C23" s="241" t="s">
        <v>2285</v>
      </c>
      <c r="D23" s="241"/>
    </row>
    <row r="24">
      <c r="A24" s="1156" t="s">
        <v>2316</v>
      </c>
      <c r="B24" s="227" t="s">
        <v>2317</v>
      </c>
      <c r="C24" s="241" t="s">
        <v>2285</v>
      </c>
      <c r="D24" s="241"/>
    </row>
    <row r="25">
      <c r="A25" s="1156" t="s">
        <v>2318</v>
      </c>
      <c r="B25" s="227" t="s">
        <v>2319</v>
      </c>
      <c r="C25" s="241" t="s">
        <v>2208</v>
      </c>
      <c r="D25" s="241"/>
    </row>
    <row r="26">
      <c r="A26" s="1156" t="s">
        <v>2320</v>
      </c>
      <c r="B26" s="227" t="s">
        <v>2321</v>
      </c>
      <c r="C26" s="241" t="s">
        <v>2285</v>
      </c>
      <c r="D26" s="241"/>
    </row>
    <row r="27">
      <c r="A27" s="1158" t="s">
        <v>2322</v>
      </c>
      <c r="B27" s="227"/>
      <c r="C27" s="241" t="s">
        <v>2285</v>
      </c>
      <c r="D27" s="241"/>
    </row>
    <row r="28">
      <c r="A28" s="1156" t="s">
        <v>2323</v>
      </c>
      <c r="B28" s="227" t="s">
        <v>2324</v>
      </c>
      <c r="C28" s="241" t="s">
        <v>2208</v>
      </c>
      <c r="D28" s="241"/>
    </row>
    <row r="29">
      <c r="A29" s="1161" t="s">
        <v>2325</v>
      </c>
      <c r="B29" s="170" t="s">
        <v>241</v>
      </c>
      <c r="C29" s="170" t="s">
        <v>2208</v>
      </c>
      <c r="D29" s="241"/>
    </row>
    <row r="30">
      <c r="A30" s="1158" t="s">
        <v>2326</v>
      </c>
      <c r="B30" s="227" t="s">
        <v>239</v>
      </c>
      <c r="C30" s="241" t="s">
        <v>2208</v>
      </c>
      <c r="D30" s="241"/>
    </row>
    <row r="31">
      <c r="A31" s="1158" t="s">
        <v>2327</v>
      </c>
      <c r="B31" s="227" t="s">
        <v>2328</v>
      </c>
      <c r="C31" s="241" t="s">
        <v>2208</v>
      </c>
      <c r="D31" s="241"/>
    </row>
    <row r="32">
      <c r="A32" s="1158" t="s">
        <v>2329</v>
      </c>
      <c r="B32" s="227" t="s">
        <v>2330</v>
      </c>
      <c r="C32" s="241" t="s">
        <v>2208</v>
      </c>
      <c r="D32" s="241"/>
    </row>
    <row r="33">
      <c r="A33" s="1162" t="s">
        <v>2331</v>
      </c>
      <c r="B33" s="227" t="s">
        <v>2332</v>
      </c>
      <c r="C33" s="241" t="s">
        <v>2285</v>
      </c>
      <c r="D33" s="241"/>
    </row>
    <row r="34">
      <c r="A34" s="1162" t="s">
        <v>2333</v>
      </c>
      <c r="B34" s="227" t="s">
        <v>2334</v>
      </c>
      <c r="C34" s="241" t="s">
        <v>2285</v>
      </c>
      <c r="D34" s="241"/>
    </row>
    <row r="35">
      <c r="A35" s="1160" t="s">
        <v>2335</v>
      </c>
      <c r="B35" s="227" t="s">
        <v>2336</v>
      </c>
      <c r="C35" s="241" t="s">
        <v>2285</v>
      </c>
      <c r="D35" s="241"/>
    </row>
    <row r="36">
      <c r="A36" s="1156" t="s">
        <v>2337</v>
      </c>
      <c r="B36" s="227" t="s">
        <v>2338</v>
      </c>
      <c r="C36" s="241" t="s">
        <v>2285</v>
      </c>
      <c r="D36" s="241"/>
    </row>
    <row r="37">
      <c r="A37" s="1158" t="s">
        <v>2339</v>
      </c>
      <c r="B37" s="227"/>
      <c r="C37" s="241" t="s">
        <v>2285</v>
      </c>
      <c r="D37" s="241"/>
    </row>
    <row r="38">
      <c r="A38" s="1156" t="s">
        <v>2340</v>
      </c>
      <c r="B38" s="227" t="s">
        <v>2341</v>
      </c>
      <c r="C38" s="241" t="s">
        <v>2285</v>
      </c>
      <c r="D38" s="241"/>
    </row>
    <row r="39">
      <c r="A39" s="1156" t="s">
        <v>2342</v>
      </c>
      <c r="B39" s="227" t="s">
        <v>243</v>
      </c>
      <c r="C39" s="241" t="s">
        <v>2208</v>
      </c>
      <c r="D39" s="241"/>
    </row>
    <row r="40">
      <c r="A40" s="1161" t="s">
        <v>2343</v>
      </c>
      <c r="B40" s="227"/>
      <c r="C40" s="241" t="s">
        <v>2285</v>
      </c>
      <c r="D40" s="241"/>
    </row>
    <row r="41">
      <c r="A41" s="1156" t="s">
        <v>2344</v>
      </c>
      <c r="B41" s="227" t="s">
        <v>2345</v>
      </c>
      <c r="C41" s="241" t="s">
        <v>2285</v>
      </c>
      <c r="D41" s="241"/>
    </row>
    <row r="42">
      <c r="A42" s="1156" t="s">
        <v>2346</v>
      </c>
      <c r="B42" s="227" t="s">
        <v>367</v>
      </c>
      <c r="C42" s="241" t="s">
        <v>2285</v>
      </c>
      <c r="D42" s="241"/>
    </row>
    <row r="43">
      <c r="A43" s="1156" t="s">
        <v>2347</v>
      </c>
      <c r="B43" s="227" t="s">
        <v>2348</v>
      </c>
      <c r="C43" s="170" t="s">
        <v>2285</v>
      </c>
      <c r="D43" s="241"/>
    </row>
    <row r="44">
      <c r="A44" s="1158" t="s">
        <v>2349</v>
      </c>
      <c r="B44" s="227" t="s">
        <v>2350</v>
      </c>
      <c r="C44" s="170" t="s">
        <v>2285</v>
      </c>
      <c r="D44" s="241"/>
    </row>
    <row r="45">
      <c r="A45" s="1160" t="s">
        <v>2351</v>
      </c>
      <c r="B45" s="227" t="s">
        <v>241</v>
      </c>
      <c r="C45" s="241" t="s">
        <v>2208</v>
      </c>
      <c r="D45" s="241"/>
    </row>
    <row r="46">
      <c r="A46" s="1160" t="s">
        <v>2352</v>
      </c>
      <c r="B46" s="227" t="s">
        <v>239</v>
      </c>
      <c r="C46" s="241" t="s">
        <v>2208</v>
      </c>
      <c r="D46" s="241"/>
    </row>
    <row r="47">
      <c r="A47" s="1159" t="s">
        <v>2353</v>
      </c>
      <c r="B47" s="227"/>
      <c r="C47" s="241" t="s">
        <v>2285</v>
      </c>
      <c r="D47" s="241"/>
    </row>
    <row r="48">
      <c r="A48" s="1156" t="s">
        <v>2354</v>
      </c>
      <c r="B48" s="227" t="s">
        <v>2355</v>
      </c>
      <c r="C48" s="241" t="s">
        <v>2285</v>
      </c>
      <c r="D48" s="241"/>
    </row>
    <row r="49">
      <c r="A49" s="1156" t="s">
        <v>2356</v>
      </c>
      <c r="B49" s="227" t="s">
        <v>2357</v>
      </c>
      <c r="C49" s="241" t="s">
        <v>2285</v>
      </c>
      <c r="D49" s="241"/>
    </row>
    <row r="50">
      <c r="A50" s="1156" t="s">
        <v>2358</v>
      </c>
      <c r="B50" s="227" t="s">
        <v>366</v>
      </c>
      <c r="C50" s="241" t="s">
        <v>2285</v>
      </c>
      <c r="D50" s="241"/>
    </row>
    <row r="51">
      <c r="A51" s="1156" t="s">
        <v>2359</v>
      </c>
      <c r="B51" s="227" t="s">
        <v>2360</v>
      </c>
      <c r="C51" s="241" t="s">
        <v>2285</v>
      </c>
      <c r="D51" s="241"/>
    </row>
    <row r="52">
      <c r="A52" s="1156" t="s">
        <v>2361</v>
      </c>
      <c r="B52" s="227" t="s">
        <v>2362</v>
      </c>
      <c r="C52" s="241" t="s">
        <v>2208</v>
      </c>
      <c r="D52" s="241"/>
    </row>
    <row r="53">
      <c r="A53" s="1158" t="s">
        <v>2363</v>
      </c>
      <c r="B53" s="227"/>
      <c r="C53" s="241" t="s">
        <v>2285</v>
      </c>
      <c r="D53" s="241"/>
    </row>
    <row r="54">
      <c r="A54" s="1156" t="s">
        <v>2364</v>
      </c>
      <c r="B54" s="227" t="s">
        <v>2365</v>
      </c>
      <c r="C54" s="241" t="s">
        <v>2285</v>
      </c>
      <c r="D54" s="241"/>
    </row>
    <row r="55">
      <c r="A55" s="1156" t="s">
        <v>2366</v>
      </c>
      <c r="B55" s="227" t="s">
        <v>2367</v>
      </c>
      <c r="C55" s="241" t="s">
        <v>2285</v>
      </c>
      <c r="D55" s="241"/>
    </row>
    <row r="56">
      <c r="A56" s="1156" t="s">
        <v>2368</v>
      </c>
      <c r="B56" s="227" t="s">
        <v>2369</v>
      </c>
      <c r="C56" s="241" t="s">
        <v>2285</v>
      </c>
      <c r="D56" s="241"/>
    </row>
    <row r="57">
      <c r="A57" s="1160" t="s">
        <v>2370</v>
      </c>
      <c r="B57" s="227" t="s">
        <v>2371</v>
      </c>
      <c r="C57" s="241" t="s">
        <v>2285</v>
      </c>
      <c r="D57" s="241"/>
    </row>
    <row r="58">
      <c r="A58" s="1159" t="s">
        <v>2372</v>
      </c>
      <c r="B58" s="227"/>
      <c r="C58" s="241" t="s">
        <v>2285</v>
      </c>
      <c r="D58" s="241"/>
    </row>
    <row r="59">
      <c r="A59" s="1158" t="s">
        <v>2373</v>
      </c>
      <c r="B59" s="227"/>
      <c r="C59" s="241" t="s">
        <v>2285</v>
      </c>
      <c r="D59" s="241"/>
    </row>
    <row r="60">
      <c r="A60" s="1156" t="s">
        <v>2374</v>
      </c>
      <c r="B60" s="227" t="s">
        <v>2375</v>
      </c>
      <c r="C60" s="241" t="s">
        <v>2285</v>
      </c>
      <c r="D60" s="241"/>
    </row>
    <row r="61">
      <c r="A61" s="1158" t="s">
        <v>2376</v>
      </c>
      <c r="B61" s="227"/>
      <c r="C61" s="241" t="s">
        <v>2285</v>
      </c>
      <c r="D61" s="241"/>
    </row>
    <row r="62">
      <c r="A62" s="1156" t="s">
        <v>2377</v>
      </c>
      <c r="B62" s="227" t="s">
        <v>2378</v>
      </c>
      <c r="C62" s="241" t="s">
        <v>2285</v>
      </c>
      <c r="D62" s="241"/>
    </row>
    <row r="63">
      <c r="A63" s="1158" t="s">
        <v>2379</v>
      </c>
      <c r="B63" s="227"/>
      <c r="C63" s="241" t="s">
        <v>2285</v>
      </c>
      <c r="D63" s="241"/>
    </row>
    <row r="64">
      <c r="A64" s="1156" t="s">
        <v>2380</v>
      </c>
      <c r="B64" s="227" t="s">
        <v>368</v>
      </c>
      <c r="C64" s="241" t="s">
        <v>2285</v>
      </c>
      <c r="D64" s="241"/>
    </row>
    <row r="65">
      <c r="A65" s="1160" t="s">
        <v>2381</v>
      </c>
      <c r="B65" s="227" t="s">
        <v>2382</v>
      </c>
      <c r="C65" s="241" t="s">
        <v>2285</v>
      </c>
      <c r="D65" s="241"/>
    </row>
    <row r="66">
      <c r="A66" s="1160" t="s">
        <v>2383</v>
      </c>
      <c r="B66" s="227" t="s">
        <v>2384</v>
      </c>
      <c r="C66" s="241" t="s">
        <v>2285</v>
      </c>
      <c r="D66" s="241"/>
    </row>
    <row r="67">
      <c r="A67" s="1156" t="s">
        <v>2385</v>
      </c>
      <c r="B67" s="227" t="s">
        <v>2386</v>
      </c>
      <c r="C67" s="241" t="s">
        <v>2285</v>
      </c>
      <c r="D67" s="241"/>
    </row>
    <row r="68">
      <c r="A68" s="1158" t="s">
        <v>2387</v>
      </c>
      <c r="B68" s="227"/>
      <c r="C68" s="241" t="s">
        <v>2285</v>
      </c>
      <c r="D68" s="241"/>
    </row>
    <row r="69">
      <c r="A69" s="1156" t="s">
        <v>2388</v>
      </c>
      <c r="B69" s="227" t="s">
        <v>2389</v>
      </c>
      <c r="C69" s="241" t="s">
        <v>2285</v>
      </c>
      <c r="D69" s="241"/>
    </row>
    <row r="70">
      <c r="A70" s="1156" t="s">
        <v>2390</v>
      </c>
      <c r="B70" s="227" t="s">
        <v>2391</v>
      </c>
      <c r="C70" s="241" t="s">
        <v>2285</v>
      </c>
      <c r="D70" s="241"/>
    </row>
    <row r="71">
      <c r="A71" s="1158" t="s">
        <v>2392</v>
      </c>
      <c r="B71" s="227"/>
      <c r="C71" s="241" t="s">
        <v>2285</v>
      </c>
      <c r="D71" s="241"/>
    </row>
    <row r="72">
      <c r="A72" s="1160" t="s">
        <v>2393</v>
      </c>
      <c r="B72" s="227" t="s">
        <v>2394</v>
      </c>
      <c r="C72" s="241" t="s">
        <v>2208</v>
      </c>
      <c r="D72" s="241"/>
    </row>
    <row r="73">
      <c r="A73" s="1156" t="s">
        <v>2395</v>
      </c>
      <c r="B73" s="227" t="s">
        <v>2396</v>
      </c>
      <c r="C73" s="241" t="s">
        <v>2285</v>
      </c>
      <c r="D73" s="241"/>
    </row>
    <row r="74">
      <c r="A74" s="1156" t="s">
        <v>2397</v>
      </c>
      <c r="B74" s="227" t="s">
        <v>2398</v>
      </c>
      <c r="C74" s="241" t="s">
        <v>2285</v>
      </c>
      <c r="D74" s="241"/>
    </row>
    <row r="75">
      <c r="A75" s="1160" t="s">
        <v>2399</v>
      </c>
      <c r="B75" s="227" t="s">
        <v>2400</v>
      </c>
      <c r="C75" s="241" t="s">
        <v>2285</v>
      </c>
      <c r="D75" s="241"/>
    </row>
    <row r="76">
      <c r="A76" s="1161" t="s">
        <v>2401</v>
      </c>
      <c r="B76" s="241"/>
      <c r="C76" s="241" t="s">
        <v>2285</v>
      </c>
      <c r="D76" s="241"/>
    </row>
    <row r="77">
      <c r="A77" s="1156" t="s">
        <v>2402</v>
      </c>
      <c r="B77" s="241" t="s">
        <v>2403</v>
      </c>
      <c r="C77" s="241" t="s">
        <v>2208</v>
      </c>
      <c r="D77" s="241"/>
    </row>
    <row r="78">
      <c r="A78" s="1160" t="s">
        <v>2404</v>
      </c>
      <c r="B78" s="241" t="s">
        <v>2405</v>
      </c>
      <c r="C78" s="241" t="s">
        <v>2285</v>
      </c>
      <c r="D78" s="241"/>
    </row>
    <row r="79">
      <c r="A79" s="1156" t="s">
        <v>2406</v>
      </c>
      <c r="B79" s="241" t="s">
        <v>2407</v>
      </c>
      <c r="C79" s="241" t="s">
        <v>2208</v>
      </c>
      <c r="D79" s="241"/>
    </row>
    <row r="80">
      <c r="A80" s="1156" t="s">
        <v>2408</v>
      </c>
      <c r="B80" s="241" t="s">
        <v>2409</v>
      </c>
      <c r="C80" s="241" t="s">
        <v>2208</v>
      </c>
      <c r="D80" s="241"/>
    </row>
    <row r="81">
      <c r="A81" s="1159" t="s">
        <v>2410</v>
      </c>
      <c r="B81" s="241" t="s">
        <v>2411</v>
      </c>
      <c r="C81" s="241" t="s">
        <v>2208</v>
      </c>
      <c r="D81" s="241"/>
    </row>
    <row r="82">
      <c r="A82" s="1156" t="s">
        <v>2412</v>
      </c>
      <c r="B82" s="241" t="s">
        <v>2413</v>
      </c>
      <c r="C82" s="241" t="s">
        <v>2285</v>
      </c>
      <c r="D82" s="241"/>
    </row>
    <row r="83">
      <c r="A83" s="1161" t="s">
        <v>2414</v>
      </c>
      <c r="B83" s="170" t="s">
        <v>239</v>
      </c>
      <c r="C83" s="170" t="s">
        <v>2208</v>
      </c>
      <c r="D83" s="241"/>
    </row>
    <row r="84">
      <c r="A84" s="1161" t="s">
        <v>2415</v>
      </c>
      <c r="B84" s="241"/>
      <c r="C84" s="241" t="s">
        <v>2285</v>
      </c>
      <c r="D84" s="241"/>
    </row>
    <row r="85">
      <c r="A85" s="1156" t="s">
        <v>2416</v>
      </c>
      <c r="B85" s="241" t="s">
        <v>2417</v>
      </c>
      <c r="C85" s="241" t="s">
        <v>2285</v>
      </c>
      <c r="D85" s="241"/>
    </row>
    <row r="86">
      <c r="A86" s="1156" t="s">
        <v>2418</v>
      </c>
      <c r="B86" s="241" t="s">
        <v>2419</v>
      </c>
      <c r="C86" s="241" t="s">
        <v>2285</v>
      </c>
      <c r="D86" s="241"/>
    </row>
    <row r="87">
      <c r="A87" s="1158" t="s">
        <v>2420</v>
      </c>
      <c r="B87" s="241"/>
      <c r="C87" s="241" t="s">
        <v>2285</v>
      </c>
      <c r="D87" s="241"/>
    </row>
    <row r="88">
      <c r="A88" s="1156" t="s">
        <v>2421</v>
      </c>
      <c r="B88" s="241" t="s">
        <v>2422</v>
      </c>
      <c r="C88" s="241" t="s">
        <v>2285</v>
      </c>
      <c r="D88" s="241"/>
    </row>
    <row r="89">
      <c r="A89" s="1156" t="s">
        <v>2423</v>
      </c>
      <c r="B89" s="241" t="s">
        <v>2424</v>
      </c>
      <c r="C89" s="241" t="s">
        <v>2208</v>
      </c>
      <c r="D89" s="241"/>
    </row>
    <row r="90">
      <c r="A90" s="1158" t="s">
        <v>2425</v>
      </c>
      <c r="B90" s="241" t="s">
        <v>2426</v>
      </c>
      <c r="C90" s="241" t="s">
        <v>2208</v>
      </c>
      <c r="D90" s="241"/>
    </row>
    <row r="91">
      <c r="A91" s="1156" t="s">
        <v>2427</v>
      </c>
      <c r="B91" s="241" t="s">
        <v>2428</v>
      </c>
      <c r="C91" s="241" t="s">
        <v>2208</v>
      </c>
      <c r="D91" s="241"/>
    </row>
    <row r="92">
      <c r="A92" s="1161" t="s">
        <v>2429</v>
      </c>
      <c r="B92" s="241"/>
      <c r="C92" s="241" t="s">
        <v>2285</v>
      </c>
      <c r="D92" s="241"/>
    </row>
    <row r="93">
      <c r="A93" s="1161" t="s">
        <v>2430</v>
      </c>
      <c r="B93" s="241"/>
      <c r="C93" s="241" t="s">
        <v>2285</v>
      </c>
      <c r="D93" s="241"/>
    </row>
    <row r="94">
      <c r="A94" s="1156" t="s">
        <v>2431</v>
      </c>
      <c r="B94" s="241" t="s">
        <v>2432</v>
      </c>
      <c r="C94" s="241" t="s">
        <v>2285</v>
      </c>
      <c r="D94" s="241"/>
    </row>
    <row r="95">
      <c r="A95" s="1156" t="s">
        <v>2433</v>
      </c>
      <c r="B95" s="241" t="s">
        <v>2434</v>
      </c>
      <c r="C95" s="241" t="s">
        <v>2285</v>
      </c>
      <c r="D95" s="241"/>
    </row>
    <row r="96">
      <c r="A96" s="1159" t="s">
        <v>2435</v>
      </c>
      <c r="B96" s="241"/>
      <c r="C96" s="241" t="s">
        <v>2285</v>
      </c>
      <c r="D96" s="241"/>
    </row>
    <row r="97">
      <c r="A97" s="1156" t="s">
        <v>2436</v>
      </c>
      <c r="B97" s="241" t="s">
        <v>2437</v>
      </c>
      <c r="C97" s="241" t="s">
        <v>2208</v>
      </c>
      <c r="D97" s="241"/>
    </row>
    <row r="98">
      <c r="A98" s="1156" t="s">
        <v>2438</v>
      </c>
      <c r="B98" s="241" t="s">
        <v>2439</v>
      </c>
      <c r="C98" s="170" t="s">
        <v>2208</v>
      </c>
      <c r="D98" s="241"/>
    </row>
    <row r="99">
      <c r="A99" s="1156" t="s">
        <v>2440</v>
      </c>
      <c r="B99" s="241" t="s">
        <v>164</v>
      </c>
      <c r="C99" s="241" t="s">
        <v>2285</v>
      </c>
      <c r="D99" s="241"/>
    </row>
    <row r="100">
      <c r="A100" s="1156" t="s">
        <v>2441</v>
      </c>
      <c r="B100" s="241" t="s">
        <v>2220</v>
      </c>
      <c r="C100" s="241" t="s">
        <v>2208</v>
      </c>
      <c r="D100" s="241"/>
    </row>
    <row r="101">
      <c r="A101" s="1156" t="s">
        <v>2442</v>
      </c>
      <c r="B101" s="241" t="s">
        <v>2443</v>
      </c>
      <c r="C101" s="241" t="s">
        <v>2208</v>
      </c>
      <c r="D101" s="241"/>
    </row>
    <row r="102">
      <c r="A102" s="1158" t="s">
        <v>2444</v>
      </c>
      <c r="B102" s="241" t="s">
        <v>2445</v>
      </c>
      <c r="C102" s="241" t="s">
        <v>2208</v>
      </c>
      <c r="D102" s="241"/>
    </row>
    <row r="103">
      <c r="A103" s="1158" t="s">
        <v>2446</v>
      </c>
      <c r="B103" s="241"/>
      <c r="C103" s="241" t="s">
        <v>2285</v>
      </c>
      <c r="D103" s="241"/>
    </row>
    <row r="104">
      <c r="A104" s="1159" t="s">
        <v>2446</v>
      </c>
      <c r="B104" s="241"/>
      <c r="C104" s="241" t="s">
        <v>2285</v>
      </c>
      <c r="D104" s="241"/>
    </row>
    <row r="105">
      <c r="A105" s="1158" t="s">
        <v>2447</v>
      </c>
      <c r="B105" s="241"/>
      <c r="C105" s="241" t="s">
        <v>2285</v>
      </c>
      <c r="D105" s="241"/>
    </row>
    <row r="106">
      <c r="A106" s="1157" t="s">
        <v>2448</v>
      </c>
      <c r="B106" s="241"/>
      <c r="C106" s="241" t="s">
        <v>2285</v>
      </c>
      <c r="D106" s="241"/>
    </row>
    <row r="107">
      <c r="A107" s="1156" t="s">
        <v>2449</v>
      </c>
      <c r="B107" s="241" t="s">
        <v>2450</v>
      </c>
      <c r="C107" s="241" t="s">
        <v>2285</v>
      </c>
      <c r="D107" s="241"/>
    </row>
    <row r="108">
      <c r="A108" s="1156" t="s">
        <v>2451</v>
      </c>
      <c r="B108" s="241" t="s">
        <v>2452</v>
      </c>
      <c r="C108" s="241" t="s">
        <v>2208</v>
      </c>
      <c r="D108" s="241"/>
    </row>
    <row r="109">
      <c r="A109" s="1156" t="s">
        <v>2453</v>
      </c>
      <c r="B109" s="241" t="s">
        <v>2454</v>
      </c>
      <c r="C109" s="241" t="s">
        <v>2285</v>
      </c>
      <c r="D109" s="241"/>
    </row>
    <row r="110">
      <c r="A110" s="1156" t="s">
        <v>2455</v>
      </c>
      <c r="B110" s="241" t="s">
        <v>2456</v>
      </c>
      <c r="C110" s="241" t="s">
        <v>2208</v>
      </c>
      <c r="D110" s="241"/>
    </row>
    <row r="111">
      <c r="A111" s="1156" t="s">
        <v>2457</v>
      </c>
      <c r="B111" s="241" t="s">
        <v>2458</v>
      </c>
      <c r="C111" s="241" t="s">
        <v>2208</v>
      </c>
      <c r="D111" s="241"/>
    </row>
    <row r="112">
      <c r="A112" s="1158" t="s">
        <v>2459</v>
      </c>
      <c r="B112" s="241" t="s">
        <v>2460</v>
      </c>
      <c r="C112" s="241" t="s">
        <v>2208</v>
      </c>
      <c r="D112" s="241"/>
    </row>
    <row r="113">
      <c r="A113" s="1158" t="s">
        <v>2461</v>
      </c>
      <c r="B113" s="241"/>
      <c r="C113" s="241" t="s">
        <v>2285</v>
      </c>
      <c r="D113" s="241"/>
    </row>
    <row r="114">
      <c r="A114" s="1158" t="s">
        <v>2462</v>
      </c>
      <c r="B114" s="241"/>
      <c r="C114" s="241" t="s">
        <v>2285</v>
      </c>
      <c r="D114" s="241"/>
    </row>
    <row r="115">
      <c r="A115" s="1158" t="s">
        <v>2463</v>
      </c>
      <c r="B115" s="241"/>
      <c r="C115" s="241" t="s">
        <v>2285</v>
      </c>
      <c r="D115" s="241"/>
    </row>
    <row r="116">
      <c r="A116" s="1159" t="s">
        <v>2464</v>
      </c>
      <c r="B116" s="241" t="s">
        <v>2465</v>
      </c>
      <c r="C116" s="241" t="s">
        <v>2208</v>
      </c>
      <c r="D116" s="241"/>
    </row>
    <row r="117">
      <c r="A117" s="1156" t="s">
        <v>2466</v>
      </c>
      <c r="B117" s="241" t="s">
        <v>2467</v>
      </c>
      <c r="C117" s="241" t="s">
        <v>2208</v>
      </c>
      <c r="D117" s="241"/>
    </row>
    <row r="118">
      <c r="A118" s="1160" t="s">
        <v>2468</v>
      </c>
      <c r="B118" s="241" t="s">
        <v>2469</v>
      </c>
      <c r="C118" s="241" t="s">
        <v>2285</v>
      </c>
      <c r="D118" s="241"/>
    </row>
    <row r="119">
      <c r="A119" s="1158" t="s">
        <v>2470</v>
      </c>
      <c r="B119" s="241"/>
      <c r="C119" s="241" t="s">
        <v>2285</v>
      </c>
      <c r="D119" s="241"/>
    </row>
    <row r="120">
      <c r="A120" s="1156" t="s">
        <v>2471</v>
      </c>
      <c r="B120" s="241" t="s">
        <v>2472</v>
      </c>
      <c r="C120" s="241" t="s">
        <v>2285</v>
      </c>
      <c r="D120" s="241"/>
    </row>
    <row r="121">
      <c r="A121" s="1156" t="s">
        <v>2473</v>
      </c>
      <c r="B121" s="241" t="s">
        <v>2474</v>
      </c>
      <c r="C121" s="241" t="s">
        <v>2285</v>
      </c>
      <c r="D121" s="241"/>
    </row>
    <row r="122">
      <c r="A122" s="1158" t="s">
        <v>2475</v>
      </c>
      <c r="B122" s="241"/>
      <c r="C122" s="241" t="s">
        <v>2285</v>
      </c>
      <c r="D122" s="241"/>
    </row>
    <row r="123">
      <c r="A123" s="1158" t="s">
        <v>2476</v>
      </c>
      <c r="B123" s="241"/>
      <c r="C123" s="241" t="s">
        <v>2285</v>
      </c>
      <c r="D123" s="241"/>
    </row>
    <row r="124">
      <c r="A124" s="241"/>
      <c r="B124" s="241"/>
      <c r="C124" s="241"/>
      <c r="D124" s="241"/>
    </row>
    <row r="125">
      <c r="A125" s="241"/>
      <c r="B125" s="241"/>
      <c r="C125" s="241"/>
      <c r="D125" s="241"/>
    </row>
    <row r="126">
      <c r="A126" s="241"/>
      <c r="B126" s="241"/>
      <c r="C126" s="241"/>
      <c r="D126" s="241"/>
    </row>
    <row r="127">
      <c r="A127" s="241"/>
      <c r="B127" s="241"/>
      <c r="C127" s="241"/>
      <c r="D127" s="241"/>
    </row>
    <row r="128">
      <c r="A128" s="241"/>
      <c r="B128" s="241"/>
      <c r="C128" s="241"/>
      <c r="D128" s="241"/>
    </row>
    <row r="129">
      <c r="A129" s="241"/>
      <c r="B129" s="241"/>
      <c r="C129" s="241"/>
      <c r="D129" s="241"/>
    </row>
    <row r="130">
      <c r="A130" s="241"/>
      <c r="B130" s="241"/>
      <c r="C130" s="241"/>
      <c r="D130" s="241"/>
    </row>
    <row r="131">
      <c r="A131" s="241"/>
      <c r="B131" s="241"/>
      <c r="C131" s="241"/>
      <c r="D131" s="241"/>
    </row>
    <row r="132">
      <c r="A132" s="241"/>
      <c r="B132" s="241"/>
      <c r="C132" s="241"/>
      <c r="D132" s="241"/>
    </row>
    <row r="133">
      <c r="A133" s="241"/>
      <c r="B133" s="241"/>
      <c r="C133" s="241"/>
      <c r="D133" s="241"/>
    </row>
    <row r="134">
      <c r="A134" s="1163"/>
      <c r="B134" s="67"/>
      <c r="C134" s="67"/>
      <c r="D134" s="67"/>
    </row>
    <row r="135">
      <c r="A135" s="1163"/>
      <c r="B135" s="67"/>
      <c r="C135" s="67"/>
      <c r="D135" s="67"/>
    </row>
    <row r="136">
      <c r="A136" s="1163"/>
      <c r="B136" s="67"/>
      <c r="C136" s="67"/>
      <c r="D136" s="67"/>
    </row>
    <row r="137">
      <c r="A137" s="1163"/>
      <c r="B137" s="67"/>
      <c r="C137" s="67"/>
      <c r="D137" s="67"/>
    </row>
    <row r="138">
      <c r="A138" s="1163"/>
      <c r="B138" s="67"/>
      <c r="C138" s="67"/>
      <c r="D138" s="67"/>
    </row>
    <row r="139">
      <c r="A139" s="1163"/>
      <c r="B139" s="67"/>
      <c r="C139" s="67"/>
      <c r="D139" s="67"/>
    </row>
    <row r="140">
      <c r="A140" s="1163"/>
      <c r="B140" s="67"/>
      <c r="C140" s="67"/>
      <c r="D140" s="67"/>
    </row>
    <row r="141">
      <c r="A141" s="1163"/>
      <c r="B141" s="67"/>
      <c r="C141" s="67"/>
      <c r="D141" s="67"/>
    </row>
    <row r="142">
      <c r="A142" s="1163"/>
      <c r="B142" s="67"/>
      <c r="C142" s="67"/>
      <c r="D142" s="67"/>
    </row>
    <row r="143">
      <c r="A143" s="1163"/>
      <c r="B143" s="67"/>
      <c r="C143" s="67"/>
      <c r="D143" s="67"/>
    </row>
    <row r="144">
      <c r="A144" s="1163"/>
      <c r="B144" s="67"/>
      <c r="C144" s="67"/>
      <c r="D144" s="67"/>
    </row>
    <row r="145">
      <c r="A145" s="1163"/>
      <c r="B145" s="67"/>
      <c r="C145" s="67"/>
      <c r="D145" s="67"/>
    </row>
    <row r="146">
      <c r="A146" s="1163"/>
      <c r="B146" s="67"/>
      <c r="C146" s="67"/>
      <c r="D146" s="67"/>
    </row>
    <row r="147">
      <c r="A147" s="1163"/>
      <c r="B147" s="67"/>
      <c r="C147" s="67"/>
      <c r="D147" s="67"/>
    </row>
    <row r="148">
      <c r="A148" s="1163"/>
      <c r="B148" s="67"/>
      <c r="C148" s="67"/>
      <c r="D148" s="67"/>
    </row>
    <row r="149">
      <c r="A149" s="1163"/>
      <c r="B149" s="67"/>
      <c r="C149" s="67"/>
      <c r="D149" s="67"/>
    </row>
    <row r="150">
      <c r="A150" s="1163"/>
      <c r="B150" s="67"/>
      <c r="C150" s="67"/>
      <c r="D150" s="67"/>
    </row>
    <row r="151">
      <c r="A151" s="1163"/>
      <c r="B151" s="67"/>
      <c r="C151" s="67"/>
      <c r="D151" s="67"/>
    </row>
    <row r="152">
      <c r="A152" s="1163"/>
      <c r="B152" s="67"/>
      <c r="C152" s="67"/>
      <c r="D152" s="67"/>
    </row>
    <row r="153">
      <c r="A153" s="1163"/>
      <c r="B153" s="67"/>
      <c r="C153" s="67"/>
      <c r="D153" s="67"/>
    </row>
    <row r="154">
      <c r="A154" s="1163"/>
      <c r="B154" s="67"/>
      <c r="C154" s="67"/>
      <c r="D154" s="67"/>
    </row>
    <row r="155">
      <c r="A155" s="1163"/>
      <c r="B155" s="67"/>
      <c r="C155" s="67"/>
      <c r="D155" s="67"/>
    </row>
    <row r="156">
      <c r="A156" s="1163"/>
      <c r="B156" s="67"/>
      <c r="C156" s="67"/>
      <c r="D156" s="67"/>
    </row>
    <row r="157">
      <c r="A157" s="1163"/>
      <c r="B157" s="67"/>
      <c r="C157" s="67"/>
      <c r="D157" s="67"/>
    </row>
    <row r="158">
      <c r="A158" s="1163"/>
      <c r="B158" s="67"/>
      <c r="C158" s="67"/>
      <c r="D158" s="67"/>
    </row>
    <row r="159">
      <c r="A159" s="1163"/>
      <c r="B159" s="67"/>
      <c r="C159" s="67"/>
      <c r="D159" s="67"/>
    </row>
    <row r="160">
      <c r="A160" s="1163"/>
      <c r="B160" s="67"/>
      <c r="C160" s="67"/>
      <c r="D160" s="67"/>
    </row>
    <row r="161">
      <c r="A161" s="1163"/>
      <c r="B161" s="67"/>
      <c r="C161" s="67"/>
      <c r="D161" s="67"/>
    </row>
    <row r="162">
      <c r="A162" s="1163"/>
      <c r="B162" s="67"/>
      <c r="C162" s="67"/>
      <c r="D162" s="67"/>
    </row>
    <row r="163">
      <c r="A163" s="1163"/>
      <c r="B163" s="67"/>
      <c r="C163" s="67"/>
      <c r="D163" s="67"/>
    </row>
    <row r="164">
      <c r="A164" s="1163"/>
      <c r="B164" s="67"/>
      <c r="C164" s="67"/>
      <c r="D164" s="67"/>
    </row>
    <row r="165">
      <c r="A165" s="1163"/>
      <c r="B165" s="67"/>
      <c r="C165" s="67"/>
      <c r="D165" s="67"/>
    </row>
    <row r="166">
      <c r="A166" s="1163"/>
      <c r="B166" s="67"/>
      <c r="C166" s="67"/>
      <c r="D166" s="67"/>
    </row>
    <row r="167">
      <c r="A167" s="1163"/>
      <c r="B167" s="67"/>
      <c r="C167" s="67"/>
      <c r="D167" s="67"/>
    </row>
    <row r="168">
      <c r="A168" s="1163"/>
      <c r="B168" s="67"/>
      <c r="C168" s="67"/>
      <c r="D168" s="67"/>
    </row>
    <row r="169">
      <c r="A169" s="1163"/>
      <c r="B169" s="67"/>
      <c r="C169" s="67"/>
      <c r="D169" s="67"/>
    </row>
    <row r="170">
      <c r="A170" s="1163"/>
      <c r="B170" s="67"/>
      <c r="C170" s="67"/>
      <c r="D170" s="67"/>
    </row>
    <row r="171">
      <c r="A171" s="1163"/>
      <c r="B171" s="67"/>
      <c r="C171" s="67"/>
      <c r="D171" s="67"/>
    </row>
    <row r="172">
      <c r="A172" s="1163"/>
      <c r="B172" s="67"/>
      <c r="C172" s="67"/>
      <c r="D172" s="67"/>
    </row>
    <row r="173">
      <c r="A173" s="1163"/>
      <c r="B173" s="67"/>
      <c r="C173" s="67"/>
      <c r="D173" s="67"/>
    </row>
    <row r="174">
      <c r="A174" s="1163"/>
      <c r="B174" s="67"/>
      <c r="C174" s="67"/>
      <c r="D174" s="67"/>
    </row>
    <row r="175">
      <c r="A175" s="1163"/>
      <c r="B175" s="67"/>
      <c r="C175" s="67"/>
      <c r="D175" s="67"/>
    </row>
    <row r="176">
      <c r="A176" s="1163"/>
      <c r="B176" s="67"/>
      <c r="C176" s="67"/>
      <c r="D176" s="67"/>
    </row>
    <row r="177">
      <c r="A177" s="1163"/>
      <c r="B177" s="67"/>
      <c r="C177" s="67"/>
      <c r="D177" s="67"/>
    </row>
    <row r="178">
      <c r="A178" s="1163"/>
      <c r="B178" s="67"/>
      <c r="C178" s="67"/>
      <c r="D178" s="67"/>
    </row>
    <row r="179">
      <c r="A179" s="1163"/>
      <c r="B179" s="67"/>
      <c r="C179" s="67"/>
      <c r="D179" s="67"/>
    </row>
    <row r="180">
      <c r="A180" s="1163"/>
      <c r="B180" s="67"/>
      <c r="C180" s="67"/>
      <c r="D180" s="67"/>
    </row>
    <row r="181">
      <c r="A181" s="1163"/>
      <c r="B181" s="67"/>
      <c r="C181" s="67"/>
      <c r="D181" s="67"/>
    </row>
    <row r="182">
      <c r="A182" s="1163"/>
      <c r="B182" s="67"/>
      <c r="C182" s="67"/>
      <c r="D182" s="67"/>
    </row>
    <row r="183">
      <c r="A183" s="1163"/>
      <c r="B183" s="67"/>
      <c r="C183" s="67"/>
      <c r="D183" s="67"/>
    </row>
    <row r="184">
      <c r="A184" s="1163"/>
      <c r="B184" s="67"/>
      <c r="C184" s="67"/>
      <c r="D184" s="67"/>
    </row>
    <row r="185">
      <c r="A185" s="1163"/>
      <c r="B185" s="67"/>
      <c r="C185" s="67"/>
      <c r="D185" s="67"/>
    </row>
    <row r="186">
      <c r="A186" s="1163"/>
      <c r="B186" s="67"/>
      <c r="C186" s="67"/>
      <c r="D186" s="67"/>
    </row>
    <row r="187">
      <c r="A187" s="1163"/>
      <c r="B187" s="67"/>
      <c r="C187" s="67"/>
      <c r="D187" s="67"/>
    </row>
    <row r="188">
      <c r="A188" s="1163"/>
      <c r="B188" s="67"/>
      <c r="C188" s="67"/>
      <c r="D188" s="67"/>
    </row>
    <row r="189">
      <c r="A189" s="1163"/>
      <c r="B189" s="67"/>
      <c r="C189" s="67"/>
      <c r="D189" s="67"/>
    </row>
    <row r="190">
      <c r="A190" s="1163"/>
      <c r="B190" s="67"/>
      <c r="C190" s="67"/>
      <c r="D190" s="67"/>
    </row>
    <row r="191">
      <c r="A191" s="1163"/>
      <c r="B191" s="67"/>
      <c r="C191" s="67"/>
      <c r="D191" s="67"/>
    </row>
    <row r="192">
      <c r="A192" s="1163"/>
      <c r="B192" s="67"/>
      <c r="C192" s="67"/>
      <c r="D192" s="67"/>
    </row>
    <row r="193">
      <c r="A193" s="1163"/>
      <c r="B193" s="67"/>
      <c r="C193" s="67"/>
      <c r="D193" s="67"/>
    </row>
    <row r="194">
      <c r="A194" s="1163"/>
      <c r="B194" s="67"/>
      <c r="C194" s="67"/>
      <c r="D194" s="67"/>
    </row>
    <row r="195">
      <c r="A195" s="1163"/>
      <c r="B195" s="67"/>
      <c r="C195" s="67"/>
      <c r="D195" s="67"/>
    </row>
    <row r="196">
      <c r="A196" s="1163"/>
      <c r="B196" s="67"/>
      <c r="C196" s="67"/>
      <c r="D196" s="67"/>
    </row>
    <row r="197">
      <c r="A197" s="1163"/>
      <c r="B197" s="67"/>
      <c r="C197" s="67"/>
      <c r="D197" s="67"/>
    </row>
    <row r="198">
      <c r="A198" s="1163"/>
      <c r="B198" s="67"/>
      <c r="C198" s="67"/>
      <c r="D198" s="67"/>
    </row>
    <row r="199">
      <c r="A199" s="1163"/>
      <c r="B199" s="67"/>
      <c r="C199" s="67"/>
      <c r="D199" s="67"/>
    </row>
    <row r="200">
      <c r="A200" s="1163"/>
      <c r="B200" s="67"/>
      <c r="C200" s="67"/>
      <c r="D200" s="67"/>
    </row>
    <row r="201">
      <c r="A201" s="1163"/>
      <c r="B201" s="67"/>
      <c r="C201" s="67"/>
      <c r="D201" s="67"/>
    </row>
    <row r="202">
      <c r="A202" s="1163"/>
      <c r="B202" s="67"/>
      <c r="C202" s="67"/>
      <c r="D202" s="67"/>
    </row>
    <row r="203">
      <c r="A203" s="1163"/>
      <c r="B203" s="67"/>
      <c r="C203" s="67"/>
      <c r="D203" s="67"/>
    </row>
    <row r="204">
      <c r="A204" s="1163"/>
      <c r="B204" s="67"/>
      <c r="C204" s="67"/>
      <c r="D204" s="67"/>
    </row>
  </sheetData>
  <mergeCells count="1">
    <mergeCell ref="A1:D1"/>
  </mergeCell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8.0"/>
    <col customWidth="1" min="3" max="3" width="7.0"/>
    <col customWidth="1" min="4" max="4" width="9.13"/>
    <col customWidth="1" min="5" max="5" width="6.5"/>
    <col customWidth="1" min="6" max="6" width="9.0"/>
    <col customWidth="1" min="7" max="7" width="3.38"/>
    <col customWidth="1" min="8" max="8" width="8.0"/>
    <col customWidth="1" min="9" max="9" width="8.13"/>
    <col customWidth="1" min="10" max="10" width="4.0"/>
    <col customWidth="1" min="11" max="11" width="6.75"/>
    <col customWidth="1" min="12" max="12" width="8.0"/>
    <col customWidth="1" min="13" max="13" width="3.38"/>
    <col customWidth="1" min="14" max="14" width="8.0"/>
    <col customWidth="1" min="15" max="15" width="7.0"/>
    <col customWidth="1" min="16" max="17" width="8.0"/>
  </cols>
  <sheetData>
    <row r="1" ht="18.75" customHeight="1">
      <c r="A1" s="1164"/>
      <c r="D1" s="1165" t="s">
        <v>2477</v>
      </c>
      <c r="O1" s="1164" t="str">
        <f>if(Time!C10='101 General Info'!D8,"",image("https://www.nimsiap.org/images/Update.png"))</f>
        <v/>
      </c>
    </row>
    <row r="2" ht="15.0" customHeight="1">
      <c r="A2" s="1166" t="s">
        <v>282</v>
      </c>
      <c r="B2" s="84"/>
      <c r="C2" s="84"/>
      <c r="D2" s="84"/>
      <c r="E2" s="84"/>
      <c r="F2" s="1166" t="s">
        <v>283</v>
      </c>
      <c r="G2" s="84"/>
      <c r="H2" s="84"/>
      <c r="I2" s="84"/>
      <c r="J2" s="84"/>
      <c r="K2" s="84"/>
      <c r="L2" s="84"/>
      <c r="M2" s="84"/>
      <c r="N2" s="1166" t="s">
        <v>2478</v>
      </c>
      <c r="O2" s="84"/>
      <c r="P2" s="1167" t="s">
        <v>2479</v>
      </c>
      <c r="Q2" s="86"/>
    </row>
    <row r="3" ht="15.0" customHeight="1">
      <c r="A3" s="1168" t="str">
        <f>IncName</f>
        <v>NO NAME</v>
      </c>
      <c r="E3" s="108"/>
      <c r="F3" s="1169" t="s">
        <v>2480</v>
      </c>
      <c r="G3" s="1170">
        <f>OpDate</f>
        <v>43893</v>
      </c>
      <c r="I3" s="1171" t="s">
        <v>130</v>
      </c>
      <c r="J3" s="1170">
        <f>OpDateTo</f>
        <v>43894</v>
      </c>
      <c r="M3" s="108"/>
      <c r="N3" s="1172" t="str">
        <f>if(Time!C10='101 General Info'!D8,text(Time!B9, "hhmm") &amp; "        |          " &amp; text(Time!C9, "hhmm"),"Your Sunrise and Sunset info has not been updated for the current Op period")</f>
        <v>0736        |          1907</v>
      </c>
      <c r="Q3" s="108"/>
    </row>
    <row r="4" ht="15.0" customHeight="1">
      <c r="A4" s="1173"/>
      <c r="B4" s="113"/>
      <c r="C4" s="113"/>
      <c r="D4" s="113"/>
      <c r="E4" s="115"/>
      <c r="F4" s="1174" t="s">
        <v>2481</v>
      </c>
      <c r="G4" s="1175" t="str">
        <f>OpStart</f>
        <v>0700</v>
      </c>
      <c r="H4" s="113"/>
      <c r="I4" s="1176" t="s">
        <v>133</v>
      </c>
      <c r="J4" s="1175" t="str">
        <f>OpEnd</f>
        <v>0700</v>
      </c>
      <c r="K4" s="113"/>
      <c r="L4" s="113"/>
      <c r="M4" s="115"/>
      <c r="N4" s="79"/>
      <c r="O4" s="113"/>
      <c r="P4" s="113"/>
      <c r="Q4" s="115"/>
    </row>
    <row r="5" ht="27.0" customHeight="1">
      <c r="A5" s="1166" t="s">
        <v>2482</v>
      </c>
      <c r="B5" s="84"/>
      <c r="C5" s="84"/>
      <c r="D5" s="84"/>
      <c r="E5" s="84"/>
      <c r="F5" s="84"/>
      <c r="G5" s="86"/>
      <c r="H5" s="1167" t="s">
        <v>2483</v>
      </c>
      <c r="I5" s="84"/>
      <c r="J5" s="84"/>
      <c r="K5" s="84"/>
      <c r="L5" s="84"/>
      <c r="M5" s="1177"/>
      <c r="N5" s="1178" t="s">
        <v>2484</v>
      </c>
      <c r="Q5" s="1179"/>
    </row>
    <row r="6" ht="18.0" customHeight="1">
      <c r="A6" s="1180"/>
      <c r="H6" s="1169" t="s">
        <v>2485</v>
      </c>
      <c r="J6" s="1181"/>
      <c r="N6" s="1182" t="s">
        <v>2486</v>
      </c>
      <c r="O6" s="1181"/>
      <c r="Q6" s="1179"/>
    </row>
    <row r="7" ht="17.25" customHeight="1">
      <c r="A7" s="107"/>
      <c r="H7" s="1183" t="s">
        <v>2487</v>
      </c>
      <c r="I7" s="113"/>
      <c r="J7" s="1184"/>
      <c r="K7" s="113"/>
      <c r="L7" s="113"/>
      <c r="M7" s="1185"/>
      <c r="N7" s="1186" t="s">
        <v>2488</v>
      </c>
      <c r="O7" s="113"/>
      <c r="P7" s="1184"/>
      <c r="Q7" s="1185"/>
    </row>
    <row r="8" ht="27.75" customHeight="1">
      <c r="A8" s="107"/>
      <c r="H8" s="1187" t="s">
        <v>2489</v>
      </c>
      <c r="I8" s="136"/>
      <c r="J8" s="1188" t="s">
        <v>2490</v>
      </c>
      <c r="K8" s="136"/>
      <c r="L8" s="1188" t="s">
        <v>2491</v>
      </c>
      <c r="M8" s="136"/>
      <c r="N8" s="1187" t="s">
        <v>2492</v>
      </c>
      <c r="O8" s="135"/>
      <c r="P8" s="135"/>
      <c r="Q8" s="1189"/>
    </row>
    <row r="9" ht="15.0" customHeight="1">
      <c r="A9" s="107"/>
      <c r="H9" s="1190" t="s">
        <v>2493</v>
      </c>
      <c r="I9" s="210"/>
      <c r="J9" s="1191"/>
      <c r="K9" s="210"/>
      <c r="L9" s="1191"/>
      <c r="M9" s="210"/>
      <c r="N9" s="1190" t="s">
        <v>2494</v>
      </c>
      <c r="O9" s="165"/>
      <c r="P9" s="165"/>
      <c r="Q9" s="517"/>
    </row>
    <row r="10" ht="6.75" customHeight="1">
      <c r="A10" s="79"/>
      <c r="B10" s="113"/>
      <c r="C10" s="113"/>
      <c r="D10" s="113"/>
      <c r="E10" s="113"/>
      <c r="F10" s="113"/>
      <c r="G10" s="113"/>
      <c r="H10" s="1192"/>
      <c r="I10" s="55"/>
      <c r="J10" s="104"/>
      <c r="K10" s="55"/>
      <c r="L10" s="104"/>
      <c r="M10" s="55"/>
      <c r="N10" s="1192"/>
      <c r="O10" s="77"/>
      <c r="P10" s="77"/>
      <c r="Q10" s="78"/>
    </row>
    <row r="11" ht="27.75" customHeight="1">
      <c r="A11" s="1193" t="s">
        <v>2495</v>
      </c>
      <c r="B11" s="55"/>
      <c r="C11" s="1194" t="s">
        <v>2496</v>
      </c>
      <c r="D11" s="55"/>
      <c r="E11" s="1194" t="s">
        <v>2497</v>
      </c>
      <c r="F11" s="77"/>
      <c r="G11" s="55"/>
      <c r="H11" s="1195" t="s">
        <v>2498</v>
      </c>
      <c r="I11" s="45"/>
      <c r="J11" s="1196"/>
      <c r="K11" s="45"/>
      <c r="L11" s="1196"/>
      <c r="M11" s="45"/>
      <c r="N11" s="1197"/>
      <c r="O11" s="74"/>
      <c r="P11" s="74"/>
      <c r="Q11" s="149"/>
    </row>
    <row r="12" ht="27.75" customHeight="1">
      <c r="A12" s="1195" t="s">
        <v>2499</v>
      </c>
      <c r="B12" s="45"/>
      <c r="C12" s="1198" t="str">
        <f>'203'!G39</f>
        <v/>
      </c>
      <c r="D12" s="45"/>
      <c r="E12" s="1198"/>
      <c r="F12" s="74"/>
      <c r="G12" s="45"/>
      <c r="H12" s="1195" t="s">
        <v>2500</v>
      </c>
      <c r="I12" s="45"/>
      <c r="J12" s="1196"/>
      <c r="K12" s="45"/>
      <c r="L12" s="1196"/>
      <c r="M12" s="45"/>
      <c r="N12" s="1197"/>
      <c r="O12" s="74"/>
      <c r="P12" s="74"/>
      <c r="Q12" s="149"/>
    </row>
    <row r="13" ht="27.75" customHeight="1">
      <c r="A13" s="1195" t="s">
        <v>372</v>
      </c>
      <c r="B13" s="45"/>
      <c r="C13" s="1198" t="str">
        <f>'203'!F40</f>
        <v/>
      </c>
      <c r="D13" s="45"/>
      <c r="E13" s="1198"/>
      <c r="F13" s="74"/>
      <c r="G13" s="45"/>
      <c r="H13" s="1195" t="s">
        <v>2501</v>
      </c>
      <c r="I13" s="45"/>
      <c r="J13" s="1196"/>
      <c r="K13" s="45"/>
      <c r="L13" s="1196"/>
      <c r="M13" s="45"/>
      <c r="N13" s="1195" t="s">
        <v>2502</v>
      </c>
      <c r="O13" s="74"/>
      <c r="P13" s="74"/>
      <c r="Q13" s="149"/>
    </row>
    <row r="14" ht="27.75" customHeight="1">
      <c r="A14" s="1195" t="s">
        <v>373</v>
      </c>
      <c r="B14" s="45"/>
      <c r="C14" s="1198" t="str">
        <f>'203'!F41</f>
        <v/>
      </c>
      <c r="D14" s="45"/>
      <c r="E14" s="1198"/>
      <c r="F14" s="74"/>
      <c r="G14" s="45"/>
      <c r="H14" s="1195" t="s">
        <v>2503</v>
      </c>
      <c r="I14" s="45"/>
      <c r="J14" s="1196"/>
      <c r="K14" s="45"/>
      <c r="L14" s="1196"/>
      <c r="M14" s="45"/>
      <c r="N14" s="1197"/>
      <c r="O14" s="74"/>
      <c r="P14" s="74"/>
      <c r="Q14" s="149"/>
    </row>
    <row r="15" ht="27.75" customHeight="1">
      <c r="A15" s="1195" t="s">
        <v>2504</v>
      </c>
      <c r="B15" s="45"/>
      <c r="C15" s="1198"/>
      <c r="D15" s="45"/>
      <c r="E15" s="1198"/>
      <c r="F15" s="74"/>
      <c r="G15" s="45"/>
      <c r="H15" s="1195" t="s">
        <v>2505</v>
      </c>
      <c r="I15" s="45"/>
      <c r="J15" s="1196"/>
      <c r="K15" s="45"/>
      <c r="L15" s="1196"/>
      <c r="M15" s="45"/>
      <c r="N15" s="1197"/>
      <c r="O15" s="74"/>
      <c r="P15" s="74"/>
      <c r="Q15" s="149"/>
    </row>
    <row r="16" ht="27.75" customHeight="1">
      <c r="A16" s="1199" t="s">
        <v>375</v>
      </c>
      <c r="B16" s="1200"/>
      <c r="C16" s="1201" t="str">
        <f>'203'!F42</f>
        <v/>
      </c>
      <c r="D16" s="1200"/>
      <c r="E16" s="1201"/>
      <c r="F16" s="81"/>
      <c r="G16" s="1200"/>
      <c r="H16" s="1199" t="s">
        <v>2506</v>
      </c>
      <c r="I16" s="1200"/>
      <c r="J16" s="1202"/>
      <c r="K16" s="1200"/>
      <c r="L16" s="1202"/>
      <c r="M16" s="1200"/>
      <c r="N16" s="1203"/>
      <c r="O16" s="81"/>
      <c r="P16" s="81"/>
      <c r="Q16" s="82"/>
    </row>
    <row r="17" ht="15.0" customHeight="1">
      <c r="A17" s="1178" t="s">
        <v>2507</v>
      </c>
      <c r="Q17" s="108"/>
    </row>
    <row r="18" ht="21.0" customHeight="1">
      <c r="A18" s="1204" t="s">
        <v>2508</v>
      </c>
      <c r="B18" s="136"/>
      <c r="C18" s="1205" t="s">
        <v>2509</v>
      </c>
      <c r="D18" s="136"/>
      <c r="E18" s="1205" t="s">
        <v>2510</v>
      </c>
      <c r="F18" s="135"/>
      <c r="G18" s="136"/>
      <c r="H18" s="1205" t="s">
        <v>2229</v>
      </c>
      <c r="I18" s="135"/>
      <c r="J18" s="136"/>
      <c r="K18" s="1205" t="s">
        <v>2511</v>
      </c>
      <c r="L18" s="135"/>
      <c r="M18" s="136"/>
      <c r="N18" s="1205" t="s">
        <v>2512</v>
      </c>
      <c r="O18" s="136"/>
      <c r="P18" s="1205" t="s">
        <v>2513</v>
      </c>
      <c r="Q18" s="1189"/>
    </row>
    <row r="19" ht="27.0" customHeight="1">
      <c r="A19" s="1206"/>
      <c r="B19" s="45"/>
      <c r="C19" s="1207"/>
      <c r="D19" s="45"/>
      <c r="E19" s="1207"/>
      <c r="F19" s="74"/>
      <c r="G19" s="45"/>
      <c r="H19" s="1207"/>
      <c r="I19" s="74"/>
      <c r="J19" s="45"/>
      <c r="K19" s="1207"/>
      <c r="L19" s="74"/>
      <c r="M19" s="45"/>
      <c r="N19" s="1207"/>
      <c r="O19" s="45"/>
      <c r="P19" s="1207"/>
      <c r="Q19" s="149"/>
    </row>
    <row r="20" ht="27.0" customHeight="1">
      <c r="A20" s="1206"/>
      <c r="B20" s="45"/>
      <c r="C20" s="1207"/>
      <c r="D20" s="45"/>
      <c r="E20" s="1207"/>
      <c r="F20" s="74"/>
      <c r="G20" s="45"/>
      <c r="H20" s="1207"/>
      <c r="I20" s="74"/>
      <c r="J20" s="45"/>
      <c r="K20" s="1207"/>
      <c r="L20" s="74"/>
      <c r="M20" s="45"/>
      <c r="N20" s="1207"/>
      <c r="O20" s="45"/>
      <c r="P20" s="1207"/>
      <c r="Q20" s="149"/>
    </row>
    <row r="21" ht="27.0" customHeight="1">
      <c r="A21" s="1206"/>
      <c r="B21" s="45"/>
      <c r="C21" s="1207"/>
      <c r="D21" s="45"/>
      <c r="E21" s="1207"/>
      <c r="F21" s="74"/>
      <c r="G21" s="45"/>
      <c r="H21" s="1207"/>
      <c r="I21" s="74"/>
      <c r="J21" s="45"/>
      <c r="K21" s="1207"/>
      <c r="L21" s="74"/>
      <c r="M21" s="45"/>
      <c r="N21" s="1207"/>
      <c r="O21" s="45"/>
      <c r="P21" s="1207"/>
      <c r="Q21" s="149"/>
    </row>
    <row r="22" ht="27.0" customHeight="1">
      <c r="A22" s="1206"/>
      <c r="B22" s="45"/>
      <c r="C22" s="1207"/>
      <c r="D22" s="45"/>
      <c r="E22" s="1207"/>
      <c r="F22" s="74"/>
      <c r="G22" s="45"/>
      <c r="H22" s="1207"/>
      <c r="I22" s="74"/>
      <c r="J22" s="45"/>
      <c r="K22" s="1207"/>
      <c r="L22" s="74"/>
      <c r="M22" s="45"/>
      <c r="N22" s="1207"/>
      <c r="O22" s="45"/>
      <c r="P22" s="1207"/>
      <c r="Q22" s="149"/>
    </row>
    <row r="23" ht="27.0" customHeight="1">
      <c r="A23" s="1206"/>
      <c r="B23" s="45"/>
      <c r="C23" s="1207"/>
      <c r="D23" s="45"/>
      <c r="E23" s="1207"/>
      <c r="F23" s="74"/>
      <c r="G23" s="45"/>
      <c r="H23" s="1207"/>
      <c r="I23" s="74"/>
      <c r="J23" s="45"/>
      <c r="K23" s="1207"/>
      <c r="L23" s="74"/>
      <c r="M23" s="45"/>
      <c r="N23" s="1207"/>
      <c r="O23" s="45"/>
      <c r="P23" s="1207"/>
      <c r="Q23" s="149"/>
    </row>
    <row r="24" ht="27.0" customHeight="1">
      <c r="A24" s="1206"/>
      <c r="B24" s="45"/>
      <c r="C24" s="1207"/>
      <c r="D24" s="45"/>
      <c r="E24" s="1207"/>
      <c r="F24" s="74"/>
      <c r="G24" s="45"/>
      <c r="H24" s="1207"/>
      <c r="I24" s="74"/>
      <c r="J24" s="45"/>
      <c r="K24" s="1207"/>
      <c r="L24" s="74"/>
      <c r="M24" s="45"/>
      <c r="N24" s="1207"/>
      <c r="O24" s="45"/>
      <c r="P24" s="1207"/>
      <c r="Q24" s="149"/>
    </row>
    <row r="25" ht="27.0" customHeight="1">
      <c r="A25" s="1208"/>
      <c r="B25" s="1200"/>
      <c r="C25" s="1209"/>
      <c r="D25" s="1200"/>
      <c r="E25" s="1209"/>
      <c r="F25" s="81"/>
      <c r="G25" s="1200"/>
      <c r="H25" s="1209"/>
      <c r="I25" s="81"/>
      <c r="J25" s="1200"/>
      <c r="K25" s="1209"/>
      <c r="L25" s="81"/>
      <c r="M25" s="1200"/>
      <c r="N25" s="1209"/>
      <c r="O25" s="1200"/>
      <c r="P25" s="1209"/>
      <c r="Q25" s="82"/>
    </row>
    <row r="26" ht="15.0" customHeight="1">
      <c r="A26" s="1210" t="s">
        <v>2514</v>
      </c>
      <c r="B26" s="84"/>
      <c r="C26" s="1211" t="s">
        <v>2496</v>
      </c>
      <c r="D26" s="1212"/>
      <c r="E26" s="135"/>
      <c r="F26" s="135"/>
      <c r="G26" s="135"/>
      <c r="H26" s="1211" t="s">
        <v>1152</v>
      </c>
      <c r="I26" s="84"/>
      <c r="J26" s="1213"/>
      <c r="K26" s="84"/>
      <c r="L26" s="84"/>
      <c r="M26" s="1211" t="s">
        <v>327</v>
      </c>
      <c r="N26" s="84"/>
      <c r="O26" s="1214"/>
      <c r="P26" s="84"/>
      <c r="Q26" s="86"/>
    </row>
    <row r="27" ht="15.0" customHeight="1">
      <c r="A27" s="1215" t="s">
        <v>2515</v>
      </c>
      <c r="B27" s="864"/>
      <c r="C27" s="864"/>
      <c r="D27" s="864"/>
      <c r="E27" s="864"/>
      <c r="F27" s="864"/>
      <c r="G27" s="874"/>
      <c r="H27" s="1216" t="s">
        <v>2516</v>
      </c>
      <c r="I27" s="864"/>
      <c r="J27" s="1217"/>
      <c r="K27" s="864"/>
      <c r="L27" s="864"/>
      <c r="M27" s="864"/>
      <c r="N27" s="864"/>
      <c r="O27" s="864"/>
      <c r="P27" s="864"/>
      <c r="Q27" s="874"/>
    </row>
  </sheetData>
  <mergeCells count="140">
    <mergeCell ref="A1:C1"/>
    <mergeCell ref="D1:N1"/>
    <mergeCell ref="O1:Q1"/>
    <mergeCell ref="A2:E2"/>
    <mergeCell ref="F2:M2"/>
    <mergeCell ref="N2:O2"/>
    <mergeCell ref="P2:Q2"/>
    <mergeCell ref="G4:H4"/>
    <mergeCell ref="H6:I6"/>
    <mergeCell ref="J6:M6"/>
    <mergeCell ref="O6:Q6"/>
    <mergeCell ref="H7:I7"/>
    <mergeCell ref="J7:M7"/>
    <mergeCell ref="N7:O7"/>
    <mergeCell ref="P7:Q7"/>
    <mergeCell ref="H8:I8"/>
    <mergeCell ref="J8:K8"/>
    <mergeCell ref="L8:M8"/>
    <mergeCell ref="N8:Q8"/>
    <mergeCell ref="A13:B13"/>
    <mergeCell ref="C13:D13"/>
    <mergeCell ref="E13:G13"/>
    <mergeCell ref="H13:I13"/>
    <mergeCell ref="J13:K13"/>
    <mergeCell ref="L13:M13"/>
    <mergeCell ref="N13:Q13"/>
    <mergeCell ref="A14:B14"/>
    <mergeCell ref="C14:D14"/>
    <mergeCell ref="E14:G14"/>
    <mergeCell ref="H14:I14"/>
    <mergeCell ref="J14:K14"/>
    <mergeCell ref="L14:M14"/>
    <mergeCell ref="N14:Q14"/>
    <mergeCell ref="A15:B15"/>
    <mergeCell ref="C15:D15"/>
    <mergeCell ref="E15:G15"/>
    <mergeCell ref="H15:I15"/>
    <mergeCell ref="J15:K15"/>
    <mergeCell ref="L15:M15"/>
    <mergeCell ref="N15:Q15"/>
    <mergeCell ref="C16:D16"/>
    <mergeCell ref="E16:G16"/>
    <mergeCell ref="H16:I16"/>
    <mergeCell ref="J16:K16"/>
    <mergeCell ref="L16:M16"/>
    <mergeCell ref="N16:Q16"/>
    <mergeCell ref="A17:Q17"/>
    <mergeCell ref="A16:B16"/>
    <mergeCell ref="C18:D18"/>
    <mergeCell ref="E18:G18"/>
    <mergeCell ref="H18:J18"/>
    <mergeCell ref="K18:M18"/>
    <mergeCell ref="N18:O18"/>
    <mergeCell ref="P18:Q18"/>
    <mergeCell ref="A18:B18"/>
    <mergeCell ref="C19:D19"/>
    <mergeCell ref="E19:G19"/>
    <mergeCell ref="H19:J19"/>
    <mergeCell ref="K19:M19"/>
    <mergeCell ref="N19:O19"/>
    <mergeCell ref="P19:Q19"/>
    <mergeCell ref="A19:B19"/>
    <mergeCell ref="C20:D20"/>
    <mergeCell ref="E20:G20"/>
    <mergeCell ref="H20:J20"/>
    <mergeCell ref="K20:M20"/>
    <mergeCell ref="N20:O20"/>
    <mergeCell ref="P20:Q20"/>
    <mergeCell ref="A20:B20"/>
    <mergeCell ref="C21:D21"/>
    <mergeCell ref="E21:G21"/>
    <mergeCell ref="H21:J21"/>
    <mergeCell ref="K21:M21"/>
    <mergeCell ref="N21:O21"/>
    <mergeCell ref="P21:Q21"/>
    <mergeCell ref="A21:B21"/>
    <mergeCell ref="C22:D22"/>
    <mergeCell ref="E22:G22"/>
    <mergeCell ref="H22:J22"/>
    <mergeCell ref="K22:M22"/>
    <mergeCell ref="N22:O22"/>
    <mergeCell ref="P22:Q22"/>
    <mergeCell ref="A22:B22"/>
    <mergeCell ref="C23:D23"/>
    <mergeCell ref="E23:G23"/>
    <mergeCell ref="H23:J23"/>
    <mergeCell ref="K23:M23"/>
    <mergeCell ref="N23:O23"/>
    <mergeCell ref="P23:Q23"/>
    <mergeCell ref="A23:B23"/>
    <mergeCell ref="C24:D24"/>
    <mergeCell ref="E24:G24"/>
    <mergeCell ref="H24:J24"/>
    <mergeCell ref="K24:M24"/>
    <mergeCell ref="N24:O24"/>
    <mergeCell ref="P24:Q24"/>
    <mergeCell ref="A24:B24"/>
    <mergeCell ref="C25:D25"/>
    <mergeCell ref="E25:G25"/>
    <mergeCell ref="H25:J25"/>
    <mergeCell ref="K25:M25"/>
    <mergeCell ref="N25:O25"/>
    <mergeCell ref="P25:Q25"/>
    <mergeCell ref="H5:M5"/>
    <mergeCell ref="N5:Q5"/>
    <mergeCell ref="H9:I10"/>
    <mergeCell ref="J9:K10"/>
    <mergeCell ref="L9:M10"/>
    <mergeCell ref="N9:Q10"/>
    <mergeCell ref="A3:E4"/>
    <mergeCell ref="G3:H3"/>
    <mergeCell ref="J3:M3"/>
    <mergeCell ref="N3:Q4"/>
    <mergeCell ref="J4:M4"/>
    <mergeCell ref="A5:G5"/>
    <mergeCell ref="A6:G10"/>
    <mergeCell ref="A11:B11"/>
    <mergeCell ref="C11:D11"/>
    <mergeCell ref="E11:G11"/>
    <mergeCell ref="H11:I11"/>
    <mergeCell ref="J11:K11"/>
    <mergeCell ref="L11:M11"/>
    <mergeCell ref="N11:Q11"/>
    <mergeCell ref="A12:B12"/>
    <mergeCell ref="C12:D12"/>
    <mergeCell ref="E12:G12"/>
    <mergeCell ref="H12:I12"/>
    <mergeCell ref="J12:K12"/>
    <mergeCell ref="L12:M12"/>
    <mergeCell ref="N12:Q12"/>
    <mergeCell ref="A27:G27"/>
    <mergeCell ref="H27:I27"/>
    <mergeCell ref="J27:Q27"/>
    <mergeCell ref="A25:B25"/>
    <mergeCell ref="A26:B26"/>
    <mergeCell ref="D26:G26"/>
    <mergeCell ref="H26:I26"/>
    <mergeCell ref="J26:L26"/>
    <mergeCell ref="M26:N26"/>
    <mergeCell ref="O26:Q26"/>
  </mergeCells>
  <conditionalFormatting sqref="N3:Q4">
    <cfRule type="containsText" dxfId="11" priority="1" operator="containsText" text="Your Sunrise">
      <formula>NOT(ISERROR(SEARCH(("Your Sunrise"),(N3))))</formula>
    </cfRule>
  </conditionalFormatting>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8.0"/>
    <col customWidth="1" min="3" max="3" width="7.0"/>
    <col customWidth="1" min="4" max="4" width="9.13"/>
    <col customWidth="1" min="5" max="5" width="6.5"/>
    <col customWidth="1" min="6" max="6" width="9.0"/>
    <col customWidth="1" min="7" max="7" width="3.38"/>
    <col customWidth="1" min="8" max="8" width="8.0"/>
    <col customWidth="1" min="9" max="9" width="8.13"/>
    <col customWidth="1" min="10" max="10" width="4.0"/>
    <col customWidth="1" min="11" max="11" width="6.75"/>
    <col customWidth="1" min="12" max="12" width="8.0"/>
    <col customWidth="1" min="13" max="13" width="3.38"/>
    <col customWidth="1" min="14" max="14" width="8.0"/>
    <col customWidth="1" min="15" max="15" width="7.0"/>
    <col customWidth="1" min="16" max="17" width="8.0"/>
  </cols>
  <sheetData>
    <row r="1" ht="18.75" customHeight="1">
      <c r="A1" s="1164"/>
      <c r="D1" s="1165" t="s">
        <v>2477</v>
      </c>
      <c r="O1" s="1164" t="str">
        <f>if(Time!C10='101 General Info'!D8,"",image("https://www.nimsiap.org/images/Update.png"))</f>
        <v/>
      </c>
    </row>
    <row r="2" ht="15.0" customHeight="1">
      <c r="A2" s="1166" t="s">
        <v>282</v>
      </c>
      <c r="B2" s="84"/>
      <c r="C2" s="84"/>
      <c r="D2" s="84"/>
      <c r="E2" s="84"/>
      <c r="F2" s="1166" t="s">
        <v>283</v>
      </c>
      <c r="G2" s="84"/>
      <c r="H2" s="84"/>
      <c r="I2" s="84"/>
      <c r="J2" s="84"/>
      <c r="K2" s="84"/>
      <c r="L2" s="84"/>
      <c r="M2" s="84"/>
      <c r="N2" s="1166" t="s">
        <v>2478</v>
      </c>
      <c r="O2" s="84"/>
      <c r="P2" s="1167" t="s">
        <v>2479</v>
      </c>
      <c r="Q2" s="86"/>
    </row>
    <row r="3" ht="15.0" customHeight="1">
      <c r="A3" s="1168" t="str">
        <f>'101 General Info'!C2</f>
        <v>NO NAME</v>
      </c>
      <c r="E3" s="108"/>
      <c r="F3" s="1169" t="s">
        <v>2480</v>
      </c>
      <c r="G3" s="1170">
        <f>OpDate</f>
        <v>43893</v>
      </c>
      <c r="I3" s="1171" t="s">
        <v>130</v>
      </c>
      <c r="J3" s="1170">
        <f>OpDateTo</f>
        <v>43894</v>
      </c>
      <c r="M3" s="108"/>
      <c r="N3" s="1172" t="str">
        <f>if(Time!C10='101 General Info'!D8,text(Time!B9, "hhmm") &amp; "        |          " &amp; text(Time!C9, "hhmm"),"Your Sunrise and Sunset info has not been updated for the current Op period")</f>
        <v>0736        |          1907</v>
      </c>
      <c r="Q3" s="108"/>
    </row>
    <row r="4" ht="15.0" customHeight="1">
      <c r="A4" s="1173"/>
      <c r="B4" s="113"/>
      <c r="C4" s="113"/>
      <c r="D4" s="113"/>
      <c r="E4" s="115"/>
      <c r="F4" s="1174" t="s">
        <v>2481</v>
      </c>
      <c r="G4" s="1175" t="str">
        <f>OpStart</f>
        <v>0700</v>
      </c>
      <c r="H4" s="113"/>
      <c r="I4" s="1176" t="s">
        <v>133</v>
      </c>
      <c r="J4" s="1175" t="str">
        <f>OpEnd</f>
        <v>0700</v>
      </c>
      <c r="K4" s="113"/>
      <c r="L4" s="113"/>
      <c r="M4" s="115"/>
      <c r="N4" s="79"/>
      <c r="O4" s="113"/>
      <c r="P4" s="113"/>
      <c r="Q4" s="115"/>
    </row>
    <row r="5" ht="18.0" customHeight="1">
      <c r="A5" s="1166" t="s">
        <v>2517</v>
      </c>
      <c r="B5" s="84"/>
      <c r="C5" s="84"/>
      <c r="D5" s="84"/>
      <c r="E5" s="84"/>
      <c r="F5" s="84"/>
      <c r="G5" s="84"/>
      <c r="H5" s="84"/>
      <c r="I5" s="84"/>
      <c r="J5" s="84"/>
      <c r="K5" s="84"/>
      <c r="L5" s="84"/>
      <c r="M5" s="84"/>
      <c r="N5" s="84"/>
      <c r="O5" s="84"/>
      <c r="P5" s="84"/>
      <c r="Q5" s="86"/>
    </row>
    <row r="6" ht="17.25" customHeight="1">
      <c r="A6" s="1218" t="s">
        <v>2518</v>
      </c>
      <c r="B6" s="84"/>
      <c r="C6" s="1055"/>
      <c r="D6" s="1219" t="s">
        <v>2519</v>
      </c>
      <c r="E6" s="84"/>
      <c r="F6" s="84"/>
      <c r="G6" s="84"/>
      <c r="H6" s="84"/>
      <c r="I6" s="84"/>
      <c r="J6" s="84"/>
      <c r="K6" s="1055"/>
      <c r="L6" s="1219" t="s">
        <v>2520</v>
      </c>
      <c r="M6" s="1055"/>
      <c r="N6" s="1220" t="s">
        <v>2521</v>
      </c>
      <c r="O6" s="1055"/>
      <c r="P6" s="1219" t="s">
        <v>2522</v>
      </c>
      <c r="Q6" s="86"/>
    </row>
    <row r="7" ht="12.75" customHeight="1">
      <c r="A7" s="1221" t="s">
        <v>2523</v>
      </c>
      <c r="B7" s="77"/>
      <c r="C7" s="55"/>
      <c r="D7" s="1222" t="s">
        <v>2524</v>
      </c>
      <c r="E7" s="77"/>
      <c r="F7" s="77"/>
      <c r="G7" s="77"/>
      <c r="H7" s="77"/>
      <c r="I7" s="77"/>
      <c r="J7" s="77"/>
      <c r="K7" s="55"/>
      <c r="L7" s="1222" t="s">
        <v>2512</v>
      </c>
      <c r="M7" s="55"/>
      <c r="N7" s="77"/>
      <c r="O7" s="55"/>
      <c r="P7" s="104"/>
      <c r="Q7" s="78"/>
    </row>
    <row r="8" ht="19.5" customHeight="1">
      <c r="A8" s="1223"/>
      <c r="B8" s="77"/>
      <c r="C8" s="55"/>
      <c r="D8" s="1224"/>
      <c r="E8" s="77"/>
      <c r="F8" s="77"/>
      <c r="G8" s="77"/>
      <c r="H8" s="77"/>
      <c r="I8" s="77"/>
      <c r="J8" s="77"/>
      <c r="K8" s="55"/>
      <c r="L8" s="1225"/>
      <c r="M8" s="55"/>
      <c r="N8" s="1226"/>
      <c r="O8" s="45"/>
      <c r="P8" s="1226"/>
      <c r="Q8" s="149"/>
    </row>
    <row r="9" ht="19.5" customHeight="1">
      <c r="A9" s="1197"/>
      <c r="B9" s="74"/>
      <c r="C9" s="45"/>
      <c r="D9" s="1227"/>
      <c r="E9" s="74"/>
      <c r="F9" s="74"/>
      <c r="G9" s="74"/>
      <c r="H9" s="74"/>
      <c r="I9" s="74"/>
      <c r="J9" s="74"/>
      <c r="K9" s="45"/>
      <c r="L9" s="1226"/>
      <c r="M9" s="45"/>
      <c r="N9" s="1226"/>
      <c r="O9" s="45"/>
      <c r="P9" s="1226"/>
      <c r="Q9" s="149"/>
    </row>
    <row r="10" ht="19.5" customHeight="1">
      <c r="A10" s="1197"/>
      <c r="B10" s="74"/>
      <c r="C10" s="45"/>
      <c r="D10" s="1227"/>
      <c r="E10" s="74"/>
      <c r="F10" s="74"/>
      <c r="G10" s="74"/>
      <c r="H10" s="74"/>
      <c r="I10" s="74"/>
      <c r="J10" s="74"/>
      <c r="K10" s="45"/>
      <c r="L10" s="1226"/>
      <c r="M10" s="45"/>
      <c r="N10" s="1226"/>
      <c r="O10" s="45"/>
      <c r="P10" s="1226"/>
      <c r="Q10" s="149"/>
    </row>
    <row r="11" ht="19.5" customHeight="1">
      <c r="A11" s="1197"/>
      <c r="B11" s="74"/>
      <c r="C11" s="45"/>
      <c r="D11" s="1227"/>
      <c r="E11" s="74"/>
      <c r="F11" s="74"/>
      <c r="G11" s="74"/>
      <c r="H11" s="74"/>
      <c r="I11" s="74"/>
      <c r="J11" s="74"/>
      <c r="K11" s="45"/>
      <c r="L11" s="1226"/>
      <c r="M11" s="45"/>
      <c r="N11" s="1226"/>
      <c r="O11" s="45"/>
      <c r="P11" s="1226"/>
      <c r="Q11" s="149"/>
    </row>
    <row r="12" ht="19.5" customHeight="1">
      <c r="A12" s="1197"/>
      <c r="B12" s="74"/>
      <c r="C12" s="45"/>
      <c r="D12" s="1227"/>
      <c r="E12" s="74"/>
      <c r="F12" s="74"/>
      <c r="G12" s="74"/>
      <c r="H12" s="74"/>
      <c r="I12" s="74"/>
      <c r="J12" s="74"/>
      <c r="K12" s="45"/>
      <c r="L12" s="1226"/>
      <c r="M12" s="45"/>
      <c r="N12" s="1226"/>
      <c r="O12" s="45"/>
      <c r="P12" s="1226"/>
      <c r="Q12" s="149"/>
    </row>
    <row r="13" ht="19.5" customHeight="1">
      <c r="A13" s="1197"/>
      <c r="B13" s="74"/>
      <c r="C13" s="45"/>
      <c r="D13" s="1227"/>
      <c r="E13" s="74"/>
      <c r="F13" s="74"/>
      <c r="G13" s="74"/>
      <c r="H13" s="74"/>
      <c r="I13" s="74"/>
      <c r="J13" s="74"/>
      <c r="K13" s="45"/>
      <c r="L13" s="1226"/>
      <c r="M13" s="45"/>
      <c r="N13" s="1226"/>
      <c r="O13" s="45"/>
      <c r="P13" s="1226"/>
      <c r="Q13" s="149"/>
    </row>
    <row r="14" ht="19.5" customHeight="1">
      <c r="A14" s="1197"/>
      <c r="B14" s="74"/>
      <c r="C14" s="45"/>
      <c r="D14" s="1227"/>
      <c r="E14" s="74"/>
      <c r="F14" s="74"/>
      <c r="G14" s="74"/>
      <c r="H14" s="74"/>
      <c r="I14" s="74"/>
      <c r="J14" s="74"/>
      <c r="K14" s="45"/>
      <c r="L14" s="1226"/>
      <c r="M14" s="45"/>
      <c r="N14" s="1226"/>
      <c r="O14" s="45"/>
      <c r="P14" s="1226"/>
      <c r="Q14" s="149"/>
    </row>
    <row r="15" ht="19.5" customHeight="1">
      <c r="A15" s="1197"/>
      <c r="B15" s="74"/>
      <c r="C15" s="45"/>
      <c r="D15" s="1227"/>
      <c r="E15" s="74"/>
      <c r="F15" s="74"/>
      <c r="G15" s="74"/>
      <c r="H15" s="74"/>
      <c r="I15" s="74"/>
      <c r="J15" s="74"/>
      <c r="K15" s="45"/>
      <c r="L15" s="1226"/>
      <c r="M15" s="45"/>
      <c r="N15" s="1226"/>
      <c r="O15" s="45"/>
      <c r="P15" s="1226"/>
      <c r="Q15" s="149"/>
    </row>
    <row r="16" ht="19.5" customHeight="1">
      <c r="A16" s="1197"/>
      <c r="B16" s="74"/>
      <c r="C16" s="45"/>
      <c r="D16" s="1227"/>
      <c r="E16" s="74"/>
      <c r="F16" s="74"/>
      <c r="G16" s="74"/>
      <c r="H16" s="74"/>
      <c r="I16" s="74"/>
      <c r="J16" s="74"/>
      <c r="K16" s="45"/>
      <c r="L16" s="1226"/>
      <c r="M16" s="45"/>
      <c r="N16" s="1226"/>
      <c r="O16" s="45"/>
      <c r="P16" s="1226"/>
      <c r="Q16" s="149"/>
    </row>
    <row r="17" ht="19.5" customHeight="1">
      <c r="A17" s="1197"/>
      <c r="B17" s="74"/>
      <c r="C17" s="45"/>
      <c r="D17" s="1227"/>
      <c r="E17" s="74"/>
      <c r="F17" s="74"/>
      <c r="G17" s="74"/>
      <c r="H17" s="74"/>
      <c r="I17" s="74"/>
      <c r="J17" s="74"/>
      <c r="K17" s="45"/>
      <c r="L17" s="1226"/>
      <c r="M17" s="45"/>
      <c r="N17" s="1226"/>
      <c r="O17" s="45"/>
      <c r="P17" s="1226"/>
      <c r="Q17" s="149"/>
    </row>
    <row r="18" ht="19.5" customHeight="1">
      <c r="A18" s="1197"/>
      <c r="B18" s="74"/>
      <c r="C18" s="45"/>
      <c r="D18" s="1227"/>
      <c r="E18" s="74"/>
      <c r="F18" s="74"/>
      <c r="G18" s="74"/>
      <c r="H18" s="74"/>
      <c r="I18" s="74"/>
      <c r="J18" s="74"/>
      <c r="K18" s="45"/>
      <c r="L18" s="1226"/>
      <c r="M18" s="45"/>
      <c r="N18" s="1226"/>
      <c r="O18" s="45"/>
      <c r="P18" s="1226"/>
      <c r="Q18" s="149"/>
    </row>
    <row r="19" ht="19.5" customHeight="1">
      <c r="A19" s="1197"/>
      <c r="B19" s="74"/>
      <c r="C19" s="45"/>
      <c r="D19" s="1227"/>
      <c r="E19" s="74"/>
      <c r="F19" s="74"/>
      <c r="G19" s="74"/>
      <c r="H19" s="74"/>
      <c r="I19" s="74"/>
      <c r="J19" s="74"/>
      <c r="K19" s="45"/>
      <c r="L19" s="1226"/>
      <c r="M19" s="45"/>
      <c r="N19" s="1226"/>
      <c r="O19" s="45"/>
      <c r="P19" s="1226"/>
      <c r="Q19" s="149"/>
    </row>
    <row r="20" ht="19.5" customHeight="1">
      <c r="A20" s="1197"/>
      <c r="B20" s="74"/>
      <c r="C20" s="45"/>
      <c r="D20" s="1227"/>
      <c r="E20" s="74"/>
      <c r="F20" s="74"/>
      <c r="G20" s="74"/>
      <c r="H20" s="74"/>
      <c r="I20" s="74"/>
      <c r="J20" s="74"/>
      <c r="K20" s="45"/>
      <c r="L20" s="1226"/>
      <c r="M20" s="45"/>
      <c r="N20" s="1226"/>
      <c r="O20" s="45"/>
      <c r="P20" s="1226"/>
      <c r="Q20" s="149"/>
    </row>
    <row r="21" ht="19.5" customHeight="1">
      <c r="A21" s="1197"/>
      <c r="B21" s="74"/>
      <c r="C21" s="45"/>
      <c r="D21" s="1227"/>
      <c r="E21" s="74"/>
      <c r="F21" s="74"/>
      <c r="G21" s="74"/>
      <c r="H21" s="74"/>
      <c r="I21" s="74"/>
      <c r="J21" s="74"/>
      <c r="K21" s="45"/>
      <c r="L21" s="1226"/>
      <c r="M21" s="45"/>
      <c r="N21" s="1226"/>
      <c r="O21" s="45"/>
      <c r="P21" s="1226"/>
      <c r="Q21" s="149"/>
    </row>
    <row r="22" ht="19.5" customHeight="1">
      <c r="A22" s="1197"/>
      <c r="B22" s="74"/>
      <c r="C22" s="45"/>
      <c r="D22" s="1227"/>
      <c r="E22" s="74"/>
      <c r="F22" s="74"/>
      <c r="G22" s="74"/>
      <c r="H22" s="74"/>
      <c r="I22" s="74"/>
      <c r="J22" s="74"/>
      <c r="K22" s="45"/>
      <c r="L22" s="1226"/>
      <c r="M22" s="45"/>
      <c r="N22" s="1226"/>
      <c r="O22" s="45"/>
      <c r="P22" s="1226"/>
      <c r="Q22" s="149"/>
    </row>
    <row r="23" ht="19.5" customHeight="1">
      <c r="A23" s="1197"/>
      <c r="B23" s="74"/>
      <c r="C23" s="45"/>
      <c r="D23" s="1227"/>
      <c r="E23" s="74"/>
      <c r="F23" s="74"/>
      <c r="G23" s="74"/>
      <c r="H23" s="74"/>
      <c r="I23" s="74"/>
      <c r="J23" s="74"/>
      <c r="K23" s="45"/>
      <c r="L23" s="1226"/>
      <c r="M23" s="45"/>
      <c r="N23" s="1226"/>
      <c r="O23" s="45"/>
      <c r="P23" s="1226"/>
      <c r="Q23" s="149"/>
    </row>
    <row r="24" ht="19.5" customHeight="1">
      <c r="A24" s="1197"/>
      <c r="B24" s="74"/>
      <c r="C24" s="45"/>
      <c r="D24" s="1227"/>
      <c r="E24" s="74"/>
      <c r="F24" s="74"/>
      <c r="G24" s="74"/>
      <c r="H24" s="74"/>
      <c r="I24" s="74"/>
      <c r="J24" s="74"/>
      <c r="K24" s="45"/>
      <c r="L24" s="1226"/>
      <c r="M24" s="45"/>
      <c r="N24" s="1226"/>
      <c r="O24" s="45"/>
      <c r="P24" s="1226"/>
      <c r="Q24" s="149"/>
    </row>
    <row r="25" ht="19.5" customHeight="1">
      <c r="A25" s="1197"/>
      <c r="B25" s="74"/>
      <c r="C25" s="45"/>
      <c r="D25" s="1227"/>
      <c r="E25" s="74"/>
      <c r="F25" s="74"/>
      <c r="G25" s="74"/>
      <c r="H25" s="74"/>
      <c r="I25" s="74"/>
      <c r="J25" s="74"/>
      <c r="K25" s="45"/>
      <c r="L25" s="1226"/>
      <c r="M25" s="45"/>
      <c r="N25" s="1226"/>
      <c r="O25" s="45"/>
      <c r="P25" s="1226"/>
      <c r="Q25" s="149"/>
    </row>
    <row r="26" ht="19.5" customHeight="1">
      <c r="A26" s="1197"/>
      <c r="B26" s="74"/>
      <c r="C26" s="45"/>
      <c r="D26" s="1227"/>
      <c r="E26" s="74"/>
      <c r="F26" s="74"/>
      <c r="G26" s="74"/>
      <c r="H26" s="74"/>
      <c r="I26" s="74"/>
      <c r="J26" s="74"/>
      <c r="K26" s="45"/>
      <c r="L26" s="1226"/>
      <c r="M26" s="45"/>
      <c r="N26" s="1226"/>
      <c r="O26" s="45"/>
      <c r="P26" s="1226"/>
      <c r="Q26" s="149"/>
    </row>
    <row r="27" ht="19.5" customHeight="1">
      <c r="A27" s="1197"/>
      <c r="B27" s="74"/>
      <c r="C27" s="45"/>
      <c r="D27" s="1227"/>
      <c r="E27" s="74"/>
      <c r="F27" s="74"/>
      <c r="G27" s="74"/>
      <c r="H27" s="74"/>
      <c r="I27" s="74"/>
      <c r="J27" s="74"/>
      <c r="K27" s="45"/>
      <c r="L27" s="1226"/>
      <c r="M27" s="45"/>
      <c r="N27" s="1226"/>
      <c r="O27" s="45"/>
      <c r="P27" s="1226"/>
      <c r="Q27" s="149"/>
    </row>
    <row r="28" ht="19.5" customHeight="1">
      <c r="A28" s="1197"/>
      <c r="B28" s="74"/>
      <c r="C28" s="45"/>
      <c r="D28" s="1227"/>
      <c r="E28" s="74"/>
      <c r="F28" s="74"/>
      <c r="G28" s="74"/>
      <c r="H28" s="74"/>
      <c r="I28" s="74"/>
      <c r="J28" s="74"/>
      <c r="K28" s="45"/>
      <c r="L28" s="1226"/>
      <c r="M28" s="45"/>
      <c r="N28" s="1226"/>
      <c r="O28" s="45"/>
      <c r="P28" s="1226"/>
      <c r="Q28" s="149"/>
    </row>
    <row r="29" ht="19.5" customHeight="1">
      <c r="A29" s="1197"/>
      <c r="B29" s="74"/>
      <c r="C29" s="45"/>
      <c r="D29" s="1227"/>
      <c r="E29" s="74"/>
      <c r="F29" s="74"/>
      <c r="G29" s="74"/>
      <c r="H29" s="74"/>
      <c r="I29" s="74"/>
      <c r="J29" s="74"/>
      <c r="K29" s="45"/>
      <c r="L29" s="1226"/>
      <c r="M29" s="45"/>
      <c r="N29" s="1226"/>
      <c r="O29" s="45"/>
      <c r="P29" s="1226"/>
      <c r="Q29" s="149"/>
    </row>
    <row r="30" ht="19.5" customHeight="1">
      <c r="A30" s="1203"/>
      <c r="B30" s="81"/>
      <c r="C30" s="1200"/>
      <c r="D30" s="1228"/>
      <c r="E30" s="81"/>
      <c r="F30" s="81"/>
      <c r="G30" s="81"/>
      <c r="H30" s="81"/>
      <c r="I30" s="81"/>
      <c r="J30" s="81"/>
      <c r="K30" s="1200"/>
      <c r="L30" s="1229"/>
      <c r="M30" s="1200"/>
      <c r="N30" s="1229"/>
      <c r="O30" s="1200"/>
      <c r="P30" s="1229"/>
      <c r="Q30" s="82"/>
    </row>
    <row r="31" ht="14.25" customHeight="1">
      <c r="A31" s="1230" t="s">
        <v>2514</v>
      </c>
      <c r="B31" s="84"/>
      <c r="C31" s="1211" t="s">
        <v>2496</v>
      </c>
      <c r="D31" s="1231" t="str">
        <f>#REF!</f>
        <v>#REF!</v>
      </c>
      <c r="E31" s="84"/>
      <c r="F31" s="84"/>
      <c r="G31" s="84"/>
      <c r="H31" s="1211" t="s">
        <v>1152</v>
      </c>
      <c r="I31" s="84"/>
      <c r="J31" s="1232" t="str">
        <f>#REF!</f>
        <v>#REF!</v>
      </c>
      <c r="K31" s="135"/>
      <c r="L31" s="135"/>
      <c r="M31" s="1211" t="s">
        <v>327</v>
      </c>
      <c r="N31" s="84"/>
      <c r="O31" s="1233"/>
      <c r="P31" s="135"/>
      <c r="Q31" s="1189"/>
    </row>
    <row r="32" ht="14.25" customHeight="1">
      <c r="A32" s="1215" t="s">
        <v>2525</v>
      </c>
      <c r="B32" s="864"/>
      <c r="C32" s="864"/>
      <c r="D32" s="864"/>
      <c r="E32" s="864"/>
      <c r="F32" s="874"/>
      <c r="G32" s="1174" t="s">
        <v>2516</v>
      </c>
      <c r="H32" s="113"/>
      <c r="I32" s="1234"/>
      <c r="J32" s="113"/>
      <c r="K32" s="113"/>
      <c r="L32" s="113"/>
      <c r="M32" s="113"/>
      <c r="N32" s="113"/>
      <c r="O32" s="113"/>
      <c r="P32" s="113"/>
      <c r="Q32" s="115"/>
    </row>
  </sheetData>
  <mergeCells count="146">
    <mergeCell ref="D13:K13"/>
    <mergeCell ref="D14:K14"/>
    <mergeCell ref="L14:M14"/>
    <mergeCell ref="N14:O14"/>
    <mergeCell ref="P14:Q14"/>
    <mergeCell ref="D12:K12"/>
    <mergeCell ref="L12:M12"/>
    <mergeCell ref="N12:O12"/>
    <mergeCell ref="P12:Q12"/>
    <mergeCell ref="L13:M13"/>
    <mergeCell ref="N13:O13"/>
    <mergeCell ref="P13:Q13"/>
    <mergeCell ref="D9:K9"/>
    <mergeCell ref="L9:M9"/>
    <mergeCell ref="A10:C10"/>
    <mergeCell ref="D10:K10"/>
    <mergeCell ref="L10:M10"/>
    <mergeCell ref="D11:K11"/>
    <mergeCell ref="L11:M11"/>
    <mergeCell ref="A11:C11"/>
    <mergeCell ref="A12:C12"/>
    <mergeCell ref="A13:C13"/>
    <mergeCell ref="A14:C14"/>
    <mergeCell ref="A15:C15"/>
    <mergeCell ref="D15:K15"/>
    <mergeCell ref="L15:M15"/>
    <mergeCell ref="L17:M17"/>
    <mergeCell ref="N17:O17"/>
    <mergeCell ref="A16:C16"/>
    <mergeCell ref="D16:K16"/>
    <mergeCell ref="L16:M16"/>
    <mergeCell ref="N16:O16"/>
    <mergeCell ref="P16:Q16"/>
    <mergeCell ref="D17:K17"/>
    <mergeCell ref="P17:Q17"/>
    <mergeCell ref="D19:K19"/>
    <mergeCell ref="L19:M19"/>
    <mergeCell ref="A17:C17"/>
    <mergeCell ref="A18:C18"/>
    <mergeCell ref="D18:K18"/>
    <mergeCell ref="L18:M18"/>
    <mergeCell ref="N18:O18"/>
    <mergeCell ref="P18:Q18"/>
    <mergeCell ref="A19:C19"/>
    <mergeCell ref="A1:C1"/>
    <mergeCell ref="D1:N1"/>
    <mergeCell ref="O1:Q1"/>
    <mergeCell ref="A2:E2"/>
    <mergeCell ref="F2:M2"/>
    <mergeCell ref="N2:O2"/>
    <mergeCell ref="P2:Q2"/>
    <mergeCell ref="A3:E4"/>
    <mergeCell ref="G3:H3"/>
    <mergeCell ref="J3:M3"/>
    <mergeCell ref="N3:Q4"/>
    <mergeCell ref="G4:H4"/>
    <mergeCell ref="J4:M4"/>
    <mergeCell ref="A5:Q5"/>
    <mergeCell ref="A6:C6"/>
    <mergeCell ref="D6:K6"/>
    <mergeCell ref="L6:M6"/>
    <mergeCell ref="N6:O7"/>
    <mergeCell ref="P6:Q7"/>
    <mergeCell ref="D7:K7"/>
    <mergeCell ref="L7:M7"/>
    <mergeCell ref="N9:O9"/>
    <mergeCell ref="P9:Q9"/>
    <mergeCell ref="N10:O10"/>
    <mergeCell ref="P10:Q10"/>
    <mergeCell ref="N11:O11"/>
    <mergeCell ref="P11:Q11"/>
    <mergeCell ref="A7:C7"/>
    <mergeCell ref="A8:C8"/>
    <mergeCell ref="D8:K8"/>
    <mergeCell ref="L8:M8"/>
    <mergeCell ref="N8:O8"/>
    <mergeCell ref="P8:Q8"/>
    <mergeCell ref="A9:C9"/>
    <mergeCell ref="N15:O15"/>
    <mergeCell ref="P15:Q15"/>
    <mergeCell ref="N19:O19"/>
    <mergeCell ref="P19:Q19"/>
    <mergeCell ref="A20:C20"/>
    <mergeCell ref="D20:K20"/>
    <mergeCell ref="L20:M20"/>
    <mergeCell ref="N20:O20"/>
    <mergeCell ref="P20:Q20"/>
    <mergeCell ref="D27:K27"/>
    <mergeCell ref="L27:M27"/>
    <mergeCell ref="N27:O27"/>
    <mergeCell ref="P27:Q27"/>
    <mergeCell ref="L28:M28"/>
    <mergeCell ref="N28:O28"/>
    <mergeCell ref="P28:Q28"/>
    <mergeCell ref="D28:K28"/>
    <mergeCell ref="D29:K29"/>
    <mergeCell ref="L29:M29"/>
    <mergeCell ref="N29:O29"/>
    <mergeCell ref="P29:Q29"/>
    <mergeCell ref="D30:K30"/>
    <mergeCell ref="L30:M30"/>
    <mergeCell ref="L22:M22"/>
    <mergeCell ref="N22:O22"/>
    <mergeCell ref="A21:C21"/>
    <mergeCell ref="D21:K21"/>
    <mergeCell ref="L21:M21"/>
    <mergeCell ref="N21:O21"/>
    <mergeCell ref="P21:Q21"/>
    <mergeCell ref="D22:K22"/>
    <mergeCell ref="P22:Q22"/>
    <mergeCell ref="N24:O24"/>
    <mergeCell ref="P24:Q24"/>
    <mergeCell ref="N25:O25"/>
    <mergeCell ref="P25:Q25"/>
    <mergeCell ref="N26:O26"/>
    <mergeCell ref="P26:Q26"/>
    <mergeCell ref="A22:C22"/>
    <mergeCell ref="A23:C23"/>
    <mergeCell ref="D23:K23"/>
    <mergeCell ref="L23:M23"/>
    <mergeCell ref="N23:O23"/>
    <mergeCell ref="P23:Q23"/>
    <mergeCell ref="A24:C24"/>
    <mergeCell ref="A26:C26"/>
    <mergeCell ref="A27:C27"/>
    <mergeCell ref="A28:C28"/>
    <mergeCell ref="A29:C29"/>
    <mergeCell ref="A30:C30"/>
    <mergeCell ref="A31:B31"/>
    <mergeCell ref="D24:K24"/>
    <mergeCell ref="L24:M24"/>
    <mergeCell ref="A25:C25"/>
    <mergeCell ref="D25:K25"/>
    <mergeCell ref="L25:M25"/>
    <mergeCell ref="D26:K26"/>
    <mergeCell ref="L26:M26"/>
    <mergeCell ref="A32:F32"/>
    <mergeCell ref="G32:H32"/>
    <mergeCell ref="I32:Q32"/>
    <mergeCell ref="N30:O30"/>
    <mergeCell ref="P30:Q30"/>
    <mergeCell ref="D31:G31"/>
    <mergeCell ref="H31:I31"/>
    <mergeCell ref="J31:L31"/>
    <mergeCell ref="M31:N31"/>
    <mergeCell ref="O31:Q31"/>
  </mergeCells>
  <conditionalFormatting sqref="N3:Q4">
    <cfRule type="containsText" dxfId="11" priority="1" operator="containsText" text="Your Sunrise">
      <formula>NOT(ISERROR(SEARCH(("Your Sunrise"),(N3))))</formula>
    </cfRule>
  </conditionalFormatting>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1.13"/>
    <col customWidth="1" min="2" max="2" width="11.5"/>
    <col customWidth="1" min="3" max="3" width="12.0"/>
    <col customWidth="1" min="4" max="4" width="10.25"/>
    <col customWidth="1" min="5" max="6" width="8.13"/>
    <col customWidth="1" min="7" max="7" width="10.25"/>
    <col customWidth="1" min="8" max="8" width="14.5"/>
    <col customWidth="1" min="9" max="9" width="11.75"/>
    <col customWidth="1" min="10" max="10" width="12.25"/>
    <col customWidth="1" min="11" max="11" width="12.5"/>
    <col customWidth="1" min="12" max="12" width="8.63"/>
    <col customWidth="1" min="13" max="13" width="11.0"/>
    <col customWidth="1" min="14" max="14" width="9.25"/>
    <col customWidth="1" min="15" max="15" width="9.88"/>
    <col customWidth="1" min="16" max="16" width="12.88"/>
  </cols>
  <sheetData>
    <row r="1" ht="18.0" customHeight="1">
      <c r="A1" s="1235" t="s">
        <v>2526</v>
      </c>
      <c r="B1" s="84"/>
      <c r="C1" s="84"/>
      <c r="D1" s="84"/>
      <c r="E1" s="84"/>
      <c r="F1" s="84"/>
      <c r="G1" s="84"/>
      <c r="H1" s="84"/>
      <c r="I1" s="1236" t="s">
        <v>2527</v>
      </c>
      <c r="J1" s="86"/>
      <c r="K1" s="1237" t="s">
        <v>2528</v>
      </c>
      <c r="L1" s="84"/>
      <c r="M1" s="84"/>
      <c r="N1" s="1237" t="s">
        <v>2529</v>
      </c>
      <c r="O1" s="84"/>
      <c r="P1" s="86"/>
    </row>
    <row r="2" ht="18.0" customHeight="1">
      <c r="A2" s="79"/>
      <c r="B2" s="113"/>
      <c r="C2" s="113"/>
      <c r="D2" s="113"/>
      <c r="E2" s="113"/>
      <c r="F2" s="113"/>
      <c r="G2" s="113"/>
      <c r="H2" s="113"/>
      <c r="I2" s="1238">
        <v>1400.0</v>
      </c>
      <c r="J2" s="115"/>
      <c r="K2" s="1239"/>
      <c r="L2" s="113"/>
      <c r="M2" s="113"/>
      <c r="N2" s="1240"/>
      <c r="O2" s="113"/>
      <c r="P2" s="115"/>
    </row>
    <row r="3" ht="18.0" customHeight="1">
      <c r="A3" s="1237" t="s">
        <v>2530</v>
      </c>
      <c r="B3" s="84"/>
      <c r="C3" s="84"/>
      <c r="D3" s="84"/>
      <c r="E3" s="1241" t="s">
        <v>161</v>
      </c>
      <c r="F3" s="1241" t="s">
        <v>2531</v>
      </c>
      <c r="G3" s="1242" t="s">
        <v>2532</v>
      </c>
      <c r="H3" s="1243" t="s">
        <v>162</v>
      </c>
      <c r="I3" s="1236" t="s">
        <v>2533</v>
      </c>
      <c r="J3" s="86"/>
      <c r="K3" s="1237" t="s">
        <v>2534</v>
      </c>
      <c r="L3" s="84"/>
      <c r="M3" s="84"/>
      <c r="N3" s="1237" t="s">
        <v>2535</v>
      </c>
      <c r="O3" s="84"/>
      <c r="P3" s="86"/>
    </row>
    <row r="4" ht="18.0" customHeight="1">
      <c r="A4" s="1244" t="str">
        <f>Concatenate('101 General Info'!C2, " / ",'101 General Info'!C4)</f>
        <v>NO NAME / </v>
      </c>
      <c r="E4" s="1245">
        <f>'101 General Info'!H31</f>
        <v>0.3172106481</v>
      </c>
      <c r="F4" s="1245">
        <f>E4+(1/48)</f>
        <v>0.3380439815</v>
      </c>
      <c r="G4" s="1246">
        <f>H4-(1/48)</f>
        <v>0.7762731481</v>
      </c>
      <c r="H4" s="1247">
        <f>'101 General Info'!H32</f>
        <v>0.7971064815</v>
      </c>
      <c r="I4" s="1248">
        <f>H4+(1/48)</f>
        <v>0.8179398148</v>
      </c>
      <c r="J4" s="161"/>
      <c r="K4" s="1249">
        <f>'101 General Info'!D8</f>
        <v>43893</v>
      </c>
      <c r="N4" s="1250" t="s">
        <v>2536</v>
      </c>
      <c r="P4" s="108"/>
    </row>
    <row r="5" ht="23.25" customHeight="1">
      <c r="A5" s="1251" t="s">
        <v>2537</v>
      </c>
      <c r="B5" s="84"/>
      <c r="C5" s="84"/>
      <c r="D5" s="84"/>
      <c r="E5" s="84"/>
      <c r="F5" s="84"/>
      <c r="G5" s="84"/>
      <c r="H5" s="84"/>
      <c r="I5" s="1252" t="s">
        <v>2538</v>
      </c>
      <c r="J5" s="86"/>
      <c r="K5" s="1251" t="s">
        <v>2539</v>
      </c>
      <c r="L5" s="84"/>
      <c r="M5" s="86"/>
      <c r="N5" s="1253" t="s">
        <v>2540</v>
      </c>
      <c r="O5" s="84"/>
      <c r="P5" s="86"/>
    </row>
    <row r="6">
      <c r="A6" s="1254" t="s">
        <v>2541</v>
      </c>
      <c r="I6" s="1255" t="s">
        <v>352</v>
      </c>
      <c r="J6" s="1256" t="s">
        <v>2542</v>
      </c>
      <c r="K6" s="1257" t="s">
        <v>428</v>
      </c>
      <c r="L6" s="1258" t="s">
        <v>2543</v>
      </c>
      <c r="M6" s="1259"/>
      <c r="N6" s="1260"/>
      <c r="O6" s="1261" t="s">
        <v>2544</v>
      </c>
      <c r="P6" s="1262" t="s">
        <v>2545</v>
      </c>
    </row>
    <row r="7">
      <c r="A7" s="1254" t="s">
        <v>2546</v>
      </c>
      <c r="I7" s="1255" t="s">
        <v>2547</v>
      </c>
      <c r="J7" s="1263" t="s">
        <v>2548</v>
      </c>
      <c r="K7" s="1264" t="s">
        <v>2549</v>
      </c>
      <c r="L7" s="1265">
        <v>3.0</v>
      </c>
      <c r="M7" s="1259" t="s">
        <v>2550</v>
      </c>
      <c r="N7" s="1257" t="s">
        <v>352</v>
      </c>
      <c r="O7" s="1266"/>
      <c r="P7" s="1267"/>
    </row>
    <row r="8" ht="15.0" customHeight="1">
      <c r="A8" s="1268" t="s">
        <v>2551</v>
      </c>
      <c r="I8" s="1255" t="s">
        <v>2552</v>
      </c>
      <c r="J8" s="1263" t="s">
        <v>2553</v>
      </c>
      <c r="K8" s="1257" t="s">
        <v>2554</v>
      </c>
      <c r="L8" s="1269">
        <v>10000.0</v>
      </c>
      <c r="M8" s="1259" t="s">
        <v>2555</v>
      </c>
      <c r="N8" s="1257" t="s">
        <v>1216</v>
      </c>
      <c r="O8" s="1270"/>
      <c r="P8" s="1271"/>
    </row>
    <row r="9" ht="10.5" customHeight="1">
      <c r="A9" s="1272" t="s">
        <v>2556</v>
      </c>
      <c r="I9" s="1273"/>
      <c r="J9" s="1274"/>
      <c r="K9" s="1257" t="s">
        <v>2557</v>
      </c>
      <c r="L9" s="1275">
        <v>392134.0</v>
      </c>
      <c r="M9" s="1276" t="s">
        <v>1185</v>
      </c>
      <c r="N9" s="1277" t="s">
        <v>2510</v>
      </c>
      <c r="O9" s="1278"/>
      <c r="P9" s="1279"/>
    </row>
    <row r="10" ht="12.75" customHeight="1">
      <c r="A10" s="107"/>
      <c r="I10" s="1255" t="s">
        <v>352</v>
      </c>
      <c r="J10" s="1280" t="s">
        <v>2558</v>
      </c>
      <c r="K10" s="107"/>
      <c r="L10" s="1275">
        <v>1225123.0</v>
      </c>
      <c r="M10" s="1276" t="s">
        <v>2559</v>
      </c>
      <c r="N10" s="1257" t="s">
        <v>1159</v>
      </c>
      <c r="O10" s="1278"/>
      <c r="P10" s="1279"/>
    </row>
    <row r="11" ht="4.5" customHeight="1">
      <c r="A11" s="107"/>
      <c r="I11" s="1281" t="s">
        <v>2547</v>
      </c>
      <c r="J11" s="1282" t="s">
        <v>2560</v>
      </c>
      <c r="K11" s="1264" t="s">
        <v>2561</v>
      </c>
      <c r="L11" s="1283" t="s">
        <v>2562</v>
      </c>
      <c r="M11" s="108"/>
      <c r="N11" s="1284" t="s">
        <v>2563</v>
      </c>
      <c r="P11" s="108"/>
    </row>
    <row r="12" ht="10.5" customHeight="1">
      <c r="A12" s="1285"/>
      <c r="I12" s="1281" t="s">
        <v>2552</v>
      </c>
      <c r="J12" s="1282" t="s">
        <v>2564</v>
      </c>
      <c r="K12" s="1286" t="s">
        <v>2565</v>
      </c>
      <c r="L12" s="1287">
        <v>124.575</v>
      </c>
      <c r="M12" s="108"/>
      <c r="N12" s="1288" t="s">
        <v>2566</v>
      </c>
      <c r="P12" s="108"/>
    </row>
    <row r="13" ht="12.0" customHeight="1">
      <c r="A13" s="1289" t="str">
        <f>if(Time!C10='101 General Info'!D8,"","Your Sunrise and Sunset info has not been updated for the current Op period")</f>
        <v/>
      </c>
      <c r="B13" s="113"/>
      <c r="C13" s="113"/>
      <c r="D13" s="113"/>
      <c r="E13" s="113"/>
      <c r="F13" s="113"/>
      <c r="G13" s="113"/>
      <c r="H13" s="1290" t="str">
        <f>if(Time!C10='101 General Info'!D8,"",image("https://www.nimsiap.org/images/Update.png"))</f>
        <v/>
      </c>
      <c r="I13" s="1291" t="s">
        <v>2567</v>
      </c>
      <c r="J13" s="115"/>
      <c r="K13" s="1292" t="str">
        <f>HYPERLINK("http://tfr.faa.gov/tfr2/list.html","http://tfr.faa.gov/tfr2/list.html")</f>
        <v>http://tfr.faa.gov/tfr2/list.html</v>
      </c>
      <c r="L13" s="113"/>
      <c r="M13" s="115"/>
      <c r="N13" s="1293" t="s">
        <v>2568</v>
      </c>
      <c r="O13" s="113"/>
      <c r="P13" s="115"/>
    </row>
    <row r="14" ht="18.0" customHeight="1">
      <c r="A14" s="1294" t="s">
        <v>2569</v>
      </c>
      <c r="B14" s="874"/>
      <c r="C14" s="1295" t="s">
        <v>2570</v>
      </c>
      <c r="D14" s="1296" t="s">
        <v>2571</v>
      </c>
      <c r="E14" s="1294" t="s">
        <v>2572</v>
      </c>
      <c r="F14" s="874"/>
      <c r="G14" s="1297" t="s">
        <v>2571</v>
      </c>
      <c r="H14" s="1298" t="s">
        <v>2573</v>
      </c>
      <c r="I14" s="1299" t="s">
        <v>2574</v>
      </c>
      <c r="J14" s="1294" t="s">
        <v>352</v>
      </c>
      <c r="K14" s="874"/>
      <c r="L14" s="1300" t="s">
        <v>1216</v>
      </c>
      <c r="M14" s="874"/>
      <c r="N14" s="1301" t="s">
        <v>2575</v>
      </c>
      <c r="O14" s="874"/>
      <c r="P14" s="1302" t="s">
        <v>1216</v>
      </c>
    </row>
    <row r="15">
      <c r="A15" s="1303" t="s">
        <v>2501</v>
      </c>
      <c r="B15" s="55"/>
      <c r="C15" s="1304">
        <f>'205 Worksheet'!H8</f>
        <v>159.3</v>
      </c>
      <c r="D15" s="1305" t="str">
        <f>'205 Worksheet'!I8</f>
        <v>OST</v>
      </c>
      <c r="E15" s="1306">
        <f>'205 Worksheet'!F8</f>
        <v>151.355</v>
      </c>
      <c r="F15" s="45"/>
      <c r="G15" s="1304" t="str">
        <f>'205 Worksheet'!G8</f>
        <v>(T8)  103.5</v>
      </c>
      <c r="H15" s="1307" t="s">
        <v>2491</v>
      </c>
      <c r="I15" s="1308" t="s">
        <v>2576</v>
      </c>
      <c r="J15" s="1309" t="str">
        <f>'203'!G39</f>
        <v/>
      </c>
      <c r="K15" s="77"/>
      <c r="L15" s="1310"/>
      <c r="M15" s="78"/>
      <c r="N15" s="1311"/>
      <c r="P15" s="1312"/>
    </row>
    <row r="16">
      <c r="A16" s="1313" t="s">
        <v>2577</v>
      </c>
      <c r="B16" s="45"/>
      <c r="C16" s="1304" t="str">
        <f>'205 Worksheet'!F9</f>
        <v>166.6125</v>
      </c>
      <c r="D16" s="1305" t="str">
        <f>'205 Worksheet'!G9</f>
        <v/>
      </c>
      <c r="E16" s="1306" t="str">
        <f>'205 Worksheet'!H9</f>
        <v>166.6125</v>
      </c>
      <c r="F16" s="45"/>
      <c r="G16" s="1304">
        <f>'205 Worksheet'!I9</f>
        <v>0</v>
      </c>
      <c r="H16" s="1307" t="s">
        <v>2491</v>
      </c>
      <c r="I16" s="1314" t="s">
        <v>2578</v>
      </c>
      <c r="J16" s="1309" t="str">
        <f>'203'!F40</f>
        <v/>
      </c>
      <c r="K16" s="77"/>
      <c r="L16" s="1315"/>
      <c r="M16" s="149"/>
      <c r="N16" s="1316"/>
      <c r="O16" s="74"/>
      <c r="P16" s="1317"/>
    </row>
    <row r="17">
      <c r="A17" s="1313" t="s">
        <v>2579</v>
      </c>
      <c r="B17" s="45"/>
      <c r="C17" s="1304"/>
      <c r="D17" s="1318"/>
      <c r="E17" s="1319" t="str">
        <f>C17</f>
        <v/>
      </c>
      <c r="F17" s="74"/>
      <c r="G17" s="1320"/>
      <c r="H17" s="1307" t="s">
        <v>2490</v>
      </c>
      <c r="I17" s="1321" t="s">
        <v>2580</v>
      </c>
      <c r="J17" s="1309" t="str">
        <f>'203'!F42</f>
        <v/>
      </c>
      <c r="K17" s="77"/>
      <c r="L17" s="1315"/>
      <c r="M17" s="149"/>
      <c r="N17" s="1322"/>
      <c r="O17" s="74"/>
      <c r="P17" s="1323"/>
    </row>
    <row r="18">
      <c r="A18" s="1313" t="s">
        <v>2581</v>
      </c>
      <c r="B18" s="45"/>
      <c r="C18" s="1304"/>
      <c r="D18" s="1318"/>
      <c r="E18" s="1324"/>
      <c r="F18" s="74"/>
      <c r="G18" s="1320"/>
      <c r="H18" s="1307"/>
      <c r="I18" s="1314"/>
      <c r="J18" s="1325"/>
      <c r="K18" s="74"/>
      <c r="L18" s="1315"/>
      <c r="M18" s="149"/>
      <c r="N18" s="1322"/>
      <c r="O18" s="74"/>
      <c r="P18" s="1317"/>
    </row>
    <row r="19">
      <c r="A19" s="1313" t="s">
        <v>2582</v>
      </c>
      <c r="B19" s="45"/>
      <c r="C19" s="1304"/>
      <c r="D19" s="1318"/>
      <c r="E19" s="1326" t="str">
        <f t="shared" ref="E19:E22" si="1">C19</f>
        <v/>
      </c>
      <c r="F19" s="77"/>
      <c r="G19" s="1320"/>
      <c r="H19" s="1307" t="s">
        <v>2491</v>
      </c>
      <c r="I19" s="1327"/>
      <c r="J19" s="1328"/>
      <c r="K19" s="74"/>
      <c r="L19" s="1315"/>
      <c r="M19" s="149"/>
      <c r="N19" s="1329"/>
      <c r="O19" s="74"/>
      <c r="P19" s="1330"/>
    </row>
    <row r="20">
      <c r="A20" s="1313" t="s">
        <v>2583</v>
      </c>
      <c r="B20" s="45"/>
      <c r="C20" s="1304"/>
      <c r="D20" s="1331"/>
      <c r="E20" s="1326" t="str">
        <f t="shared" si="1"/>
        <v/>
      </c>
      <c r="F20" s="77"/>
      <c r="G20" s="1332"/>
      <c r="H20" s="1307" t="s">
        <v>2490</v>
      </c>
      <c r="I20" s="1333" t="s">
        <v>2367</v>
      </c>
      <c r="J20" s="1334"/>
      <c r="K20" s="74"/>
      <c r="L20" s="1315"/>
      <c r="M20" s="149"/>
      <c r="N20" s="1322"/>
      <c r="O20" s="74"/>
      <c r="P20" s="1317"/>
    </row>
    <row r="21">
      <c r="A21" s="1313" t="s">
        <v>2584</v>
      </c>
      <c r="B21" s="45"/>
      <c r="C21" s="1304"/>
      <c r="D21" s="1318"/>
      <c r="E21" s="1326" t="str">
        <f t="shared" si="1"/>
        <v/>
      </c>
      <c r="F21" s="77"/>
      <c r="G21" s="1320"/>
      <c r="H21" s="1307" t="s">
        <v>2490</v>
      </c>
      <c r="I21" s="1335" t="s">
        <v>2585</v>
      </c>
      <c r="J21" s="1334"/>
      <c r="K21" s="74"/>
      <c r="L21" s="1336"/>
      <c r="M21" s="149"/>
      <c r="N21" s="1337"/>
      <c r="O21" s="74"/>
      <c r="P21" s="1338"/>
    </row>
    <row r="22">
      <c r="A22" s="1313" t="s">
        <v>2586</v>
      </c>
      <c r="B22" s="45"/>
      <c r="C22" s="1304"/>
      <c r="D22" s="1318"/>
      <c r="E22" s="1326" t="str">
        <f t="shared" si="1"/>
        <v/>
      </c>
      <c r="F22" s="77"/>
      <c r="G22" s="1320"/>
      <c r="H22" s="1307" t="s">
        <v>2491</v>
      </c>
      <c r="I22" s="1314" t="s">
        <v>2367</v>
      </c>
      <c r="J22" s="1325"/>
      <c r="K22" s="74"/>
      <c r="L22" s="1315"/>
      <c r="M22" s="149"/>
      <c r="N22" s="1339"/>
      <c r="O22" s="74"/>
      <c r="P22" s="1323"/>
    </row>
    <row r="23">
      <c r="A23" s="1340" t="s">
        <v>2587</v>
      </c>
      <c r="B23" s="45"/>
      <c r="C23" s="1341">
        <v>156.075</v>
      </c>
      <c r="D23" s="1342" t="s">
        <v>2588</v>
      </c>
      <c r="E23" s="1343">
        <v>156.075</v>
      </c>
      <c r="F23" s="74"/>
      <c r="G23" s="1344" t="s">
        <v>2588</v>
      </c>
      <c r="H23" s="1345" t="s">
        <v>2491</v>
      </c>
      <c r="I23" s="1321" t="s">
        <v>2589</v>
      </c>
      <c r="J23" s="1346" t="str">
        <f>'203'!F41</f>
        <v/>
      </c>
      <c r="K23" s="74"/>
      <c r="L23" s="1315"/>
      <c r="M23" s="149"/>
      <c r="N23" s="1337"/>
      <c r="O23" s="74"/>
      <c r="P23" s="1338"/>
    </row>
    <row r="24">
      <c r="A24" s="1347" t="s">
        <v>2590</v>
      </c>
      <c r="B24" s="210"/>
      <c r="C24" s="1341">
        <v>168.625</v>
      </c>
      <c r="D24" s="1342" t="s">
        <v>2591</v>
      </c>
      <c r="E24" s="1348">
        <v>168.625</v>
      </c>
      <c r="F24" s="165"/>
      <c r="G24" s="1349"/>
      <c r="H24" s="1350" t="s">
        <v>2491</v>
      </c>
      <c r="I24" s="1333"/>
      <c r="J24" s="1351"/>
      <c r="K24" s="165"/>
      <c r="L24" s="1352"/>
      <c r="M24" s="517"/>
      <c r="N24" s="1353"/>
      <c r="O24" s="165"/>
      <c r="P24" s="1338"/>
    </row>
    <row r="25" ht="18.0" customHeight="1">
      <c r="A25" s="1354" t="s">
        <v>2592</v>
      </c>
      <c r="B25" s="864"/>
      <c r="C25" s="864"/>
      <c r="D25" s="864"/>
      <c r="E25" s="864"/>
      <c r="F25" s="864"/>
      <c r="G25" s="864"/>
      <c r="H25" s="864"/>
      <c r="I25" s="864"/>
      <c r="J25" s="864"/>
      <c r="K25" s="864"/>
      <c r="L25" s="864"/>
      <c r="M25" s="864"/>
      <c r="N25" s="864"/>
      <c r="O25" s="864"/>
      <c r="P25" s="874"/>
    </row>
    <row r="26" ht="18.0" customHeight="1">
      <c r="A26" s="1355" t="s">
        <v>2593</v>
      </c>
      <c r="B26" s="1356" t="s">
        <v>2257</v>
      </c>
      <c r="C26" s="1356" t="s">
        <v>2510</v>
      </c>
      <c r="D26" s="1356" t="s">
        <v>2238</v>
      </c>
      <c r="E26" s="1356" t="s">
        <v>2594</v>
      </c>
      <c r="F26" s="1357" t="s">
        <v>2512</v>
      </c>
      <c r="G26" s="1354" t="s">
        <v>2513</v>
      </c>
      <c r="H26" s="874"/>
      <c r="I26" s="1358" t="s">
        <v>2593</v>
      </c>
      <c r="J26" s="1356" t="s">
        <v>2257</v>
      </c>
      <c r="K26" s="1359" t="s">
        <v>2510</v>
      </c>
      <c r="L26" s="1356" t="s">
        <v>2238</v>
      </c>
      <c r="M26" s="1356" t="s">
        <v>2594</v>
      </c>
      <c r="N26" s="1357" t="s">
        <v>2512</v>
      </c>
      <c r="O26" s="1360" t="s">
        <v>2513</v>
      </c>
      <c r="P26" s="115"/>
    </row>
    <row r="27">
      <c r="A27" s="1361"/>
      <c r="B27" s="1362"/>
      <c r="C27" s="1363"/>
      <c r="D27" s="1362"/>
      <c r="E27" s="1364"/>
      <c r="F27" s="1364"/>
      <c r="G27" s="1365"/>
      <c r="H27" s="135"/>
      <c r="I27" s="1366"/>
      <c r="J27" s="1362"/>
      <c r="K27" s="1362"/>
      <c r="L27" s="1362"/>
      <c r="M27" s="1364"/>
      <c r="N27" s="1364"/>
      <c r="O27" s="1309"/>
      <c r="P27" s="78"/>
    </row>
    <row r="28">
      <c r="A28" s="1367"/>
      <c r="B28" s="1362"/>
      <c r="C28" s="1363"/>
      <c r="D28" s="1362"/>
      <c r="E28" s="1364"/>
      <c r="F28" s="1364"/>
      <c r="G28" s="1325"/>
      <c r="H28" s="74"/>
      <c r="I28" s="1366"/>
      <c r="J28" s="1362"/>
      <c r="K28" s="1362"/>
      <c r="L28" s="1362"/>
      <c r="M28" s="1364"/>
      <c r="N28" s="1364"/>
      <c r="O28" s="1325"/>
      <c r="P28" s="149"/>
    </row>
    <row r="29">
      <c r="A29" s="1367"/>
      <c r="B29" s="1362"/>
      <c r="C29" s="1362"/>
      <c r="D29" s="1362"/>
      <c r="E29" s="1364"/>
      <c r="F29" s="1364"/>
      <c r="G29" s="1325"/>
      <c r="H29" s="74"/>
      <c r="I29" s="1366"/>
      <c r="J29" s="1362"/>
      <c r="K29" s="1362"/>
      <c r="L29" s="1362"/>
      <c r="M29" s="1364"/>
      <c r="N29" s="1364"/>
      <c r="O29" s="1325"/>
      <c r="P29" s="149"/>
    </row>
    <row r="30">
      <c r="A30" s="1367"/>
      <c r="B30" s="1362"/>
      <c r="C30" s="1362"/>
      <c r="D30" s="1362"/>
      <c r="E30" s="1364"/>
      <c r="F30" s="1364"/>
      <c r="G30" s="1325"/>
      <c r="H30" s="74"/>
      <c r="I30" s="1368"/>
      <c r="J30" s="1369"/>
      <c r="K30" s="1369"/>
      <c r="L30" s="1369"/>
      <c r="M30" s="1320"/>
      <c r="N30" s="1320"/>
      <c r="O30" s="1328"/>
      <c r="P30" s="149"/>
    </row>
    <row r="31">
      <c r="A31" s="1367"/>
      <c r="B31" s="1362"/>
      <c r="C31" s="1362"/>
      <c r="D31" s="1362"/>
      <c r="E31" s="1364"/>
      <c r="F31" s="1364"/>
      <c r="G31" s="1325"/>
      <c r="H31" s="74"/>
      <c r="I31" s="1368"/>
      <c r="J31" s="1369"/>
      <c r="K31" s="1369"/>
      <c r="L31" s="1369"/>
      <c r="M31" s="1320"/>
      <c r="N31" s="1320"/>
      <c r="O31" s="1328"/>
      <c r="P31" s="149"/>
    </row>
    <row r="32">
      <c r="A32" s="1367"/>
      <c r="B32" s="1362"/>
      <c r="C32" s="1362"/>
      <c r="D32" s="1362"/>
      <c r="E32" s="1364"/>
      <c r="F32" s="1364"/>
      <c r="G32" s="1328"/>
      <c r="H32" s="74"/>
      <c r="I32" s="1368"/>
      <c r="J32" s="1369"/>
      <c r="K32" s="1369"/>
      <c r="L32" s="1369"/>
      <c r="M32" s="1320"/>
      <c r="N32" s="1320"/>
      <c r="O32" s="1328"/>
      <c r="P32" s="149"/>
    </row>
    <row r="33">
      <c r="A33" s="1367"/>
      <c r="B33" s="1362"/>
      <c r="C33" s="1362"/>
      <c r="D33" s="1362"/>
      <c r="E33" s="1364"/>
      <c r="F33" s="1364"/>
      <c r="G33" s="1325"/>
      <c r="H33" s="74"/>
      <c r="I33" s="1366"/>
      <c r="J33" s="1362"/>
      <c r="K33" s="1362"/>
      <c r="L33" s="1362"/>
      <c r="M33" s="1364"/>
      <c r="N33" s="1364"/>
      <c r="O33" s="1325"/>
      <c r="P33" s="149"/>
    </row>
    <row r="34">
      <c r="A34" s="1367"/>
      <c r="B34" s="1362"/>
      <c r="C34" s="1362"/>
      <c r="D34" s="1362"/>
      <c r="E34" s="1364"/>
      <c r="F34" s="1364"/>
      <c r="G34" s="1325"/>
      <c r="H34" s="74"/>
      <c r="I34" s="1366"/>
      <c r="J34" s="1362"/>
      <c r="K34" s="1362"/>
      <c r="L34" s="1362"/>
      <c r="M34" s="1364"/>
      <c r="N34" s="1364"/>
      <c r="O34" s="1325"/>
      <c r="P34" s="149"/>
    </row>
    <row r="35">
      <c r="A35" s="1367"/>
      <c r="B35" s="1362"/>
      <c r="C35" s="1362"/>
      <c r="D35" s="1362"/>
      <c r="E35" s="1364"/>
      <c r="F35" s="1364"/>
      <c r="G35" s="1325"/>
      <c r="H35" s="74"/>
      <c r="I35" s="1366"/>
      <c r="J35" s="1362"/>
      <c r="K35" s="1362"/>
      <c r="L35" s="1362"/>
      <c r="M35" s="1364"/>
      <c r="N35" s="1364"/>
      <c r="O35" s="1325"/>
      <c r="P35" s="149"/>
    </row>
    <row r="36">
      <c r="A36" s="1367"/>
      <c r="B36" s="1362"/>
      <c r="C36" s="1362"/>
      <c r="D36" s="1362"/>
      <c r="E36" s="1364"/>
      <c r="F36" s="1364"/>
      <c r="G36" s="1325"/>
      <c r="H36" s="74"/>
      <c r="I36" s="1366"/>
      <c r="J36" s="1362"/>
      <c r="K36" s="1362"/>
      <c r="L36" s="1362"/>
      <c r="M36" s="1370"/>
      <c r="N36" s="1370"/>
      <c r="O36" s="1325"/>
      <c r="P36" s="149"/>
    </row>
    <row r="37">
      <c r="A37" s="1371"/>
      <c r="B37" s="1372"/>
      <c r="C37" s="1372"/>
      <c r="D37" s="1372"/>
      <c r="E37" s="1373"/>
      <c r="F37" s="1373"/>
      <c r="G37" s="1325"/>
      <c r="H37" s="74"/>
      <c r="I37" s="1366"/>
      <c r="J37" s="1362"/>
      <c r="K37" s="1362"/>
      <c r="L37" s="1362"/>
      <c r="M37" s="1370"/>
      <c r="N37" s="1370"/>
      <c r="O37" s="1325"/>
      <c r="P37" s="149"/>
    </row>
    <row r="38">
      <c r="A38" s="1371"/>
      <c r="B38" s="1372"/>
      <c r="C38" s="1372"/>
      <c r="D38" s="1372"/>
      <c r="E38" s="1373"/>
      <c r="F38" s="1373"/>
      <c r="G38" s="1309"/>
      <c r="H38" s="77"/>
      <c r="I38" s="1374"/>
      <c r="J38" s="1372"/>
      <c r="K38" s="1372"/>
      <c r="L38" s="1372"/>
      <c r="M38" s="1375"/>
      <c r="N38" s="1375"/>
      <c r="O38" s="1325"/>
      <c r="P38" s="149"/>
    </row>
    <row r="39">
      <c r="A39" s="1368"/>
      <c r="B39" s="1362"/>
      <c r="C39" s="1369"/>
      <c r="D39" s="1369"/>
      <c r="E39" s="1320"/>
      <c r="F39" s="1320"/>
      <c r="G39" s="1325"/>
      <c r="H39" s="74"/>
      <c r="I39" s="1366"/>
      <c r="J39" s="1362"/>
      <c r="K39" s="1362"/>
      <c r="L39" s="1362"/>
      <c r="M39" s="1370"/>
      <c r="N39" s="1370"/>
      <c r="O39" s="1325"/>
      <c r="P39" s="149"/>
    </row>
    <row r="40">
      <c r="A40" s="1366"/>
      <c r="B40" s="1362"/>
      <c r="C40" s="1362"/>
      <c r="D40" s="1362"/>
      <c r="E40" s="1364"/>
      <c r="F40" s="1364"/>
      <c r="G40" s="1325"/>
      <c r="H40" s="74"/>
      <c r="I40" s="1374"/>
      <c r="J40" s="1372"/>
      <c r="K40" s="1372"/>
      <c r="L40" s="1372"/>
      <c r="M40" s="1375"/>
      <c r="N40" s="1375"/>
      <c r="O40" s="1325"/>
      <c r="P40" s="149"/>
    </row>
    <row r="41">
      <c r="A41" s="1376"/>
      <c r="B41" s="1372"/>
      <c r="C41" s="1377"/>
      <c r="D41" s="1377"/>
      <c r="E41" s="1349"/>
      <c r="F41" s="1349"/>
      <c r="G41" s="1378"/>
      <c r="H41" s="81"/>
      <c r="I41" s="1379"/>
      <c r="J41" s="1380"/>
      <c r="K41" s="1380"/>
      <c r="L41" s="1380"/>
      <c r="M41" s="1380"/>
      <c r="N41" s="1381"/>
      <c r="O41" s="1382"/>
      <c r="P41" s="82"/>
    </row>
    <row r="42" ht="18.0" customHeight="1">
      <c r="A42" s="1383" t="s">
        <v>2595</v>
      </c>
      <c r="B42" s="864"/>
      <c r="C42" s="864"/>
      <c r="D42" s="864"/>
      <c r="E42" s="864"/>
      <c r="F42" s="864"/>
      <c r="G42" s="864"/>
      <c r="H42" s="864"/>
      <c r="I42" s="864"/>
      <c r="J42" s="864"/>
      <c r="K42" s="864"/>
      <c r="L42" s="864"/>
      <c r="M42" s="864"/>
      <c r="N42" s="864"/>
      <c r="O42" s="864"/>
      <c r="P42" s="874"/>
    </row>
    <row r="43" ht="18.0" customHeight="1">
      <c r="A43" s="1384" t="s">
        <v>2593</v>
      </c>
      <c r="B43" s="1385" t="s">
        <v>2257</v>
      </c>
      <c r="C43" s="1385" t="s">
        <v>2510</v>
      </c>
      <c r="D43" s="1385" t="s">
        <v>2229</v>
      </c>
      <c r="E43" s="1385" t="s">
        <v>2594</v>
      </c>
      <c r="F43" s="1385" t="s">
        <v>2512</v>
      </c>
      <c r="G43" s="1386" t="s">
        <v>2513</v>
      </c>
      <c r="H43" s="1387"/>
      <c r="I43" s="1388" t="s">
        <v>2593</v>
      </c>
      <c r="J43" s="1385" t="s">
        <v>2257</v>
      </c>
      <c r="K43" s="1389" t="s">
        <v>2510</v>
      </c>
      <c r="L43" s="1385" t="s">
        <v>2229</v>
      </c>
      <c r="M43" s="1385" t="s">
        <v>2594</v>
      </c>
      <c r="N43" s="1385" t="s">
        <v>2512</v>
      </c>
      <c r="O43" s="1386" t="s">
        <v>2513</v>
      </c>
      <c r="P43" s="1390"/>
    </row>
    <row r="44">
      <c r="A44" s="1391"/>
      <c r="B44" s="1392"/>
      <c r="C44" s="1392"/>
      <c r="D44" s="1392"/>
      <c r="E44" s="1392"/>
      <c r="F44" s="1392"/>
      <c r="G44" s="1309"/>
      <c r="H44" s="1393"/>
      <c r="I44" s="1394"/>
      <c r="J44" s="1395"/>
      <c r="K44" s="1395"/>
      <c r="L44" s="1395"/>
      <c r="M44" s="1395"/>
      <c r="N44" s="1395"/>
      <c r="O44" s="1396"/>
      <c r="P44" s="1397"/>
    </row>
    <row r="45">
      <c r="A45" s="1371"/>
      <c r="B45" s="1372"/>
      <c r="C45" s="1372"/>
      <c r="D45" s="1372"/>
      <c r="E45" s="1372"/>
      <c r="F45" s="1372"/>
      <c r="G45" s="1325"/>
      <c r="H45" s="1398"/>
      <c r="I45" s="1399"/>
      <c r="J45" s="1377"/>
      <c r="K45" s="1377"/>
      <c r="L45" s="1377"/>
      <c r="M45" s="1377"/>
      <c r="N45" s="1377"/>
      <c r="O45" s="1328"/>
      <c r="P45" s="1400"/>
    </row>
    <row r="46">
      <c r="A46" s="1371"/>
      <c r="B46" s="1372"/>
      <c r="C46" s="1372"/>
      <c r="D46" s="1377"/>
      <c r="E46" s="1372"/>
      <c r="F46" s="1372"/>
      <c r="G46" s="1325"/>
      <c r="H46" s="1398"/>
      <c r="I46" s="1399"/>
      <c r="J46" s="1377"/>
      <c r="K46" s="1377"/>
      <c r="L46" s="1377"/>
      <c r="M46" s="1377"/>
      <c r="N46" s="1377"/>
      <c r="O46" s="1328"/>
      <c r="P46" s="1400"/>
    </row>
    <row r="47">
      <c r="A47" s="1371"/>
      <c r="B47" s="1372"/>
      <c r="C47" s="1372"/>
      <c r="D47" s="1377"/>
      <c r="E47" s="1372"/>
      <c r="F47" s="1372"/>
      <c r="G47" s="1325"/>
      <c r="H47" s="1398"/>
      <c r="I47" s="1399"/>
      <c r="J47" s="1377"/>
      <c r="K47" s="1377"/>
      <c r="L47" s="1377"/>
      <c r="M47" s="1377"/>
      <c r="N47" s="1377"/>
      <c r="O47" s="1328"/>
      <c r="P47" s="1400"/>
    </row>
    <row r="48">
      <c r="A48" s="1401"/>
      <c r="B48" s="1402"/>
      <c r="C48" s="1402"/>
      <c r="D48" s="1402"/>
      <c r="E48" s="1402"/>
      <c r="F48" s="1402"/>
      <c r="G48" s="1382"/>
      <c r="H48" s="1403"/>
      <c r="I48" s="1404"/>
      <c r="J48" s="1402"/>
      <c r="K48" s="1402"/>
      <c r="L48" s="1402"/>
      <c r="M48" s="1402"/>
      <c r="N48" s="1402"/>
      <c r="O48" s="1382"/>
      <c r="P48" s="1405"/>
    </row>
    <row r="49" ht="12.0" customHeight="1">
      <c r="A49" s="1406"/>
      <c r="B49" s="1406"/>
      <c r="C49" s="1406"/>
      <c r="D49" s="1406"/>
      <c r="E49" s="1407"/>
      <c r="F49" s="1406"/>
      <c r="G49" s="1406"/>
      <c r="H49" s="1406"/>
      <c r="I49" s="1406"/>
      <c r="J49" s="1406"/>
      <c r="K49" s="1406"/>
      <c r="L49" s="1406"/>
      <c r="M49" s="1406"/>
      <c r="N49" s="1406"/>
      <c r="O49" s="1406"/>
      <c r="P49" s="1406"/>
    </row>
  </sheetData>
  <mergeCells count="122">
    <mergeCell ref="A5:H5"/>
    <mergeCell ref="A6:H6"/>
    <mergeCell ref="A7:H7"/>
    <mergeCell ref="A8:H8"/>
    <mergeCell ref="K9:K10"/>
    <mergeCell ref="L11:M11"/>
    <mergeCell ref="N11:P11"/>
    <mergeCell ref="A9:H11"/>
    <mergeCell ref="A12:H12"/>
    <mergeCell ref="A13:G13"/>
    <mergeCell ref="I13:J13"/>
    <mergeCell ref="A14:B14"/>
    <mergeCell ref="J14:K14"/>
    <mergeCell ref="J15:K15"/>
    <mergeCell ref="L12:M12"/>
    <mergeCell ref="N12:P12"/>
    <mergeCell ref="K13:M13"/>
    <mergeCell ref="N13:P13"/>
    <mergeCell ref="L14:M14"/>
    <mergeCell ref="N14:O14"/>
    <mergeCell ref="N15:O15"/>
    <mergeCell ref="L15:M15"/>
    <mergeCell ref="J16:K16"/>
    <mergeCell ref="L16:M16"/>
    <mergeCell ref="N16:O16"/>
    <mergeCell ref="J17:K17"/>
    <mergeCell ref="L17:M17"/>
    <mergeCell ref="N17:O17"/>
    <mergeCell ref="L20:M20"/>
    <mergeCell ref="N20:O20"/>
    <mergeCell ref="J18:K18"/>
    <mergeCell ref="L18:M18"/>
    <mergeCell ref="N18:O18"/>
    <mergeCell ref="J19:K19"/>
    <mergeCell ref="L19:M19"/>
    <mergeCell ref="N19:O19"/>
    <mergeCell ref="J20:K20"/>
    <mergeCell ref="A22:B22"/>
    <mergeCell ref="A23:B23"/>
    <mergeCell ref="A24:B24"/>
    <mergeCell ref="A15:B15"/>
    <mergeCell ref="A16:B16"/>
    <mergeCell ref="A17:B17"/>
    <mergeCell ref="A18:B18"/>
    <mergeCell ref="A19:B19"/>
    <mergeCell ref="A20:B20"/>
    <mergeCell ref="A21:B21"/>
    <mergeCell ref="L23:M23"/>
    <mergeCell ref="N23:O23"/>
    <mergeCell ref="J21:K21"/>
    <mergeCell ref="L21:M21"/>
    <mergeCell ref="N21:O21"/>
    <mergeCell ref="J22:K22"/>
    <mergeCell ref="L22:M22"/>
    <mergeCell ref="N22:O22"/>
    <mergeCell ref="J23:K23"/>
    <mergeCell ref="G27:H27"/>
    <mergeCell ref="G28:H28"/>
    <mergeCell ref="G29:H29"/>
    <mergeCell ref="J24:K24"/>
    <mergeCell ref="L24:M24"/>
    <mergeCell ref="N24:O24"/>
    <mergeCell ref="A25:P25"/>
    <mergeCell ref="G26:H26"/>
    <mergeCell ref="O26:P26"/>
    <mergeCell ref="O27:P27"/>
    <mergeCell ref="O35:P35"/>
    <mergeCell ref="O36:P36"/>
    <mergeCell ref="O37:P37"/>
    <mergeCell ref="O38:P38"/>
    <mergeCell ref="O39:P39"/>
    <mergeCell ref="O40:P40"/>
    <mergeCell ref="O41:P41"/>
    <mergeCell ref="O28:P28"/>
    <mergeCell ref="O29:P29"/>
    <mergeCell ref="G30:H30"/>
    <mergeCell ref="O30:P30"/>
    <mergeCell ref="G31:H31"/>
    <mergeCell ref="O31:P31"/>
    <mergeCell ref="O32:P32"/>
    <mergeCell ref="G39:H39"/>
    <mergeCell ref="G40:H40"/>
    <mergeCell ref="G41:H41"/>
    <mergeCell ref="A42:P42"/>
    <mergeCell ref="G32:H32"/>
    <mergeCell ref="G33:H33"/>
    <mergeCell ref="G34:H34"/>
    <mergeCell ref="G35:H35"/>
    <mergeCell ref="G36:H36"/>
    <mergeCell ref="G37:H37"/>
    <mergeCell ref="G38:H38"/>
    <mergeCell ref="I2:J2"/>
    <mergeCell ref="I3:J3"/>
    <mergeCell ref="K3:M3"/>
    <mergeCell ref="N3:P3"/>
    <mergeCell ref="A1:H2"/>
    <mergeCell ref="I1:J1"/>
    <mergeCell ref="K1:M1"/>
    <mergeCell ref="N1:P1"/>
    <mergeCell ref="K2:M2"/>
    <mergeCell ref="N2:P2"/>
    <mergeCell ref="A3:D3"/>
    <mergeCell ref="A4:D4"/>
    <mergeCell ref="I4:J4"/>
    <mergeCell ref="K4:M4"/>
    <mergeCell ref="N4:P4"/>
    <mergeCell ref="I5:J5"/>
    <mergeCell ref="K5:M5"/>
    <mergeCell ref="N5:P5"/>
    <mergeCell ref="E21:F21"/>
    <mergeCell ref="E22:F22"/>
    <mergeCell ref="E23:F23"/>
    <mergeCell ref="E24:F24"/>
    <mergeCell ref="E14:F14"/>
    <mergeCell ref="E15:F15"/>
    <mergeCell ref="E16:F16"/>
    <mergeCell ref="E17:F17"/>
    <mergeCell ref="E18:F18"/>
    <mergeCell ref="E19:F19"/>
    <mergeCell ref="E20:F20"/>
    <mergeCell ref="O33:P33"/>
    <mergeCell ref="O34:P34"/>
  </mergeCells>
  <conditionalFormatting sqref="L8">
    <cfRule type="expression" dxfId="12" priority="1">
      <formula>$L$8&gt;0</formula>
    </cfRule>
  </conditionalFormatting>
  <dataValidations>
    <dataValidation type="list" allowBlank="1" sqref="K7">
      <formula1>"Polygon:,Radius:"</formula1>
    </dataValidation>
  </dataValidations>
  <drawing r:id="rId2"/>
  <legacyDrawing r:id="rId3"/>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88"/>
    <col customWidth="1" min="2" max="2" width="19.88"/>
    <col customWidth="1" min="3" max="3" width="21.88"/>
    <col customWidth="1" min="4" max="4" width="21.75"/>
    <col customWidth="1" min="5" max="5" width="15.63"/>
    <col customWidth="1" min="6" max="6" width="14.75"/>
  </cols>
  <sheetData>
    <row r="1">
      <c r="A1" s="1408" t="s">
        <v>2596</v>
      </c>
      <c r="B1" s="86"/>
      <c r="C1" s="1409" t="s">
        <v>2597</v>
      </c>
      <c r="D1" s="86"/>
      <c r="E1" s="1410" t="s">
        <v>2598</v>
      </c>
      <c r="F1" s="86"/>
    </row>
    <row r="2">
      <c r="A2" s="1411" t="str">
        <f>IncName</f>
        <v>NO NAME</v>
      </c>
      <c r="B2" s="115"/>
      <c r="C2" s="1412" t="str">
        <f>IFERROR(__xludf.DUMMYFUNCTION("""From:  "" &amp; TO_TEXT(OpDate) &amp; ""   "" &amp; OpStart"),"From:  3/3/2020   0700")</f>
        <v>From:  3/3/2020   0700</v>
      </c>
      <c r="D2" s="1413" t="str">
        <f>IFERROR(__xludf.DUMMYFUNCTION("""To:  "" &amp; to_text(OpDateTo) &amp; ""   "" &amp; OpEnd"),"To:  3/4/2020   0700")</f>
        <v>To:  3/4/2020   0700</v>
      </c>
      <c r="E2" s="1414" t="s">
        <v>2599</v>
      </c>
      <c r="F2" s="115"/>
    </row>
    <row r="3">
      <c r="A3" s="1415" t="s">
        <v>2600</v>
      </c>
      <c r="B3" s="864"/>
      <c r="C3" s="864"/>
      <c r="D3" s="864"/>
      <c r="E3" s="864"/>
      <c r="F3" s="874"/>
    </row>
    <row r="4">
      <c r="A4" s="1416" t="s">
        <v>2601</v>
      </c>
      <c r="B4" s="1417" t="s">
        <v>2602</v>
      </c>
      <c r="C4" s="1417" t="s">
        <v>2603</v>
      </c>
      <c r="D4" s="1417" t="s">
        <v>2604</v>
      </c>
      <c r="E4" s="1418" t="s">
        <v>1159</v>
      </c>
      <c r="F4" s="1419"/>
    </row>
    <row r="5" ht="42.75" customHeight="1">
      <c r="A5" s="1420"/>
      <c r="B5" s="1421"/>
      <c r="C5" s="1421"/>
      <c r="D5" s="1421"/>
      <c r="E5" s="1421"/>
      <c r="F5" s="1422"/>
    </row>
    <row r="6" ht="50.25" customHeight="1">
      <c r="A6" s="1420"/>
      <c r="B6" s="1423" t="s">
        <v>2605</v>
      </c>
      <c r="C6" s="1423" t="s">
        <v>2606</v>
      </c>
      <c r="D6" s="1424" t="s">
        <v>2607</v>
      </c>
      <c r="E6" s="1424" t="s">
        <v>2608</v>
      </c>
      <c r="F6" s="1422"/>
    </row>
    <row r="7" ht="43.5" customHeight="1">
      <c r="A7" s="1420"/>
      <c r="B7" s="1421"/>
      <c r="C7" s="1421"/>
      <c r="D7" s="1421"/>
      <c r="E7" s="1421"/>
      <c r="F7" s="1422"/>
    </row>
    <row r="8" ht="51.0" customHeight="1">
      <c r="A8" s="1420"/>
      <c r="B8" s="1423" t="s">
        <v>2609</v>
      </c>
      <c r="C8" s="1423" t="s">
        <v>2610</v>
      </c>
      <c r="D8" s="1423" t="s">
        <v>2611</v>
      </c>
      <c r="E8" s="1423" t="s">
        <v>2612</v>
      </c>
      <c r="F8" s="1422"/>
    </row>
    <row r="9" ht="44.25" customHeight="1">
      <c r="A9" s="1420"/>
      <c r="B9" s="1421"/>
      <c r="C9" s="1421"/>
      <c r="D9" s="1421"/>
      <c r="E9" s="1421"/>
      <c r="F9" s="1422"/>
    </row>
    <row r="10" ht="59.25" customHeight="1">
      <c r="A10" s="1420"/>
      <c r="B10" s="1423" t="s">
        <v>2613</v>
      </c>
      <c r="C10" s="1423" t="s">
        <v>2614</v>
      </c>
      <c r="D10" s="1423" t="s">
        <v>2615</v>
      </c>
      <c r="E10" s="1423" t="s">
        <v>2612</v>
      </c>
      <c r="F10" s="1422"/>
    </row>
    <row r="11" ht="53.25" customHeight="1">
      <c r="A11" s="1420"/>
      <c r="B11" s="1421"/>
      <c r="C11" s="1421"/>
      <c r="D11" s="1421"/>
      <c r="E11" s="1421"/>
      <c r="F11" s="1422"/>
    </row>
    <row r="12" ht="84.0" customHeight="1">
      <c r="A12" s="1420"/>
      <c r="B12" s="1423" t="s">
        <v>2616</v>
      </c>
      <c r="C12" s="1423" t="s">
        <v>2617</v>
      </c>
      <c r="D12" s="1423" t="s">
        <v>2618</v>
      </c>
      <c r="E12" s="1423" t="s">
        <v>2612</v>
      </c>
      <c r="F12" s="1422"/>
    </row>
    <row r="13" ht="48.0" customHeight="1">
      <c r="A13" s="1420"/>
      <c r="B13" s="1421"/>
      <c r="C13" s="1421"/>
      <c r="D13" s="1421"/>
      <c r="E13" s="1421"/>
      <c r="F13" s="1422"/>
    </row>
    <row r="14">
      <c r="A14" s="1420"/>
      <c r="B14" s="1423" t="s">
        <v>2619</v>
      </c>
      <c r="C14" s="1423" t="s">
        <v>2620</v>
      </c>
      <c r="D14" s="1423" t="s">
        <v>2621</v>
      </c>
      <c r="E14" s="1423" t="s">
        <v>2612</v>
      </c>
      <c r="F14" s="1422"/>
    </row>
    <row r="15" ht="49.5" customHeight="1">
      <c r="A15" s="1420"/>
      <c r="B15" s="1421"/>
      <c r="C15" s="1421"/>
      <c r="D15" s="1421"/>
      <c r="E15" s="1421"/>
      <c r="F15" s="1422"/>
    </row>
    <row r="16" ht="49.5" customHeight="1">
      <c r="A16" s="1425"/>
      <c r="B16" s="1426"/>
      <c r="C16" s="1426"/>
      <c r="D16" s="1426"/>
      <c r="E16" s="1426"/>
      <c r="F16" s="1427"/>
    </row>
    <row r="17" ht="54.75" customHeight="1">
      <c r="A17" s="1428"/>
      <c r="B17" s="1429"/>
      <c r="C17" s="1429"/>
      <c r="D17" s="1429"/>
      <c r="E17" s="1429"/>
      <c r="F17" s="1430"/>
    </row>
    <row r="18" ht="19.5" customHeight="1">
      <c r="A18" s="1431" t="s">
        <v>2622</v>
      </c>
      <c r="B18" s="84"/>
      <c r="C18" s="84"/>
      <c r="D18" s="84"/>
      <c r="E18" s="1432" t="s">
        <v>2623</v>
      </c>
      <c r="F18" s="1433"/>
    </row>
    <row r="19" ht="16.5" customHeight="1">
      <c r="A19" s="1434"/>
      <c r="B19" s="113"/>
      <c r="C19" s="113"/>
      <c r="D19" s="113"/>
      <c r="E19" s="1435"/>
      <c r="F19" s="1436"/>
    </row>
    <row r="20">
      <c r="A20" s="1437" t="s">
        <v>2598</v>
      </c>
      <c r="B20" s="1438"/>
      <c r="C20" s="1438"/>
      <c r="D20" s="1438"/>
      <c r="E20" s="1439" t="s">
        <v>2624</v>
      </c>
      <c r="F20" s="874"/>
    </row>
  </sheetData>
  <mergeCells count="9">
    <mergeCell ref="A19:D19"/>
    <mergeCell ref="E20:F20"/>
    <mergeCell ref="A1:B1"/>
    <mergeCell ref="C1:D1"/>
    <mergeCell ref="E1:F1"/>
    <mergeCell ref="A2:B2"/>
    <mergeCell ref="E2:F2"/>
    <mergeCell ref="A3:F3"/>
    <mergeCell ref="A18:D18"/>
  </mergeCells>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0"/>
    <col customWidth="1" min="2" max="2" width="30.13"/>
    <col customWidth="1" min="3" max="3" width="20.88"/>
    <col customWidth="1" min="6" max="6" width="19.13"/>
  </cols>
  <sheetData>
    <row r="1">
      <c r="A1" s="1440" t="s">
        <v>282</v>
      </c>
      <c r="B1" s="136"/>
      <c r="C1" s="1441" t="str">
        <f>IncName</f>
        <v>NO NAME</v>
      </c>
      <c r="D1" s="135"/>
      <c r="E1" s="136"/>
      <c r="F1" s="1442"/>
      <c r="G1" s="1443" t="s">
        <v>2625</v>
      </c>
      <c r="H1" s="1189"/>
    </row>
    <row r="2">
      <c r="A2" s="1444" t="s">
        <v>2626</v>
      </c>
      <c r="B2" s="1445" t="s">
        <v>2627</v>
      </c>
      <c r="C2" s="1446" t="s">
        <v>2628</v>
      </c>
      <c r="D2" s="1446" t="s">
        <v>2629</v>
      </c>
      <c r="E2" s="1447" t="s">
        <v>2630</v>
      </c>
      <c r="F2" s="1445" t="s">
        <v>2631</v>
      </c>
      <c r="G2" s="1445" t="s">
        <v>2632</v>
      </c>
      <c r="H2" s="1448" t="s">
        <v>2633</v>
      </c>
    </row>
    <row r="3">
      <c r="A3" s="1449">
        <v>1.0</v>
      </c>
      <c r="B3" s="1450"/>
      <c r="C3" s="1451"/>
      <c r="D3" s="1451"/>
      <c r="E3" s="1452"/>
      <c r="F3" s="1450"/>
      <c r="G3" s="1453"/>
      <c r="H3" s="1454"/>
    </row>
    <row r="4">
      <c r="A4" s="1455">
        <f t="shared" ref="A4:A50" si="1">A3+1</f>
        <v>2</v>
      </c>
      <c r="B4" s="1456"/>
      <c r="C4" s="1457"/>
      <c r="D4" s="1457"/>
      <c r="E4" s="1458"/>
      <c r="F4" s="1456"/>
      <c r="G4" s="1459"/>
      <c r="H4" s="1460"/>
    </row>
    <row r="5">
      <c r="A5" s="1455">
        <f t="shared" si="1"/>
        <v>3</v>
      </c>
      <c r="B5" s="1456"/>
      <c r="C5" s="1457"/>
      <c r="D5" s="1457"/>
      <c r="E5" s="1459"/>
      <c r="F5" s="1456"/>
      <c r="G5" s="1459"/>
      <c r="H5" s="1460"/>
    </row>
    <row r="6">
      <c r="A6" s="1455">
        <f t="shared" si="1"/>
        <v>4</v>
      </c>
      <c r="B6" s="1456"/>
      <c r="C6" s="1457"/>
      <c r="D6" s="1457"/>
      <c r="E6" s="1459"/>
      <c r="F6" s="1456"/>
      <c r="G6" s="1459"/>
      <c r="H6" s="1460"/>
    </row>
    <row r="7">
      <c r="A7" s="1455">
        <f t="shared" si="1"/>
        <v>5</v>
      </c>
      <c r="B7" s="1456"/>
      <c r="C7" s="1457"/>
      <c r="D7" s="1457"/>
      <c r="E7" s="1459"/>
      <c r="F7" s="1461"/>
      <c r="G7" s="1459"/>
      <c r="H7" s="1460"/>
    </row>
    <row r="8">
      <c r="A8" s="1455">
        <f t="shared" si="1"/>
        <v>6</v>
      </c>
      <c r="B8" s="1456"/>
      <c r="C8" s="1457"/>
      <c r="D8" s="1457"/>
      <c r="E8" s="1462"/>
      <c r="F8" s="1456"/>
      <c r="G8" s="1459"/>
      <c r="H8" s="1460"/>
    </row>
    <row r="9">
      <c r="A9" s="1455">
        <f t="shared" si="1"/>
        <v>7</v>
      </c>
      <c r="B9" s="1456"/>
      <c r="C9" s="1457"/>
      <c r="D9" s="1457"/>
      <c r="E9" s="1459"/>
      <c r="F9" s="1456"/>
      <c r="G9" s="1459"/>
      <c r="H9" s="1463"/>
    </row>
    <row r="10">
      <c r="A10" s="1455">
        <f t="shared" si="1"/>
        <v>8</v>
      </c>
      <c r="B10" s="1456"/>
      <c r="C10" s="1457"/>
      <c r="D10" s="1457"/>
      <c r="E10" s="1459"/>
      <c r="F10" s="1456"/>
      <c r="G10" s="1459"/>
      <c r="H10" s="1460"/>
    </row>
    <row r="11">
      <c r="A11" s="1455">
        <f t="shared" si="1"/>
        <v>9</v>
      </c>
      <c r="B11" s="1456"/>
      <c r="C11" s="1457"/>
      <c r="D11" s="1457"/>
      <c r="E11" s="1458"/>
      <c r="F11" s="1464"/>
      <c r="G11" s="1459"/>
      <c r="H11" s="1465"/>
    </row>
    <row r="12">
      <c r="A12" s="1455">
        <f t="shared" si="1"/>
        <v>10</v>
      </c>
      <c r="B12" s="1456"/>
      <c r="C12" s="1457"/>
      <c r="D12" s="1457"/>
      <c r="E12" s="1458"/>
      <c r="F12" s="1456"/>
      <c r="G12" s="1459"/>
      <c r="H12" s="1465"/>
    </row>
    <row r="13">
      <c r="A13" s="1455">
        <f t="shared" si="1"/>
        <v>11</v>
      </c>
      <c r="B13" s="1456"/>
      <c r="C13" s="1457"/>
      <c r="D13" s="1457"/>
      <c r="E13" s="1458"/>
      <c r="F13" s="1456"/>
      <c r="G13" s="1458"/>
      <c r="H13" s="1460"/>
    </row>
    <row r="14">
      <c r="A14" s="1455">
        <f t="shared" si="1"/>
        <v>12</v>
      </c>
      <c r="B14" s="1456"/>
      <c r="C14" s="1457"/>
      <c r="D14" s="1457"/>
      <c r="E14" s="1466"/>
      <c r="F14" s="1456"/>
      <c r="G14" s="1466"/>
      <c r="H14" s="1465"/>
    </row>
    <row r="15">
      <c r="A15" s="1455">
        <f t="shared" si="1"/>
        <v>13</v>
      </c>
      <c r="B15" s="1456"/>
      <c r="C15" s="1457"/>
      <c r="D15" s="1457"/>
      <c r="E15" s="1466"/>
      <c r="F15" s="1456"/>
      <c r="G15" s="1466"/>
      <c r="H15" s="1465"/>
    </row>
    <row r="16">
      <c r="A16" s="1455">
        <f t="shared" si="1"/>
        <v>14</v>
      </c>
      <c r="B16" s="1456"/>
      <c r="C16" s="1457"/>
      <c r="D16" s="1467"/>
      <c r="E16" s="1466"/>
      <c r="F16" s="1456"/>
      <c r="G16" s="1467"/>
      <c r="H16" s="1465"/>
    </row>
    <row r="17">
      <c r="A17" s="1455">
        <f t="shared" si="1"/>
        <v>15</v>
      </c>
      <c r="B17" s="1456"/>
      <c r="C17" s="1457"/>
      <c r="D17" s="1467"/>
      <c r="E17" s="1466"/>
      <c r="F17" s="1456"/>
      <c r="G17" s="1467"/>
      <c r="H17" s="1465"/>
    </row>
    <row r="18">
      <c r="A18" s="1455">
        <f t="shared" si="1"/>
        <v>16</v>
      </c>
      <c r="B18" s="1456"/>
      <c r="C18" s="1467"/>
      <c r="D18" s="1467"/>
      <c r="E18" s="1467"/>
      <c r="F18" s="1468"/>
      <c r="G18" s="1467"/>
      <c r="H18" s="1465"/>
    </row>
    <row r="19">
      <c r="A19" s="1455">
        <f t="shared" si="1"/>
        <v>17</v>
      </c>
      <c r="B19" s="1468"/>
      <c r="C19" s="1467"/>
      <c r="D19" s="1467"/>
      <c r="E19" s="1467"/>
      <c r="F19" s="1468"/>
      <c r="G19" s="1467"/>
      <c r="H19" s="1465"/>
    </row>
    <row r="20">
      <c r="A20" s="1455">
        <f t="shared" si="1"/>
        <v>18</v>
      </c>
      <c r="B20" s="1468"/>
      <c r="C20" s="1467"/>
      <c r="D20" s="1467"/>
      <c r="E20" s="1467"/>
      <c r="F20" s="1468"/>
      <c r="G20" s="1467"/>
      <c r="H20" s="1465"/>
    </row>
    <row r="21">
      <c r="A21" s="1455">
        <f t="shared" si="1"/>
        <v>19</v>
      </c>
      <c r="B21" s="1468"/>
      <c r="C21" s="1467"/>
      <c r="D21" s="1467"/>
      <c r="E21" s="1467"/>
      <c r="F21" s="1468"/>
      <c r="G21" s="1467"/>
      <c r="H21" s="1465"/>
    </row>
    <row r="22">
      <c r="A22" s="1455">
        <f t="shared" si="1"/>
        <v>20</v>
      </c>
      <c r="B22" s="1468"/>
      <c r="C22" s="1467"/>
      <c r="D22" s="1467"/>
      <c r="E22" s="1467"/>
      <c r="F22" s="1468"/>
      <c r="G22" s="1467"/>
      <c r="H22" s="1465"/>
    </row>
    <row r="23">
      <c r="A23" s="1455">
        <f t="shared" si="1"/>
        <v>21</v>
      </c>
      <c r="B23" s="1468"/>
      <c r="C23" s="1467"/>
      <c r="D23" s="1467"/>
      <c r="E23" s="1467"/>
      <c r="F23" s="1468"/>
      <c r="G23" s="1467"/>
      <c r="H23" s="1465"/>
    </row>
    <row r="24">
      <c r="A24" s="1455">
        <f t="shared" si="1"/>
        <v>22</v>
      </c>
      <c r="B24" s="1468"/>
      <c r="C24" s="1467"/>
      <c r="D24" s="1467"/>
      <c r="E24" s="1467"/>
      <c r="F24" s="1468"/>
      <c r="G24" s="1467"/>
      <c r="H24" s="1465"/>
    </row>
    <row r="25">
      <c r="A25" s="1455">
        <f t="shared" si="1"/>
        <v>23</v>
      </c>
      <c r="B25" s="1468"/>
      <c r="C25" s="1467"/>
      <c r="D25" s="1467"/>
      <c r="E25" s="1467"/>
      <c r="F25" s="1468"/>
      <c r="G25" s="1467"/>
      <c r="H25" s="1465"/>
    </row>
    <row r="26">
      <c r="A26" s="1455">
        <f t="shared" si="1"/>
        <v>24</v>
      </c>
      <c r="B26" s="1468"/>
      <c r="C26" s="1467"/>
      <c r="D26" s="1467"/>
      <c r="E26" s="1467"/>
      <c r="F26" s="1468"/>
      <c r="G26" s="1467"/>
      <c r="H26" s="1465"/>
    </row>
    <row r="27">
      <c r="A27" s="1455">
        <f t="shared" si="1"/>
        <v>25</v>
      </c>
      <c r="B27" s="1468"/>
      <c r="C27" s="1467"/>
      <c r="D27" s="1467"/>
      <c r="E27" s="1467"/>
      <c r="F27" s="1468"/>
      <c r="G27" s="1467"/>
      <c r="H27" s="1465"/>
    </row>
    <row r="28">
      <c r="A28" s="1455">
        <f t="shared" si="1"/>
        <v>26</v>
      </c>
      <c r="B28" s="1468"/>
      <c r="C28" s="1467"/>
      <c r="D28" s="1467"/>
      <c r="E28" s="1467"/>
      <c r="F28" s="1468"/>
      <c r="G28" s="1467"/>
      <c r="H28" s="1465"/>
    </row>
    <row r="29">
      <c r="A29" s="1455">
        <f t="shared" si="1"/>
        <v>27</v>
      </c>
      <c r="B29" s="1468"/>
      <c r="C29" s="1467"/>
      <c r="D29" s="1467"/>
      <c r="E29" s="1467"/>
      <c r="F29" s="1468"/>
      <c r="G29" s="1467"/>
      <c r="H29" s="1465"/>
    </row>
    <row r="30">
      <c r="A30" s="1455">
        <f t="shared" si="1"/>
        <v>28</v>
      </c>
      <c r="B30" s="1468"/>
      <c r="C30" s="1467"/>
      <c r="D30" s="1467"/>
      <c r="E30" s="1467"/>
      <c r="F30" s="1468"/>
      <c r="G30" s="1467"/>
      <c r="H30" s="1465"/>
    </row>
    <row r="31">
      <c r="A31" s="1455">
        <f t="shared" si="1"/>
        <v>29</v>
      </c>
      <c r="B31" s="1468"/>
      <c r="C31" s="1467"/>
      <c r="D31" s="1467"/>
      <c r="E31" s="1467"/>
      <c r="F31" s="1468"/>
      <c r="G31" s="1467"/>
      <c r="H31" s="1465"/>
    </row>
    <row r="32">
      <c r="A32" s="1455">
        <f t="shared" si="1"/>
        <v>30</v>
      </c>
      <c r="B32" s="1468"/>
      <c r="C32" s="1467"/>
      <c r="D32" s="1467"/>
      <c r="E32" s="1467"/>
      <c r="F32" s="1468"/>
      <c r="G32" s="1467"/>
      <c r="H32" s="1465"/>
    </row>
    <row r="33">
      <c r="A33" s="1455">
        <f t="shared" si="1"/>
        <v>31</v>
      </c>
      <c r="B33" s="1468"/>
      <c r="C33" s="1467"/>
      <c r="D33" s="1467"/>
      <c r="E33" s="1467"/>
      <c r="F33" s="1468"/>
      <c r="G33" s="1467"/>
      <c r="H33" s="1465"/>
    </row>
    <row r="34">
      <c r="A34" s="1455">
        <f t="shared" si="1"/>
        <v>32</v>
      </c>
      <c r="B34" s="1468"/>
      <c r="C34" s="1467"/>
      <c r="D34" s="1467"/>
      <c r="E34" s="1467"/>
      <c r="F34" s="1468"/>
      <c r="G34" s="1467"/>
      <c r="H34" s="1465"/>
    </row>
    <row r="35">
      <c r="A35" s="1455">
        <f t="shared" si="1"/>
        <v>33</v>
      </c>
      <c r="B35" s="1468"/>
      <c r="C35" s="1467"/>
      <c r="D35" s="1467"/>
      <c r="E35" s="1467"/>
      <c r="F35" s="1468"/>
      <c r="G35" s="1467"/>
      <c r="H35" s="1465"/>
    </row>
    <row r="36">
      <c r="A36" s="1455">
        <f t="shared" si="1"/>
        <v>34</v>
      </c>
      <c r="B36" s="1468"/>
      <c r="C36" s="1467"/>
      <c r="D36" s="1467"/>
      <c r="E36" s="1467"/>
      <c r="F36" s="1468"/>
      <c r="G36" s="1467"/>
      <c r="H36" s="1465"/>
    </row>
    <row r="37">
      <c r="A37" s="1455">
        <f t="shared" si="1"/>
        <v>35</v>
      </c>
      <c r="B37" s="1468"/>
      <c r="C37" s="1467"/>
      <c r="D37" s="1467"/>
      <c r="E37" s="1467"/>
      <c r="F37" s="1468"/>
      <c r="G37" s="1467"/>
      <c r="H37" s="1465"/>
    </row>
    <row r="38">
      <c r="A38" s="1455">
        <f t="shared" si="1"/>
        <v>36</v>
      </c>
      <c r="B38" s="1468"/>
      <c r="C38" s="1467"/>
      <c r="D38" s="1467"/>
      <c r="E38" s="1467"/>
      <c r="F38" s="1468"/>
      <c r="G38" s="1467"/>
      <c r="H38" s="1465"/>
    </row>
    <row r="39">
      <c r="A39" s="1455">
        <f t="shared" si="1"/>
        <v>37</v>
      </c>
      <c r="B39" s="1468"/>
      <c r="C39" s="1467"/>
      <c r="D39" s="1467"/>
      <c r="E39" s="1467"/>
      <c r="F39" s="1468"/>
      <c r="G39" s="1467"/>
      <c r="H39" s="1465"/>
    </row>
    <row r="40">
      <c r="A40" s="1455">
        <f t="shared" si="1"/>
        <v>38</v>
      </c>
      <c r="B40" s="1468"/>
      <c r="C40" s="1467"/>
      <c r="D40" s="1467"/>
      <c r="E40" s="1467"/>
      <c r="F40" s="1468"/>
      <c r="G40" s="1467"/>
      <c r="H40" s="1465"/>
    </row>
    <row r="41">
      <c r="A41" s="1455">
        <f t="shared" si="1"/>
        <v>39</v>
      </c>
      <c r="B41" s="1468"/>
      <c r="C41" s="1467"/>
      <c r="D41" s="1467"/>
      <c r="E41" s="1467"/>
      <c r="F41" s="1468"/>
      <c r="G41" s="1467"/>
      <c r="H41" s="1465"/>
    </row>
    <row r="42">
      <c r="A42" s="1455">
        <f t="shared" si="1"/>
        <v>40</v>
      </c>
      <c r="B42" s="1468"/>
      <c r="C42" s="1467"/>
      <c r="D42" s="1467"/>
      <c r="E42" s="1467"/>
      <c r="F42" s="1468"/>
      <c r="G42" s="1467"/>
      <c r="H42" s="1465"/>
    </row>
    <row r="43">
      <c r="A43" s="1455">
        <f t="shared" si="1"/>
        <v>41</v>
      </c>
      <c r="B43" s="1468"/>
      <c r="C43" s="1467"/>
      <c r="D43" s="1467"/>
      <c r="E43" s="1467"/>
      <c r="F43" s="1468"/>
      <c r="G43" s="1467"/>
      <c r="H43" s="1465"/>
    </row>
    <row r="44">
      <c r="A44" s="1455">
        <f t="shared" si="1"/>
        <v>42</v>
      </c>
      <c r="B44" s="1468"/>
      <c r="C44" s="1467"/>
      <c r="D44" s="1467"/>
      <c r="E44" s="1467"/>
      <c r="F44" s="1468"/>
      <c r="G44" s="1467"/>
      <c r="H44" s="1465"/>
    </row>
    <row r="45">
      <c r="A45" s="1455">
        <f t="shared" si="1"/>
        <v>43</v>
      </c>
      <c r="B45" s="1468"/>
      <c r="C45" s="1467"/>
      <c r="D45" s="1467"/>
      <c r="E45" s="1467"/>
      <c r="F45" s="1468"/>
      <c r="G45" s="1467"/>
      <c r="H45" s="1465"/>
    </row>
    <row r="46">
      <c r="A46" s="1455">
        <f t="shared" si="1"/>
        <v>44</v>
      </c>
      <c r="B46" s="1468"/>
      <c r="C46" s="1467"/>
      <c r="D46" s="1467"/>
      <c r="E46" s="1467"/>
      <c r="F46" s="1468"/>
      <c r="G46" s="1467"/>
      <c r="H46" s="1465"/>
    </row>
    <row r="47">
      <c r="A47" s="1455">
        <f t="shared" si="1"/>
        <v>45</v>
      </c>
      <c r="B47" s="1468"/>
      <c r="C47" s="1467"/>
      <c r="D47" s="1467"/>
      <c r="E47" s="1467"/>
      <c r="F47" s="1468"/>
      <c r="G47" s="1467"/>
      <c r="H47" s="1465"/>
    </row>
    <row r="48">
      <c r="A48" s="1455">
        <f t="shared" si="1"/>
        <v>46</v>
      </c>
      <c r="B48" s="1468"/>
      <c r="C48" s="1467"/>
      <c r="D48" s="1467"/>
      <c r="E48" s="1467"/>
      <c r="F48" s="1468"/>
      <c r="G48" s="1467"/>
      <c r="H48" s="1465"/>
    </row>
    <row r="49">
      <c r="A49" s="1455">
        <f t="shared" si="1"/>
        <v>47</v>
      </c>
      <c r="B49" s="1468"/>
      <c r="C49" s="1467"/>
      <c r="D49" s="1467"/>
      <c r="E49" s="1467"/>
      <c r="F49" s="1468"/>
      <c r="G49" s="1467"/>
      <c r="H49" s="1465"/>
    </row>
    <row r="50">
      <c r="A50" s="1469">
        <f t="shared" si="1"/>
        <v>48</v>
      </c>
      <c r="B50" s="1470"/>
      <c r="C50" s="1471"/>
      <c r="D50" s="1471"/>
      <c r="E50" s="1471"/>
      <c r="F50" s="1470"/>
      <c r="G50" s="1471"/>
      <c r="H50" s="1472"/>
    </row>
    <row r="51">
      <c r="A51" s="1473" t="s">
        <v>2634</v>
      </c>
      <c r="B51" s="864"/>
      <c r="C51" s="864"/>
      <c r="D51" s="864"/>
      <c r="E51" s="1474" t="s">
        <v>2635</v>
      </c>
      <c r="F51" s="864"/>
      <c r="G51" s="864"/>
      <c r="H51" s="874"/>
    </row>
  </sheetData>
  <mergeCells count="5">
    <mergeCell ref="A1:B1"/>
    <mergeCell ref="C1:E1"/>
    <mergeCell ref="G1:H1"/>
    <mergeCell ref="A51:D51"/>
    <mergeCell ref="E51:H51"/>
  </mergeCells>
  <conditionalFormatting sqref="G3:G50">
    <cfRule type="expression" dxfId="13" priority="1">
      <formula>And(LT(G3 -Today(),2),G3 &lt;&gt; "",H3 = "")</formula>
    </cfRule>
  </conditionalFormatting>
  <conditionalFormatting sqref="G3:G50">
    <cfRule type="expression" dxfId="14" priority="2">
      <formula>And(LT(G3 -Today(),4),G3 &lt;&gt; "",H3 = "")</formula>
    </cfRule>
  </conditionalFormatting>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13.75"/>
    <col customWidth="1" min="2" max="2" width="11.0"/>
    <col customWidth="1" min="3" max="3" width="9.38"/>
    <col customWidth="1" min="4" max="4" width="10.13"/>
    <col customWidth="1" min="5" max="7" width="9.88"/>
    <col customWidth="1" min="8" max="8" width="13.5"/>
    <col customWidth="1" min="9" max="9" width="22.38"/>
  </cols>
  <sheetData>
    <row r="1" ht="19.5" customHeight="1">
      <c r="A1" s="1475" t="s">
        <v>319</v>
      </c>
      <c r="B1" s="45"/>
      <c r="C1" s="1476" t="s">
        <v>147</v>
      </c>
      <c r="D1" s="1477">
        <f>Latitude</f>
        <v>38.0127006</v>
      </c>
      <c r="E1" s="1476" t="s">
        <v>148</v>
      </c>
      <c r="F1" s="1477">
        <f>Longitude</f>
        <v>-122.645261</v>
      </c>
      <c r="G1" s="1478"/>
      <c r="H1" s="45"/>
      <c r="I1" s="1479" t="str">
        <f>HYPERLINK( concatenate("https://www.wrh.noaa.gov/firewx/?latitude=",D1,"&amp;longitude=",F1,"&amp;latlon=Go&amp;wfo=mtr&amp;interface=fwzones"),"NWS Fire Weather")</f>
        <v>NWS Fire Weather</v>
      </c>
    </row>
    <row r="2">
      <c r="A2" s="1480" t="s">
        <v>1143</v>
      </c>
      <c r="B2" s="517"/>
      <c r="C2" s="1481" t="s">
        <v>283</v>
      </c>
      <c r="D2" s="165"/>
      <c r="E2" s="1482" t="s">
        <v>1144</v>
      </c>
      <c r="F2" s="1483">
        <f>OpDate</f>
        <v>43893</v>
      </c>
      <c r="G2" s="1484" t="s">
        <v>1145</v>
      </c>
      <c r="H2" s="1485">
        <f>OpDateTo</f>
        <v>43894</v>
      </c>
      <c r="I2" s="1486" t="s">
        <v>273</v>
      </c>
    </row>
    <row r="3">
      <c r="A3" s="1487" t="str">
        <f>IncName</f>
        <v>NO NAME</v>
      </c>
      <c r="B3" s="78"/>
      <c r="C3" s="1488"/>
      <c r="D3" s="77"/>
      <c r="E3" s="1489" t="s">
        <v>131</v>
      </c>
      <c r="F3" s="1490" t="str">
        <f>OpStart</f>
        <v>0700</v>
      </c>
      <c r="G3" s="1491" t="s">
        <v>133</v>
      </c>
      <c r="H3" s="1492" t="str">
        <f>OpEnd</f>
        <v>0700</v>
      </c>
      <c r="I3" s="1493">
        <v>44615.85683846065</v>
      </c>
    </row>
    <row r="4">
      <c r="A4" s="1494" t="s">
        <v>2636</v>
      </c>
      <c r="I4" s="94"/>
    </row>
    <row r="5">
      <c r="A5" s="166"/>
      <c r="I5" s="94"/>
    </row>
    <row r="6">
      <c r="A6" s="166"/>
      <c r="I6" s="94"/>
    </row>
    <row r="7">
      <c r="A7" s="166"/>
      <c r="I7" s="94"/>
    </row>
    <row r="8">
      <c r="A8" s="166"/>
      <c r="I8" s="94"/>
    </row>
    <row r="9">
      <c r="A9" s="166"/>
      <c r="I9" s="94"/>
    </row>
    <row r="10">
      <c r="A10" s="166"/>
      <c r="I10" s="94"/>
    </row>
    <row r="11">
      <c r="A11" s="166"/>
      <c r="I11" s="94"/>
    </row>
    <row r="12">
      <c r="A12" s="166"/>
      <c r="I12" s="94"/>
    </row>
    <row r="13">
      <c r="A13" s="166"/>
      <c r="I13" s="94"/>
    </row>
    <row r="14">
      <c r="A14" s="166"/>
      <c r="I14" s="94"/>
    </row>
    <row r="15">
      <c r="A15" s="166"/>
      <c r="I15" s="94"/>
    </row>
    <row r="16">
      <c r="A16" s="166"/>
      <c r="I16" s="94"/>
    </row>
    <row r="17">
      <c r="A17" s="166"/>
      <c r="I17" s="94"/>
    </row>
    <row r="18">
      <c r="A18" s="166"/>
      <c r="I18" s="94"/>
    </row>
    <row r="19">
      <c r="A19" s="166"/>
      <c r="I19" s="94"/>
    </row>
    <row r="20">
      <c r="A20" s="166"/>
      <c r="I20" s="94"/>
    </row>
    <row r="21">
      <c r="A21" s="166"/>
      <c r="I21" s="94"/>
    </row>
    <row r="22">
      <c r="A22" s="166"/>
      <c r="I22" s="94"/>
    </row>
    <row r="23">
      <c r="A23" s="166"/>
      <c r="I23" s="94"/>
    </row>
    <row r="24">
      <c r="A24" s="166"/>
      <c r="I24" s="94"/>
    </row>
    <row r="25">
      <c r="A25" s="166"/>
      <c r="I25" s="94"/>
    </row>
    <row r="26">
      <c r="A26" s="166"/>
      <c r="I26" s="94"/>
    </row>
    <row r="27">
      <c r="A27" s="166"/>
      <c r="I27" s="94"/>
    </row>
    <row r="28">
      <c r="A28" s="166"/>
      <c r="I28" s="94"/>
    </row>
    <row r="29">
      <c r="A29" s="166"/>
      <c r="I29" s="94"/>
    </row>
    <row r="30">
      <c r="A30" s="166"/>
      <c r="I30" s="94"/>
    </row>
    <row r="31">
      <c r="A31" s="166"/>
      <c r="I31" s="94"/>
    </row>
    <row r="32">
      <c r="A32" s="166"/>
      <c r="I32" s="94"/>
    </row>
    <row r="33">
      <c r="A33" s="166"/>
      <c r="I33" s="94"/>
    </row>
    <row r="34">
      <c r="A34" s="166"/>
      <c r="I34" s="94"/>
    </row>
    <row r="35">
      <c r="A35" s="166"/>
      <c r="I35" s="94"/>
    </row>
    <row r="36">
      <c r="A36" s="166"/>
      <c r="I36" s="94"/>
    </row>
    <row r="37">
      <c r="A37" s="166"/>
      <c r="I37" s="94"/>
    </row>
    <row r="38">
      <c r="A38" s="166"/>
      <c r="I38" s="94"/>
    </row>
    <row r="39">
      <c r="A39" s="166"/>
      <c r="I39" s="94"/>
    </row>
    <row r="40">
      <c r="A40" s="166"/>
      <c r="I40" s="94"/>
    </row>
    <row r="41">
      <c r="A41" s="166"/>
      <c r="I41" s="94"/>
    </row>
    <row r="42">
      <c r="A42" s="166"/>
      <c r="I42" s="94"/>
    </row>
    <row r="43">
      <c r="A43" s="166"/>
      <c r="I43" s="94"/>
    </row>
    <row r="44">
      <c r="A44" s="166"/>
      <c r="I44" s="94"/>
    </row>
    <row r="45">
      <c r="A45" s="166"/>
      <c r="I45" s="94"/>
    </row>
    <row r="46">
      <c r="A46" s="166"/>
      <c r="I46" s="94"/>
    </row>
    <row r="47">
      <c r="A47" s="166"/>
      <c r="I47" s="94"/>
    </row>
    <row r="48">
      <c r="A48" s="166"/>
      <c r="I48" s="94"/>
    </row>
    <row r="49">
      <c r="A49" s="166"/>
      <c r="I49" s="94"/>
    </row>
    <row r="50">
      <c r="A50" s="166"/>
      <c r="I50" s="94"/>
    </row>
    <row r="51">
      <c r="A51" s="166"/>
      <c r="I51" s="94"/>
    </row>
    <row r="52">
      <c r="A52" s="166"/>
      <c r="I52" s="94"/>
    </row>
    <row r="53">
      <c r="A53" s="166"/>
      <c r="I53" s="94"/>
    </row>
    <row r="54">
      <c r="A54" s="1495" t="s">
        <v>2637</v>
      </c>
      <c r="B54" s="1496"/>
      <c r="C54" s="45"/>
      <c r="D54" s="1497" t="s">
        <v>1156</v>
      </c>
      <c r="E54" s="1498">
        <f>F2-1</f>
        <v>43892</v>
      </c>
      <c r="F54" s="1499"/>
      <c r="G54" s="1500"/>
      <c r="H54" s="1501"/>
      <c r="I54" s="45"/>
    </row>
  </sheetData>
  <mergeCells count="9">
    <mergeCell ref="B54:C54"/>
    <mergeCell ref="H54:I54"/>
    <mergeCell ref="A1:B1"/>
    <mergeCell ref="G1:H1"/>
    <mergeCell ref="A2:B2"/>
    <mergeCell ref="C2:D2"/>
    <mergeCell ref="A3:B3"/>
    <mergeCell ref="C3:D3"/>
    <mergeCell ref="A4:I53"/>
  </mergeCells>
  <printOptions horizontalCentered="1"/>
  <pageMargins bottom="0.75" footer="0.0" header="0.0" left="0.25" right="0.25" top="0.75"/>
  <pageSetup orientation="portrait" pageOrder="overThenDown"/>
  <drawing r:id="rId2"/>
  <legacyDrawing r:id="rId3"/>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38"/>
    <col customWidth="1" min="2" max="2" width="20.38"/>
    <col customWidth="1" min="3" max="3" width="37.88"/>
    <col customWidth="1" min="4" max="4" width="11.38"/>
    <col customWidth="1" min="5" max="5" width="13.75"/>
  </cols>
  <sheetData>
    <row r="1">
      <c r="A1" s="1502" t="s">
        <v>2638</v>
      </c>
    </row>
    <row r="2">
      <c r="A2" s="43" t="s">
        <v>282</v>
      </c>
      <c r="B2" s="1503"/>
      <c r="C2" s="74"/>
      <c r="D2" s="74"/>
      <c r="E2" s="45"/>
    </row>
    <row r="3">
      <c r="A3" s="43" t="s">
        <v>2639</v>
      </c>
      <c r="B3" s="1503"/>
      <c r="C3" s="74"/>
      <c r="D3" s="74"/>
      <c r="E3" s="45"/>
    </row>
    <row r="4">
      <c r="A4" s="43" t="s">
        <v>2640</v>
      </c>
      <c r="B4" s="1503"/>
      <c r="C4" s="74"/>
      <c r="D4" s="74"/>
      <c r="E4" s="45"/>
    </row>
    <row r="5">
      <c r="A5" s="43" t="s">
        <v>2641</v>
      </c>
      <c r="B5" s="1503"/>
      <c r="C5" s="45"/>
      <c r="D5" s="43" t="s">
        <v>2642</v>
      </c>
      <c r="E5" s="43" t="s">
        <v>2643</v>
      </c>
    </row>
    <row r="6">
      <c r="A6" s="66" t="s">
        <v>2644</v>
      </c>
      <c r="B6" s="74"/>
      <c r="C6" s="45"/>
      <c r="D6" s="927"/>
      <c r="E6" s="927"/>
    </row>
    <row r="7">
      <c r="A7" s="1048"/>
      <c r="B7" s="165"/>
      <c r="C7" s="165"/>
      <c r="D7" s="165"/>
      <c r="E7" s="210"/>
    </row>
    <row r="8">
      <c r="A8" s="166"/>
      <c r="E8" s="94"/>
    </row>
    <row r="9">
      <c r="A9" s="166"/>
      <c r="E9" s="94"/>
    </row>
    <row r="10">
      <c r="A10" s="166"/>
      <c r="E10" s="94"/>
    </row>
    <row r="11">
      <c r="A11" s="166"/>
      <c r="E11" s="94"/>
    </row>
    <row r="12">
      <c r="A12" s="166"/>
      <c r="E12" s="94"/>
    </row>
    <row r="13">
      <c r="A13" s="166"/>
      <c r="E13" s="94"/>
    </row>
    <row r="14">
      <c r="A14" s="166"/>
      <c r="E14" s="94"/>
    </row>
    <row r="15">
      <c r="A15" s="166"/>
      <c r="E15" s="94"/>
    </row>
    <row r="16">
      <c r="A16" s="166"/>
      <c r="E16" s="94"/>
    </row>
    <row r="17">
      <c r="A17" s="166"/>
      <c r="E17" s="94"/>
    </row>
    <row r="18">
      <c r="A18" s="166"/>
      <c r="E18" s="94"/>
    </row>
    <row r="19">
      <c r="A19" s="166"/>
      <c r="E19" s="94"/>
    </row>
    <row r="20">
      <c r="A20" s="166"/>
      <c r="E20" s="94"/>
    </row>
    <row r="21">
      <c r="A21" s="166"/>
      <c r="E21" s="94"/>
    </row>
    <row r="22">
      <c r="A22" s="166"/>
      <c r="E22" s="94"/>
    </row>
    <row r="23">
      <c r="A23" s="166"/>
      <c r="E23" s="94"/>
    </row>
    <row r="24">
      <c r="A24" s="104"/>
      <c r="B24" s="77"/>
      <c r="C24" s="77"/>
      <c r="D24" s="77"/>
      <c r="E24" s="55"/>
    </row>
    <row r="25">
      <c r="A25" s="185" t="s">
        <v>2645</v>
      </c>
      <c r="B25" s="1504"/>
      <c r="C25" s="185" t="s">
        <v>1182</v>
      </c>
      <c r="D25" s="185" t="s">
        <v>1152</v>
      </c>
      <c r="E25" s="67"/>
    </row>
    <row r="26">
      <c r="A26" s="66" t="s">
        <v>2646</v>
      </c>
      <c r="B26" s="74"/>
      <c r="C26" s="74"/>
      <c r="D26" s="74"/>
      <c r="E26" s="45"/>
    </row>
    <row r="27">
      <c r="A27" s="1048"/>
      <c r="B27" s="165"/>
      <c r="C27" s="165"/>
      <c r="D27" s="165"/>
      <c r="E27" s="210"/>
    </row>
    <row r="28">
      <c r="A28" s="166"/>
      <c r="E28" s="94"/>
    </row>
    <row r="29">
      <c r="A29" s="166"/>
      <c r="E29" s="94"/>
    </row>
    <row r="30">
      <c r="A30" s="166"/>
      <c r="E30" s="94"/>
    </row>
    <row r="31">
      <c r="A31" s="166"/>
      <c r="E31" s="94"/>
    </row>
    <row r="32">
      <c r="A32" s="166"/>
      <c r="E32" s="94"/>
    </row>
    <row r="33">
      <c r="A33" s="166"/>
      <c r="E33" s="94"/>
    </row>
    <row r="34">
      <c r="A34" s="166"/>
      <c r="E34" s="94"/>
    </row>
    <row r="35">
      <c r="A35" s="166"/>
      <c r="E35" s="94"/>
    </row>
    <row r="36">
      <c r="A36" s="166"/>
      <c r="E36" s="94"/>
    </row>
    <row r="37">
      <c r="A37" s="166"/>
      <c r="E37" s="94"/>
    </row>
    <row r="38">
      <c r="A38" s="166"/>
      <c r="E38" s="94"/>
    </row>
    <row r="39">
      <c r="A39" s="166"/>
      <c r="E39" s="94"/>
    </row>
    <row r="40">
      <c r="A40" s="166"/>
      <c r="E40" s="94"/>
    </row>
    <row r="41">
      <c r="A41" s="166"/>
      <c r="E41" s="94"/>
    </row>
    <row r="42">
      <c r="A42" s="166"/>
      <c r="E42" s="94"/>
    </row>
    <row r="43">
      <c r="A43" s="166"/>
      <c r="E43" s="94"/>
    </row>
    <row r="44">
      <c r="A44" s="166"/>
      <c r="E44" s="94"/>
    </row>
    <row r="45">
      <c r="A45" s="166"/>
      <c r="E45" s="94"/>
    </row>
    <row r="46">
      <c r="A46" s="104"/>
      <c r="B46" s="77"/>
      <c r="C46" s="77"/>
      <c r="D46" s="77"/>
      <c r="E46" s="55"/>
    </row>
    <row r="47">
      <c r="A47" s="185" t="s">
        <v>2647</v>
      </c>
      <c r="B47" s="1504"/>
      <c r="C47" s="185" t="s">
        <v>1182</v>
      </c>
      <c r="D47" s="185" t="s">
        <v>1152</v>
      </c>
      <c r="E47" s="67"/>
    </row>
    <row r="48">
      <c r="A48" s="43" t="s">
        <v>2648</v>
      </c>
      <c r="B48" s="213" t="s">
        <v>2649</v>
      </c>
      <c r="C48" s="74"/>
      <c r="D48" s="74"/>
      <c r="E48" s="1505" t="s">
        <v>332</v>
      </c>
    </row>
  </sheetData>
  <mergeCells count="10">
    <mergeCell ref="A26:E26"/>
    <mergeCell ref="A27:E46"/>
    <mergeCell ref="B48:D48"/>
    <mergeCell ref="A1:E1"/>
    <mergeCell ref="B2:E2"/>
    <mergeCell ref="B3:E3"/>
    <mergeCell ref="B4:E4"/>
    <mergeCell ref="B5:C5"/>
    <mergeCell ref="A6:C6"/>
    <mergeCell ref="A7:E24"/>
  </mergeCells>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2.88"/>
    <col customWidth="1" min="2" max="2" width="7.63"/>
    <col customWidth="1" min="3" max="3" width="4.25"/>
    <col customWidth="1" min="4" max="4" width="10.25"/>
    <col customWidth="1" min="5" max="5" width="3.25"/>
    <col customWidth="1" min="6" max="6" width="6.25"/>
    <col customWidth="1" min="7" max="7" width="9.25"/>
    <col customWidth="1" min="8" max="8" width="4.0"/>
    <col customWidth="1" min="9" max="9" width="3.38"/>
    <col customWidth="1" min="10" max="10" width="7.0"/>
    <col customWidth="1" min="11" max="12" width="7.38"/>
    <col customWidth="1" min="13" max="13" width="7.88"/>
  </cols>
  <sheetData>
    <row r="1" ht="25.5" customHeight="1">
      <c r="A1" s="1506" t="s">
        <v>2650</v>
      </c>
      <c r="B1" s="74"/>
      <c r="C1" s="74"/>
      <c r="D1" s="74"/>
      <c r="E1" s="74"/>
      <c r="F1" s="74"/>
      <c r="G1" s="74"/>
      <c r="H1" s="74"/>
      <c r="I1" s="74"/>
      <c r="J1" s="74"/>
      <c r="K1" s="74"/>
      <c r="L1" s="74"/>
      <c r="M1" s="45"/>
    </row>
    <row r="2">
      <c r="A2" s="879" t="s">
        <v>1143</v>
      </c>
      <c r="B2" s="165"/>
      <c r="C2" s="165"/>
      <c r="D2" s="165"/>
      <c r="E2" s="210"/>
      <c r="F2" s="879" t="s">
        <v>283</v>
      </c>
      <c r="G2" s="165"/>
      <c r="H2" s="165"/>
      <c r="I2" s="880" t="s">
        <v>1144</v>
      </c>
      <c r="J2" s="165"/>
      <c r="K2" s="881">
        <f>OpDate</f>
        <v>43893</v>
      </c>
      <c r="L2" s="882" t="s">
        <v>1145</v>
      </c>
      <c r="M2" s="883">
        <f>OpDateTo</f>
        <v>43894</v>
      </c>
    </row>
    <row r="3">
      <c r="A3" s="884" t="str">
        <f>IncName</f>
        <v>NO NAME</v>
      </c>
      <c r="B3" s="77"/>
      <c r="C3" s="77"/>
      <c r="D3" s="77"/>
      <c r="E3" s="55"/>
      <c r="F3" s="885"/>
      <c r="G3" s="77"/>
      <c r="H3" s="77"/>
      <c r="I3" s="886" t="s">
        <v>131</v>
      </c>
      <c r="J3" s="77"/>
      <c r="K3" s="887" t="str">
        <f>OpStart</f>
        <v>0700</v>
      </c>
      <c r="L3" s="888" t="s">
        <v>133</v>
      </c>
      <c r="M3" s="889" t="str">
        <f>OpEnd</f>
        <v>0700</v>
      </c>
    </row>
    <row r="4">
      <c r="A4" s="1507" t="s">
        <v>2651</v>
      </c>
      <c r="B4" s="165"/>
      <c r="C4" s="165"/>
      <c r="D4" s="165"/>
      <c r="E4" s="165"/>
      <c r="F4" s="210"/>
      <c r="G4" s="1507" t="s">
        <v>2652</v>
      </c>
      <c r="H4" s="165"/>
      <c r="I4" s="165"/>
      <c r="J4" s="165"/>
      <c r="K4" s="165"/>
      <c r="L4" s="165"/>
      <c r="M4" s="210"/>
    </row>
    <row r="5">
      <c r="A5" s="1508"/>
      <c r="B5" s="77"/>
      <c r="C5" s="77"/>
      <c r="D5" s="77"/>
      <c r="E5" s="77"/>
      <c r="F5" s="55"/>
      <c r="G5" s="1509"/>
      <c r="H5" s="77"/>
      <c r="I5" s="77"/>
      <c r="J5" s="77"/>
      <c r="K5" s="77"/>
      <c r="L5" s="77"/>
      <c r="M5" s="55"/>
    </row>
    <row r="6" ht="16.5" customHeight="1">
      <c r="A6" s="1510" t="s">
        <v>2653</v>
      </c>
      <c r="B6" s="74"/>
      <c r="C6" s="74"/>
      <c r="D6" s="74"/>
      <c r="E6" s="74"/>
      <c r="F6" s="74"/>
      <c r="G6" s="74"/>
      <c r="H6" s="74"/>
      <c r="I6" s="74"/>
      <c r="J6" s="74"/>
      <c r="K6" s="74"/>
      <c r="L6" s="74"/>
      <c r="M6" s="45"/>
    </row>
    <row r="7" ht="16.5" customHeight="1">
      <c r="A7" s="892" t="s">
        <v>2654</v>
      </c>
      <c r="B7" s="74"/>
      <c r="C7" s="74"/>
      <c r="D7" s="45"/>
      <c r="E7" s="892" t="s">
        <v>2655</v>
      </c>
      <c r="F7" s="74"/>
      <c r="G7" s="74"/>
      <c r="H7" s="45"/>
      <c r="I7" s="1511" t="s">
        <v>2656</v>
      </c>
      <c r="J7" s="74"/>
      <c r="K7" s="74"/>
      <c r="L7" s="74"/>
      <c r="M7" s="45"/>
    </row>
    <row r="8">
      <c r="A8" s="891"/>
      <c r="B8" s="74"/>
      <c r="C8" s="74"/>
      <c r="D8" s="45"/>
      <c r="E8" s="891"/>
      <c r="F8" s="74"/>
      <c r="G8" s="74"/>
      <c r="H8" s="45"/>
      <c r="I8" s="891"/>
      <c r="J8" s="74"/>
      <c r="K8" s="74"/>
      <c r="L8" s="74"/>
      <c r="M8" s="45"/>
    </row>
    <row r="9" ht="17.25" customHeight="1">
      <c r="A9" s="891"/>
      <c r="B9" s="74"/>
      <c r="C9" s="74"/>
      <c r="D9" s="45"/>
      <c r="E9" s="891"/>
      <c r="F9" s="74"/>
      <c r="G9" s="74"/>
      <c r="H9" s="45"/>
      <c r="I9" s="891"/>
      <c r="J9" s="74"/>
      <c r="K9" s="74"/>
      <c r="L9" s="74"/>
      <c r="M9" s="45"/>
    </row>
    <row r="10" ht="16.5" customHeight="1">
      <c r="A10" s="891"/>
      <c r="B10" s="74"/>
      <c r="C10" s="74"/>
      <c r="D10" s="45"/>
      <c r="E10" s="891"/>
      <c r="F10" s="74"/>
      <c r="G10" s="74"/>
      <c r="H10" s="45"/>
      <c r="I10" s="891"/>
      <c r="J10" s="74"/>
      <c r="K10" s="74"/>
      <c r="L10" s="74"/>
      <c r="M10" s="45"/>
    </row>
    <row r="11" ht="16.5" customHeight="1">
      <c r="A11" s="891"/>
      <c r="B11" s="74"/>
      <c r="C11" s="74"/>
      <c r="D11" s="45"/>
      <c r="E11" s="891"/>
      <c r="F11" s="74"/>
      <c r="G11" s="74"/>
      <c r="H11" s="45"/>
      <c r="I11" s="891"/>
      <c r="J11" s="74"/>
      <c r="K11" s="74"/>
      <c r="L11" s="74"/>
      <c r="M11" s="45"/>
    </row>
    <row r="12" ht="16.5" customHeight="1">
      <c r="A12" s="891"/>
      <c r="B12" s="74"/>
      <c r="C12" s="74"/>
      <c r="D12" s="45"/>
      <c r="E12" s="891"/>
      <c r="F12" s="74"/>
      <c r="G12" s="74"/>
      <c r="H12" s="45"/>
      <c r="I12" s="891"/>
      <c r="J12" s="74"/>
      <c r="K12" s="74"/>
      <c r="L12" s="74"/>
      <c r="M12" s="45"/>
    </row>
    <row r="13" ht="16.5" customHeight="1">
      <c r="A13" s="891"/>
      <c r="B13" s="74"/>
      <c r="C13" s="74"/>
      <c r="D13" s="45"/>
      <c r="E13" s="891"/>
      <c r="F13" s="74"/>
      <c r="G13" s="74"/>
      <c r="H13" s="45"/>
      <c r="I13" s="891"/>
      <c r="J13" s="74"/>
      <c r="K13" s="74"/>
      <c r="L13" s="74"/>
      <c r="M13" s="45"/>
    </row>
    <row r="14">
      <c r="A14" s="891"/>
      <c r="B14" s="74"/>
      <c r="C14" s="74"/>
      <c r="D14" s="45"/>
      <c r="E14" s="891"/>
      <c r="F14" s="74"/>
      <c r="G14" s="74"/>
      <c r="H14" s="45"/>
      <c r="I14" s="891"/>
      <c r="J14" s="74"/>
      <c r="K14" s="74"/>
      <c r="L14" s="74"/>
      <c r="M14" s="45"/>
    </row>
    <row r="15" ht="18.75" customHeight="1">
      <c r="A15" s="891"/>
      <c r="B15" s="74"/>
      <c r="C15" s="74"/>
      <c r="D15" s="45"/>
      <c r="E15" s="891"/>
      <c r="F15" s="74"/>
      <c r="G15" s="74"/>
      <c r="H15" s="45"/>
      <c r="I15" s="891"/>
      <c r="J15" s="74"/>
      <c r="K15" s="74"/>
      <c r="L15" s="74"/>
      <c r="M15" s="45"/>
    </row>
    <row r="16" ht="18.0" customHeight="1">
      <c r="A16" s="891"/>
      <c r="B16" s="74"/>
      <c r="C16" s="74"/>
      <c r="D16" s="45"/>
      <c r="E16" s="891"/>
      <c r="F16" s="74"/>
      <c r="G16" s="74"/>
      <c r="H16" s="45"/>
      <c r="I16" s="891"/>
      <c r="J16" s="74"/>
      <c r="K16" s="74"/>
      <c r="L16" s="74"/>
      <c r="M16" s="45"/>
    </row>
    <row r="17" ht="18.0" customHeight="1">
      <c r="A17" s="891"/>
      <c r="B17" s="74"/>
      <c r="C17" s="74"/>
      <c r="D17" s="45"/>
      <c r="E17" s="891"/>
      <c r="F17" s="74"/>
      <c r="G17" s="74"/>
      <c r="H17" s="45"/>
      <c r="I17" s="891"/>
      <c r="J17" s="74"/>
      <c r="K17" s="74"/>
      <c r="L17" s="74"/>
      <c r="M17" s="45"/>
    </row>
    <row r="18" ht="18.0" customHeight="1">
      <c r="A18" s="891"/>
      <c r="B18" s="74"/>
      <c r="C18" s="74"/>
      <c r="D18" s="45"/>
      <c r="E18" s="891"/>
      <c r="F18" s="74"/>
      <c r="G18" s="74"/>
      <c r="H18" s="45"/>
      <c r="I18" s="891"/>
      <c r="J18" s="74"/>
      <c r="K18" s="74"/>
      <c r="L18" s="74"/>
      <c r="M18" s="45"/>
    </row>
    <row r="19" ht="18.0" customHeight="1">
      <c r="A19" s="891"/>
      <c r="B19" s="74"/>
      <c r="C19" s="74"/>
      <c r="D19" s="45"/>
      <c r="E19" s="891"/>
      <c r="F19" s="74"/>
      <c r="G19" s="74"/>
      <c r="H19" s="45"/>
      <c r="I19" s="891"/>
      <c r="J19" s="74"/>
      <c r="K19" s="74"/>
      <c r="L19" s="74"/>
      <c r="M19" s="45"/>
    </row>
    <row r="20" ht="18.0" customHeight="1">
      <c r="A20" s="891"/>
      <c r="B20" s="74"/>
      <c r="C20" s="74"/>
      <c r="D20" s="45"/>
      <c r="E20" s="891"/>
      <c r="F20" s="74"/>
      <c r="G20" s="74"/>
      <c r="H20" s="45"/>
      <c r="I20" s="891"/>
      <c r="J20" s="74"/>
      <c r="K20" s="74"/>
      <c r="L20" s="74"/>
      <c r="M20" s="45"/>
    </row>
    <row r="21" ht="18.0" customHeight="1">
      <c r="A21" s="891"/>
      <c r="B21" s="74"/>
      <c r="C21" s="74"/>
      <c r="D21" s="45"/>
      <c r="E21" s="891"/>
      <c r="F21" s="74"/>
      <c r="G21" s="74"/>
      <c r="H21" s="45"/>
      <c r="I21" s="891"/>
      <c r="J21" s="74"/>
      <c r="K21" s="74"/>
      <c r="L21" s="74"/>
      <c r="M21" s="45"/>
    </row>
    <row r="22" ht="16.5" customHeight="1">
      <c r="A22" s="891"/>
      <c r="B22" s="74"/>
      <c r="C22" s="74"/>
      <c r="D22" s="45"/>
      <c r="E22" s="891"/>
      <c r="F22" s="74"/>
      <c r="G22" s="74"/>
      <c r="H22" s="45"/>
      <c r="I22" s="891"/>
      <c r="J22" s="74"/>
      <c r="K22" s="74"/>
      <c r="L22" s="74"/>
      <c r="M22" s="45"/>
    </row>
    <row r="23" ht="16.5" customHeight="1">
      <c r="A23" s="891"/>
      <c r="B23" s="74"/>
      <c r="C23" s="74"/>
      <c r="D23" s="45"/>
      <c r="E23" s="891"/>
      <c r="F23" s="74"/>
      <c r="G23" s="74"/>
      <c r="H23" s="45"/>
      <c r="I23" s="891"/>
      <c r="J23" s="74"/>
      <c r="K23" s="74"/>
      <c r="L23" s="74"/>
      <c r="M23" s="45"/>
    </row>
    <row r="24" ht="16.5" customHeight="1">
      <c r="A24" s="891"/>
      <c r="B24" s="74"/>
      <c r="C24" s="74"/>
      <c r="D24" s="45"/>
      <c r="E24" s="891"/>
      <c r="F24" s="74"/>
      <c r="G24" s="74"/>
      <c r="H24" s="45"/>
      <c r="I24" s="891"/>
      <c r="J24" s="74"/>
      <c r="K24" s="74"/>
      <c r="L24" s="74"/>
      <c r="M24" s="45"/>
    </row>
    <row r="25" ht="16.5" customHeight="1">
      <c r="A25" s="891"/>
      <c r="B25" s="74"/>
      <c r="C25" s="74"/>
      <c r="D25" s="45"/>
      <c r="E25" s="891"/>
      <c r="F25" s="74"/>
      <c r="G25" s="74"/>
      <c r="H25" s="45"/>
      <c r="I25" s="891"/>
      <c r="J25" s="74"/>
      <c r="K25" s="74"/>
      <c r="L25" s="74"/>
      <c r="M25" s="45"/>
    </row>
    <row r="26">
      <c r="A26" s="891"/>
      <c r="B26" s="74"/>
      <c r="C26" s="74"/>
      <c r="D26" s="45"/>
      <c r="E26" s="891"/>
      <c r="F26" s="74"/>
      <c r="G26" s="74"/>
      <c r="H26" s="45"/>
      <c r="I26" s="891"/>
      <c r="J26" s="74"/>
      <c r="K26" s="74"/>
      <c r="L26" s="74"/>
      <c r="M26" s="45"/>
    </row>
    <row r="27" ht="18.75" customHeight="1">
      <c r="A27" s="1512" t="s">
        <v>2657</v>
      </c>
      <c r="B27" s="74"/>
      <c r="C27" s="74"/>
      <c r="D27" s="74"/>
      <c r="E27" s="74"/>
      <c r="F27" s="74"/>
      <c r="G27" s="74"/>
      <c r="H27" s="74"/>
      <c r="I27" s="74"/>
      <c r="J27" s="74"/>
      <c r="K27" s="74"/>
      <c r="L27" s="74"/>
      <c r="M27" s="45"/>
    </row>
    <row r="28" ht="19.5" customHeight="1">
      <c r="A28" s="892" t="s">
        <v>2472</v>
      </c>
      <c r="B28" s="45"/>
      <c r="C28" s="892" t="s">
        <v>2658</v>
      </c>
      <c r="D28" s="74"/>
      <c r="E28" s="74"/>
      <c r="F28" s="74"/>
      <c r="G28" s="74"/>
      <c r="H28" s="74"/>
      <c r="I28" s="74"/>
      <c r="J28" s="74"/>
      <c r="K28" s="74"/>
      <c r="L28" s="74"/>
      <c r="M28" s="45"/>
    </row>
    <row r="29" ht="16.5" customHeight="1">
      <c r="A29" s="891"/>
      <c r="B29" s="45"/>
      <c r="C29" s="891"/>
      <c r="D29" s="74"/>
      <c r="E29" s="74"/>
      <c r="F29" s="74"/>
      <c r="G29" s="74"/>
      <c r="H29" s="74"/>
      <c r="I29" s="74"/>
      <c r="J29" s="74"/>
      <c r="K29" s="74"/>
      <c r="L29" s="74"/>
      <c r="M29" s="45"/>
    </row>
    <row r="30" ht="18.75" customHeight="1">
      <c r="A30" s="891"/>
      <c r="B30" s="45"/>
      <c r="C30" s="891"/>
      <c r="D30" s="74"/>
      <c r="E30" s="74"/>
      <c r="F30" s="74"/>
      <c r="G30" s="74"/>
      <c r="H30" s="74"/>
      <c r="I30" s="74"/>
      <c r="J30" s="74"/>
      <c r="K30" s="74"/>
      <c r="L30" s="74"/>
      <c r="M30" s="45"/>
    </row>
    <row r="31" ht="18.75" customHeight="1">
      <c r="A31" s="891"/>
      <c r="B31" s="45"/>
      <c r="C31" s="891"/>
      <c r="D31" s="74"/>
      <c r="E31" s="74"/>
      <c r="F31" s="74"/>
      <c r="G31" s="74"/>
      <c r="H31" s="74"/>
      <c r="I31" s="74"/>
      <c r="J31" s="74"/>
      <c r="K31" s="74"/>
      <c r="L31" s="74"/>
      <c r="M31" s="45"/>
    </row>
    <row r="32" ht="18.0" customHeight="1">
      <c r="A32" s="891"/>
      <c r="B32" s="45"/>
      <c r="C32" s="891"/>
      <c r="D32" s="74"/>
      <c r="E32" s="74"/>
      <c r="F32" s="74"/>
      <c r="G32" s="74"/>
      <c r="H32" s="74"/>
      <c r="I32" s="74"/>
      <c r="J32" s="74"/>
      <c r="K32" s="74"/>
      <c r="L32" s="74"/>
      <c r="M32" s="45"/>
    </row>
    <row r="33" ht="18.0" customHeight="1">
      <c r="A33" s="891"/>
      <c r="B33" s="45"/>
      <c r="C33" s="891"/>
      <c r="D33" s="74"/>
      <c r="E33" s="74"/>
      <c r="F33" s="74"/>
      <c r="G33" s="74"/>
      <c r="H33" s="74"/>
      <c r="I33" s="74"/>
      <c r="J33" s="74"/>
      <c r="K33" s="74"/>
      <c r="L33" s="74"/>
      <c r="M33" s="45"/>
    </row>
    <row r="34" ht="18.0" customHeight="1">
      <c r="A34" s="891"/>
      <c r="B34" s="45"/>
      <c r="C34" s="891"/>
      <c r="D34" s="74"/>
      <c r="E34" s="74"/>
      <c r="F34" s="74"/>
      <c r="G34" s="74"/>
      <c r="H34" s="74"/>
      <c r="I34" s="74"/>
      <c r="J34" s="74"/>
      <c r="K34" s="74"/>
      <c r="L34" s="74"/>
      <c r="M34" s="45"/>
    </row>
    <row r="35" ht="16.5" customHeight="1">
      <c r="A35" s="891"/>
      <c r="B35" s="45"/>
      <c r="C35" s="891"/>
      <c r="D35" s="74"/>
      <c r="E35" s="74"/>
      <c r="F35" s="74"/>
      <c r="G35" s="74"/>
      <c r="H35" s="74"/>
      <c r="I35" s="74"/>
      <c r="J35" s="74"/>
      <c r="K35" s="74"/>
      <c r="L35" s="74"/>
      <c r="M35" s="45"/>
    </row>
    <row r="36" ht="18.75" customHeight="1">
      <c r="A36" s="891"/>
      <c r="B36" s="45"/>
      <c r="C36" s="891"/>
      <c r="D36" s="74"/>
      <c r="E36" s="74"/>
      <c r="F36" s="74"/>
      <c r="G36" s="74"/>
      <c r="H36" s="74"/>
      <c r="I36" s="74"/>
      <c r="J36" s="74"/>
      <c r="K36" s="74"/>
      <c r="L36" s="74"/>
      <c r="M36" s="45"/>
    </row>
    <row r="37" ht="18.75" customHeight="1">
      <c r="A37" s="891"/>
      <c r="B37" s="45"/>
      <c r="C37" s="891"/>
      <c r="D37" s="74"/>
      <c r="E37" s="74"/>
      <c r="F37" s="74"/>
      <c r="G37" s="74"/>
      <c r="H37" s="74"/>
      <c r="I37" s="74"/>
      <c r="J37" s="74"/>
      <c r="K37" s="74"/>
      <c r="L37" s="74"/>
      <c r="M37" s="45"/>
    </row>
    <row r="38" ht="18.75" customHeight="1">
      <c r="A38" s="891"/>
      <c r="B38" s="45"/>
      <c r="C38" s="891"/>
      <c r="D38" s="74"/>
      <c r="E38" s="74"/>
      <c r="F38" s="74"/>
      <c r="G38" s="74"/>
      <c r="H38" s="74"/>
      <c r="I38" s="74"/>
      <c r="J38" s="74"/>
      <c r="K38" s="74"/>
      <c r="L38" s="74"/>
      <c r="M38" s="45"/>
    </row>
    <row r="39" ht="18.75" customHeight="1">
      <c r="A39" s="891"/>
      <c r="B39" s="45"/>
      <c r="C39" s="891"/>
      <c r="D39" s="74"/>
      <c r="E39" s="74"/>
      <c r="F39" s="74"/>
      <c r="G39" s="74"/>
      <c r="H39" s="74"/>
      <c r="I39" s="74"/>
      <c r="J39" s="74"/>
      <c r="K39" s="74"/>
      <c r="L39" s="74"/>
      <c r="M39" s="45"/>
    </row>
    <row r="40" ht="18.75" customHeight="1">
      <c r="A40" s="891"/>
      <c r="B40" s="45"/>
      <c r="C40" s="891"/>
      <c r="D40" s="74"/>
      <c r="E40" s="74"/>
      <c r="F40" s="74"/>
      <c r="G40" s="74"/>
      <c r="H40" s="74"/>
      <c r="I40" s="74"/>
      <c r="J40" s="74"/>
      <c r="K40" s="74"/>
      <c r="L40" s="74"/>
      <c r="M40" s="45"/>
    </row>
    <row r="41" ht="18.75" customHeight="1">
      <c r="A41" s="891"/>
      <c r="B41" s="45"/>
      <c r="C41" s="891"/>
      <c r="D41" s="74"/>
      <c r="E41" s="74"/>
      <c r="F41" s="74"/>
      <c r="G41" s="74"/>
      <c r="H41" s="74"/>
      <c r="I41" s="74"/>
      <c r="J41" s="74"/>
      <c r="K41" s="74"/>
      <c r="L41" s="74"/>
      <c r="M41" s="45"/>
    </row>
    <row r="42" ht="18.75" customHeight="1">
      <c r="A42" s="891"/>
      <c r="B42" s="45"/>
      <c r="C42" s="891"/>
      <c r="D42" s="74"/>
      <c r="E42" s="74"/>
      <c r="F42" s="74"/>
      <c r="G42" s="74"/>
      <c r="H42" s="74"/>
      <c r="I42" s="74"/>
      <c r="J42" s="74"/>
      <c r="K42" s="74"/>
      <c r="L42" s="74"/>
      <c r="M42" s="45"/>
    </row>
    <row r="43" ht="21.75" customHeight="1">
      <c r="A43" s="891"/>
      <c r="B43" s="74"/>
      <c r="C43" s="891"/>
      <c r="D43" s="74"/>
      <c r="E43" s="74"/>
      <c r="F43" s="74"/>
      <c r="G43" s="74"/>
      <c r="H43" s="74"/>
      <c r="I43" s="74"/>
      <c r="J43" s="74"/>
      <c r="K43" s="74"/>
      <c r="L43" s="74"/>
      <c r="M43" s="45"/>
    </row>
    <row r="44">
      <c r="A44" s="891"/>
      <c r="B44" s="45"/>
      <c r="C44" s="891"/>
      <c r="D44" s="74"/>
      <c r="E44" s="74"/>
      <c r="F44" s="74"/>
      <c r="G44" s="74"/>
      <c r="H44" s="74"/>
      <c r="I44" s="74"/>
      <c r="J44" s="74"/>
      <c r="K44" s="74"/>
      <c r="L44" s="74"/>
      <c r="M44" s="45"/>
    </row>
    <row r="45">
      <c r="A45" s="1513" t="s">
        <v>326</v>
      </c>
      <c r="B45" s="74"/>
      <c r="C45" s="74"/>
      <c r="D45" s="74"/>
      <c r="E45" s="74"/>
      <c r="F45" s="74"/>
      <c r="G45" s="1514" t="s">
        <v>389</v>
      </c>
      <c r="H45" s="77"/>
      <c r="I45" s="77"/>
      <c r="J45" s="77"/>
      <c r="K45" s="77"/>
      <c r="L45" s="77"/>
      <c r="M45" s="1515" t="s">
        <v>332</v>
      </c>
    </row>
  </sheetData>
  <mergeCells count="109">
    <mergeCell ref="A1:M1"/>
    <mergeCell ref="A2:E2"/>
    <mergeCell ref="F2:H2"/>
    <mergeCell ref="I2:J2"/>
    <mergeCell ref="A3:E3"/>
    <mergeCell ref="F3:H3"/>
    <mergeCell ref="I3:J3"/>
    <mergeCell ref="A4:F4"/>
    <mergeCell ref="G4:M4"/>
    <mergeCell ref="A5:F5"/>
    <mergeCell ref="G5:M5"/>
    <mergeCell ref="A6:M6"/>
    <mergeCell ref="E7:H7"/>
    <mergeCell ref="I7:M7"/>
    <mergeCell ref="A7:D7"/>
    <mergeCell ref="A8:D8"/>
    <mergeCell ref="E8:H8"/>
    <mergeCell ref="I8:M8"/>
    <mergeCell ref="A9:D9"/>
    <mergeCell ref="E9:H9"/>
    <mergeCell ref="I9:M9"/>
    <mergeCell ref="E12:H12"/>
    <mergeCell ref="I12:M12"/>
    <mergeCell ref="A10:D10"/>
    <mergeCell ref="E10:H10"/>
    <mergeCell ref="I10:M10"/>
    <mergeCell ref="A11:D11"/>
    <mergeCell ref="E11:H11"/>
    <mergeCell ref="I11:M11"/>
    <mergeCell ref="A12:D12"/>
    <mergeCell ref="E15:H15"/>
    <mergeCell ref="I15:M15"/>
    <mergeCell ref="A13:D13"/>
    <mergeCell ref="E13:H13"/>
    <mergeCell ref="I13:M13"/>
    <mergeCell ref="A14:D14"/>
    <mergeCell ref="E14:H14"/>
    <mergeCell ref="I14:M14"/>
    <mergeCell ref="A15:D15"/>
    <mergeCell ref="A25:D25"/>
    <mergeCell ref="E25:H25"/>
    <mergeCell ref="I25:M25"/>
    <mergeCell ref="A26:D26"/>
    <mergeCell ref="E26:H26"/>
    <mergeCell ref="I26:M26"/>
    <mergeCell ref="A27:M27"/>
    <mergeCell ref="A28:B28"/>
    <mergeCell ref="C28:M28"/>
    <mergeCell ref="A29:B29"/>
    <mergeCell ref="C29:M29"/>
    <mergeCell ref="A30:B30"/>
    <mergeCell ref="C30:M30"/>
    <mergeCell ref="C31:M31"/>
    <mergeCell ref="A31:B31"/>
    <mergeCell ref="A32:B32"/>
    <mergeCell ref="C32:M32"/>
    <mergeCell ref="A33:B33"/>
    <mergeCell ref="C33:M33"/>
    <mergeCell ref="A34:B34"/>
    <mergeCell ref="C34:M34"/>
    <mergeCell ref="A35:B35"/>
    <mergeCell ref="C35:M35"/>
    <mergeCell ref="A36:B36"/>
    <mergeCell ref="C36:M36"/>
    <mergeCell ref="A37:B37"/>
    <mergeCell ref="C37:M37"/>
    <mergeCell ref="C38:M38"/>
    <mergeCell ref="E18:H18"/>
    <mergeCell ref="I18:M18"/>
    <mergeCell ref="A16:D16"/>
    <mergeCell ref="E16:H16"/>
    <mergeCell ref="I16:M16"/>
    <mergeCell ref="A17:D17"/>
    <mergeCell ref="E17:H17"/>
    <mergeCell ref="I17:M17"/>
    <mergeCell ref="A18:D18"/>
    <mergeCell ref="E21:H21"/>
    <mergeCell ref="I21:M21"/>
    <mergeCell ref="A19:D19"/>
    <mergeCell ref="E19:H19"/>
    <mergeCell ref="I19:M19"/>
    <mergeCell ref="A20:D20"/>
    <mergeCell ref="E20:H20"/>
    <mergeCell ref="I20:M20"/>
    <mergeCell ref="A21:D21"/>
    <mergeCell ref="E24:H24"/>
    <mergeCell ref="I24:M24"/>
    <mergeCell ref="A22:D22"/>
    <mergeCell ref="E22:H22"/>
    <mergeCell ref="I22:M22"/>
    <mergeCell ref="A23:D23"/>
    <mergeCell ref="E23:H23"/>
    <mergeCell ref="I23:M23"/>
    <mergeCell ref="A24:D24"/>
    <mergeCell ref="A42:B42"/>
    <mergeCell ref="C42:M42"/>
    <mergeCell ref="A43:B43"/>
    <mergeCell ref="C43:M43"/>
    <mergeCell ref="A44:B44"/>
    <mergeCell ref="C44:M44"/>
    <mergeCell ref="A45:F45"/>
    <mergeCell ref="G45:L45"/>
    <mergeCell ref="A38:B38"/>
    <mergeCell ref="A39:B39"/>
    <mergeCell ref="C39:M39"/>
    <mergeCell ref="A40:B40"/>
    <mergeCell ref="C40:M40"/>
    <mergeCell ref="A41:B41"/>
    <mergeCell ref="C41:M41"/>
  </mergeCells>
  <printOptions gridLines="1" horizontalCentered="1"/>
  <pageMargins bottom="0.75" footer="0.0" header="0.0" left="0.7" right="0.7" top="0.75"/>
  <pageSetup fitToHeight="0" cellComments="atEnd" orientation="portrait" pageOrder="overThenDown"/>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2.88"/>
    <col customWidth="1" min="2" max="2" width="7.63"/>
    <col customWidth="1" min="3" max="3" width="4.25"/>
    <col customWidth="1" min="4" max="4" width="10.25"/>
    <col customWidth="1" min="5" max="5" width="3.25"/>
    <col customWidth="1" min="6" max="6" width="6.25"/>
    <col customWidth="1" min="7" max="7" width="9.25"/>
    <col customWidth="1" min="8" max="8" width="4.0"/>
    <col customWidth="1" min="9" max="9" width="3.38"/>
    <col customWidth="1" min="10" max="10" width="7.0"/>
    <col customWidth="1" min="11" max="12" width="7.38"/>
    <col customWidth="1" min="13" max="13" width="7.88"/>
  </cols>
  <sheetData>
    <row r="1" ht="25.5" customHeight="1">
      <c r="A1" s="1506" t="s">
        <v>2659</v>
      </c>
      <c r="B1" s="74"/>
      <c r="C1" s="74"/>
      <c r="D1" s="74"/>
      <c r="E1" s="74"/>
      <c r="F1" s="74"/>
      <c r="G1" s="74"/>
      <c r="H1" s="74"/>
      <c r="I1" s="74"/>
      <c r="J1" s="74"/>
      <c r="K1" s="74"/>
      <c r="L1" s="74"/>
      <c r="M1" s="45"/>
    </row>
    <row r="2">
      <c r="A2" s="879" t="s">
        <v>1143</v>
      </c>
      <c r="B2" s="165"/>
      <c r="C2" s="165"/>
      <c r="D2" s="165"/>
      <c r="E2" s="210"/>
      <c r="F2" s="879" t="s">
        <v>283</v>
      </c>
      <c r="G2" s="165"/>
      <c r="H2" s="165"/>
      <c r="I2" s="880" t="s">
        <v>1144</v>
      </c>
      <c r="J2" s="165"/>
      <c r="K2" s="881">
        <f>OpDate</f>
        <v>43893</v>
      </c>
      <c r="L2" s="882" t="s">
        <v>1145</v>
      </c>
      <c r="M2" s="883">
        <f>OpDateTo</f>
        <v>43894</v>
      </c>
    </row>
    <row r="3">
      <c r="A3" s="884" t="str">
        <f>IncName</f>
        <v>NO NAME</v>
      </c>
      <c r="B3" s="77"/>
      <c r="C3" s="77"/>
      <c r="D3" s="77"/>
      <c r="E3" s="55"/>
      <c r="F3" s="885"/>
      <c r="G3" s="77"/>
      <c r="H3" s="77"/>
      <c r="I3" s="886" t="s">
        <v>131</v>
      </c>
      <c r="J3" s="77"/>
      <c r="K3" s="887" t="str">
        <f>OpStart</f>
        <v>0700</v>
      </c>
      <c r="L3" s="888" t="s">
        <v>133</v>
      </c>
      <c r="M3" s="889" t="str">
        <f>OpEnd</f>
        <v>0700</v>
      </c>
    </row>
    <row r="4">
      <c r="A4" s="1507" t="s">
        <v>2660</v>
      </c>
      <c r="B4" s="165"/>
      <c r="C4" s="165"/>
      <c r="D4" s="165"/>
      <c r="E4" s="165"/>
      <c r="F4" s="165"/>
      <c r="G4" s="165"/>
      <c r="H4" s="165"/>
      <c r="I4" s="165"/>
      <c r="J4" s="165"/>
      <c r="K4" s="165"/>
      <c r="L4" s="165"/>
      <c r="M4" s="210"/>
    </row>
    <row r="5">
      <c r="A5" s="892" t="s">
        <v>2472</v>
      </c>
      <c r="B5" s="45"/>
      <c r="C5" s="892" t="s">
        <v>2658</v>
      </c>
      <c r="D5" s="74"/>
      <c r="E5" s="74"/>
      <c r="F5" s="74"/>
      <c r="G5" s="74"/>
      <c r="H5" s="74"/>
      <c r="I5" s="74"/>
      <c r="J5" s="74"/>
      <c r="K5" s="74"/>
      <c r="L5" s="74"/>
      <c r="M5" s="45"/>
    </row>
    <row r="6" ht="16.5" customHeight="1">
      <c r="A6" s="891"/>
      <c r="B6" s="45"/>
      <c r="C6" s="891"/>
      <c r="D6" s="74"/>
      <c r="E6" s="74"/>
      <c r="F6" s="74"/>
      <c r="G6" s="74"/>
      <c r="H6" s="74"/>
      <c r="I6" s="74"/>
      <c r="J6" s="74"/>
      <c r="K6" s="74"/>
      <c r="L6" s="74"/>
      <c r="M6" s="45"/>
    </row>
    <row r="7" ht="16.5" customHeight="1">
      <c r="A7" s="891"/>
      <c r="B7" s="45"/>
      <c r="C7" s="891"/>
      <c r="D7" s="74"/>
      <c r="E7" s="74"/>
      <c r="F7" s="74"/>
      <c r="G7" s="74"/>
      <c r="H7" s="74"/>
      <c r="I7" s="74"/>
      <c r="J7" s="74"/>
      <c r="K7" s="74"/>
      <c r="L7" s="74"/>
      <c r="M7" s="45"/>
    </row>
    <row r="8">
      <c r="A8" s="891"/>
      <c r="B8" s="45"/>
      <c r="C8" s="891"/>
      <c r="D8" s="74"/>
      <c r="E8" s="74"/>
      <c r="F8" s="74"/>
      <c r="G8" s="74"/>
      <c r="H8" s="74"/>
      <c r="I8" s="74"/>
      <c r="J8" s="74"/>
      <c r="K8" s="74"/>
      <c r="L8" s="74"/>
      <c r="M8" s="45"/>
    </row>
    <row r="9" ht="17.25" customHeight="1">
      <c r="A9" s="891"/>
      <c r="B9" s="45"/>
      <c r="C9" s="891"/>
      <c r="D9" s="74"/>
      <c r="E9" s="74"/>
      <c r="F9" s="74"/>
      <c r="G9" s="74"/>
      <c r="H9" s="74"/>
      <c r="I9" s="74"/>
      <c r="J9" s="74"/>
      <c r="K9" s="74"/>
      <c r="L9" s="74"/>
      <c r="M9" s="45"/>
    </row>
    <row r="10" ht="16.5" customHeight="1">
      <c r="A10" s="891"/>
      <c r="B10" s="45"/>
      <c r="C10" s="891"/>
      <c r="D10" s="74"/>
      <c r="E10" s="74"/>
      <c r="F10" s="74"/>
      <c r="G10" s="74"/>
      <c r="H10" s="74"/>
      <c r="I10" s="74"/>
      <c r="J10" s="74"/>
      <c r="K10" s="74"/>
      <c r="L10" s="74"/>
      <c r="M10" s="45"/>
    </row>
    <row r="11" ht="16.5" customHeight="1">
      <c r="A11" s="891"/>
      <c r="B11" s="45"/>
      <c r="C11" s="891"/>
      <c r="D11" s="74"/>
      <c r="E11" s="74"/>
      <c r="F11" s="74"/>
      <c r="G11" s="74"/>
      <c r="H11" s="74"/>
      <c r="I11" s="74"/>
      <c r="J11" s="74"/>
      <c r="K11" s="74"/>
      <c r="L11" s="74"/>
      <c r="M11" s="45"/>
    </row>
    <row r="12" ht="16.5" customHeight="1">
      <c r="A12" s="891"/>
      <c r="B12" s="45"/>
      <c r="C12" s="891"/>
      <c r="D12" s="74"/>
      <c r="E12" s="74"/>
      <c r="F12" s="74"/>
      <c r="G12" s="74"/>
      <c r="H12" s="74"/>
      <c r="I12" s="74"/>
      <c r="J12" s="74"/>
      <c r="K12" s="74"/>
      <c r="L12" s="74"/>
      <c r="M12" s="45"/>
    </row>
    <row r="13" ht="16.5" customHeight="1">
      <c r="A13" s="891"/>
      <c r="B13" s="45"/>
      <c r="C13" s="891"/>
      <c r="D13" s="74"/>
      <c r="E13" s="74"/>
      <c r="F13" s="74"/>
      <c r="G13" s="74"/>
      <c r="H13" s="74"/>
      <c r="I13" s="74"/>
      <c r="J13" s="74"/>
      <c r="K13" s="74"/>
      <c r="L13" s="74"/>
      <c r="M13" s="45"/>
    </row>
    <row r="14" ht="16.5" customHeight="1">
      <c r="A14" s="891"/>
      <c r="B14" s="45"/>
      <c r="C14" s="891"/>
      <c r="D14" s="74"/>
      <c r="E14" s="74"/>
      <c r="F14" s="74"/>
      <c r="G14" s="74"/>
      <c r="H14" s="74"/>
      <c r="I14" s="74"/>
      <c r="J14" s="74"/>
      <c r="K14" s="74"/>
      <c r="L14" s="74"/>
      <c r="M14" s="45"/>
    </row>
    <row r="15" ht="16.5" customHeight="1">
      <c r="A15" s="891"/>
      <c r="B15" s="45"/>
      <c r="C15" s="891"/>
      <c r="D15" s="74"/>
      <c r="E15" s="74"/>
      <c r="F15" s="74"/>
      <c r="G15" s="74"/>
      <c r="H15" s="74"/>
      <c r="I15" s="74"/>
      <c r="J15" s="74"/>
      <c r="K15" s="74"/>
      <c r="L15" s="74"/>
      <c r="M15" s="45"/>
    </row>
    <row r="16" ht="16.5" customHeight="1">
      <c r="A16" s="891"/>
      <c r="B16" s="45"/>
      <c r="C16" s="891"/>
      <c r="D16" s="74"/>
      <c r="E16" s="74"/>
      <c r="F16" s="74"/>
      <c r="G16" s="74"/>
      <c r="H16" s="74"/>
      <c r="I16" s="74"/>
      <c r="J16" s="74"/>
      <c r="K16" s="74"/>
      <c r="L16" s="74"/>
      <c r="M16" s="45"/>
    </row>
    <row r="17" ht="16.5" customHeight="1">
      <c r="A17" s="891"/>
      <c r="B17" s="45"/>
      <c r="C17" s="891"/>
      <c r="D17" s="74"/>
      <c r="E17" s="74"/>
      <c r="F17" s="74"/>
      <c r="G17" s="74"/>
      <c r="H17" s="74"/>
      <c r="I17" s="74"/>
      <c r="J17" s="74"/>
      <c r="K17" s="74"/>
      <c r="L17" s="74"/>
      <c r="M17" s="45"/>
    </row>
    <row r="18" ht="16.5" customHeight="1">
      <c r="A18" s="891"/>
      <c r="B18" s="45"/>
      <c r="C18" s="891"/>
      <c r="D18" s="74"/>
      <c r="E18" s="74"/>
      <c r="F18" s="74"/>
      <c r="G18" s="74"/>
      <c r="H18" s="74"/>
      <c r="I18" s="74"/>
      <c r="J18" s="74"/>
      <c r="K18" s="74"/>
      <c r="L18" s="74"/>
      <c r="M18" s="45"/>
    </row>
    <row r="19" ht="16.5" customHeight="1">
      <c r="A19" s="891"/>
      <c r="B19" s="45"/>
      <c r="C19" s="891"/>
      <c r="D19" s="74"/>
      <c r="E19" s="74"/>
      <c r="F19" s="74"/>
      <c r="G19" s="74"/>
      <c r="H19" s="74"/>
      <c r="I19" s="74"/>
      <c r="J19" s="74"/>
      <c r="K19" s="74"/>
      <c r="L19" s="74"/>
      <c r="M19" s="45"/>
    </row>
    <row r="20" ht="16.5" customHeight="1">
      <c r="A20" s="891"/>
      <c r="B20" s="45"/>
      <c r="C20" s="891"/>
      <c r="D20" s="74"/>
      <c r="E20" s="74"/>
      <c r="F20" s="74"/>
      <c r="G20" s="74"/>
      <c r="H20" s="74"/>
      <c r="I20" s="74"/>
      <c r="J20" s="74"/>
      <c r="K20" s="74"/>
      <c r="L20" s="74"/>
      <c r="M20" s="45"/>
    </row>
    <row r="21" ht="16.5" customHeight="1">
      <c r="A21" s="891"/>
      <c r="B21" s="45"/>
      <c r="C21" s="891"/>
      <c r="D21" s="74"/>
      <c r="E21" s="74"/>
      <c r="F21" s="74"/>
      <c r="G21" s="74"/>
      <c r="H21" s="74"/>
      <c r="I21" s="74"/>
      <c r="J21" s="74"/>
      <c r="K21" s="74"/>
      <c r="L21" s="74"/>
      <c r="M21" s="45"/>
    </row>
    <row r="22" ht="16.5" customHeight="1">
      <c r="A22" s="891"/>
      <c r="B22" s="45"/>
      <c r="C22" s="891"/>
      <c r="D22" s="74"/>
      <c r="E22" s="74"/>
      <c r="F22" s="74"/>
      <c r="G22" s="74"/>
      <c r="H22" s="74"/>
      <c r="I22" s="74"/>
      <c r="J22" s="74"/>
      <c r="K22" s="74"/>
      <c r="L22" s="74"/>
      <c r="M22" s="45"/>
    </row>
    <row r="23" ht="16.5" customHeight="1">
      <c r="A23" s="891"/>
      <c r="B23" s="45"/>
      <c r="C23" s="891"/>
      <c r="D23" s="74"/>
      <c r="E23" s="74"/>
      <c r="F23" s="74"/>
      <c r="G23" s="74"/>
      <c r="H23" s="74"/>
      <c r="I23" s="74"/>
      <c r="J23" s="74"/>
      <c r="K23" s="74"/>
      <c r="L23" s="74"/>
      <c r="M23" s="45"/>
    </row>
    <row r="24" ht="16.5" customHeight="1">
      <c r="A24" s="891"/>
      <c r="B24" s="45"/>
      <c r="C24" s="891"/>
      <c r="D24" s="74"/>
      <c r="E24" s="74"/>
      <c r="F24" s="74"/>
      <c r="G24" s="74"/>
      <c r="H24" s="74"/>
      <c r="I24" s="74"/>
      <c r="J24" s="74"/>
      <c r="K24" s="74"/>
      <c r="L24" s="74"/>
      <c r="M24" s="45"/>
    </row>
    <row r="25" ht="16.5" customHeight="1">
      <c r="A25" s="891"/>
      <c r="B25" s="45"/>
      <c r="C25" s="891"/>
      <c r="D25" s="74"/>
      <c r="E25" s="74"/>
      <c r="F25" s="74"/>
      <c r="G25" s="74"/>
      <c r="H25" s="74"/>
      <c r="I25" s="74"/>
      <c r="J25" s="74"/>
      <c r="K25" s="74"/>
      <c r="L25" s="74"/>
      <c r="M25" s="45"/>
    </row>
    <row r="26" ht="16.5" customHeight="1">
      <c r="A26" s="891"/>
      <c r="B26" s="45"/>
      <c r="C26" s="891"/>
      <c r="D26" s="74"/>
      <c r="E26" s="74"/>
      <c r="F26" s="74"/>
      <c r="G26" s="74"/>
      <c r="H26" s="74"/>
      <c r="I26" s="74"/>
      <c r="J26" s="74"/>
      <c r="K26" s="74"/>
      <c r="L26" s="74"/>
      <c r="M26" s="45"/>
    </row>
    <row r="27" ht="16.5" customHeight="1">
      <c r="A27" s="891"/>
      <c r="B27" s="45"/>
      <c r="C27" s="891"/>
      <c r="D27" s="74"/>
      <c r="E27" s="74"/>
      <c r="F27" s="74"/>
      <c r="G27" s="74"/>
      <c r="H27" s="74"/>
      <c r="I27" s="74"/>
      <c r="J27" s="74"/>
      <c r="K27" s="74"/>
      <c r="L27" s="74"/>
      <c r="M27" s="45"/>
    </row>
    <row r="28" ht="16.5" customHeight="1">
      <c r="A28" s="891"/>
      <c r="B28" s="45"/>
      <c r="C28" s="891"/>
      <c r="D28" s="74"/>
      <c r="E28" s="74"/>
      <c r="F28" s="74"/>
      <c r="G28" s="74"/>
      <c r="H28" s="74"/>
      <c r="I28" s="74"/>
      <c r="J28" s="74"/>
      <c r="K28" s="74"/>
      <c r="L28" s="74"/>
      <c r="M28" s="45"/>
    </row>
    <row r="29" ht="16.5" customHeight="1">
      <c r="A29" s="891"/>
      <c r="B29" s="45"/>
      <c r="C29" s="891"/>
      <c r="D29" s="74"/>
      <c r="E29" s="74"/>
      <c r="F29" s="74"/>
      <c r="G29" s="74"/>
      <c r="H29" s="74"/>
      <c r="I29" s="74"/>
      <c r="J29" s="74"/>
      <c r="K29" s="74"/>
      <c r="L29" s="74"/>
      <c r="M29" s="45"/>
    </row>
    <row r="30" ht="16.5" customHeight="1">
      <c r="A30" s="891"/>
      <c r="B30" s="45"/>
      <c r="C30" s="891"/>
      <c r="D30" s="74"/>
      <c r="E30" s="74"/>
      <c r="F30" s="74"/>
      <c r="G30" s="74"/>
      <c r="H30" s="74"/>
      <c r="I30" s="74"/>
      <c r="J30" s="74"/>
      <c r="K30" s="74"/>
      <c r="L30" s="74"/>
      <c r="M30" s="45"/>
    </row>
    <row r="31" ht="16.5" customHeight="1">
      <c r="A31" s="891"/>
      <c r="B31" s="45"/>
      <c r="C31" s="891"/>
      <c r="D31" s="74"/>
      <c r="E31" s="74"/>
      <c r="F31" s="74"/>
      <c r="G31" s="74"/>
      <c r="H31" s="74"/>
      <c r="I31" s="74"/>
      <c r="J31" s="74"/>
      <c r="K31" s="74"/>
      <c r="L31" s="74"/>
      <c r="M31" s="45"/>
    </row>
    <row r="32">
      <c r="A32" s="891"/>
      <c r="B32" s="45"/>
      <c r="C32" s="891"/>
      <c r="D32" s="74"/>
      <c r="E32" s="74"/>
      <c r="F32" s="74"/>
      <c r="G32" s="74"/>
      <c r="H32" s="74"/>
      <c r="I32" s="74"/>
      <c r="J32" s="74"/>
      <c r="K32" s="74"/>
      <c r="L32" s="74"/>
      <c r="M32" s="45"/>
    </row>
    <row r="33" ht="18.75" customHeight="1">
      <c r="A33" s="891"/>
      <c r="B33" s="45"/>
      <c r="C33" s="891"/>
      <c r="D33" s="74"/>
      <c r="E33" s="74"/>
      <c r="F33" s="74"/>
      <c r="G33" s="74"/>
      <c r="H33" s="74"/>
      <c r="I33" s="74"/>
      <c r="J33" s="74"/>
      <c r="K33" s="74"/>
      <c r="L33" s="74"/>
      <c r="M33" s="45"/>
    </row>
    <row r="34" ht="18.0" customHeight="1">
      <c r="A34" s="891"/>
      <c r="B34" s="45"/>
      <c r="C34" s="891"/>
      <c r="D34" s="74"/>
      <c r="E34" s="74"/>
      <c r="F34" s="74"/>
      <c r="G34" s="74"/>
      <c r="H34" s="74"/>
      <c r="I34" s="74"/>
      <c r="J34" s="74"/>
      <c r="K34" s="74"/>
      <c r="L34" s="74"/>
      <c r="M34" s="45"/>
    </row>
    <row r="35" ht="16.5" customHeight="1">
      <c r="A35" s="891"/>
      <c r="B35" s="45"/>
      <c r="C35" s="891"/>
      <c r="D35" s="74"/>
      <c r="E35" s="74"/>
      <c r="F35" s="74"/>
      <c r="G35" s="74"/>
      <c r="H35" s="74"/>
      <c r="I35" s="74"/>
      <c r="J35" s="74"/>
      <c r="K35" s="74"/>
      <c r="L35" s="74"/>
      <c r="M35" s="45"/>
    </row>
    <row r="36" ht="16.5" customHeight="1">
      <c r="A36" s="891"/>
      <c r="B36" s="45"/>
      <c r="C36" s="891"/>
      <c r="D36" s="74"/>
      <c r="E36" s="74"/>
      <c r="F36" s="74"/>
      <c r="G36" s="74"/>
      <c r="H36" s="74"/>
      <c r="I36" s="74"/>
      <c r="J36" s="74"/>
      <c r="K36" s="74"/>
      <c r="L36" s="74"/>
      <c r="M36" s="45"/>
    </row>
    <row r="37" ht="16.5" customHeight="1">
      <c r="A37" s="891"/>
      <c r="B37" s="45"/>
      <c r="C37" s="891"/>
      <c r="D37" s="74"/>
      <c r="E37" s="74"/>
      <c r="F37" s="74"/>
      <c r="G37" s="74"/>
      <c r="H37" s="74"/>
      <c r="I37" s="74"/>
      <c r="J37" s="74"/>
      <c r="K37" s="74"/>
      <c r="L37" s="74"/>
      <c r="M37" s="45"/>
    </row>
    <row r="38" ht="16.5" customHeight="1">
      <c r="A38" s="891"/>
      <c r="B38" s="45"/>
      <c r="C38" s="891"/>
      <c r="D38" s="74"/>
      <c r="E38" s="74"/>
      <c r="F38" s="74"/>
      <c r="G38" s="74"/>
      <c r="H38" s="74"/>
      <c r="I38" s="74"/>
      <c r="J38" s="74"/>
      <c r="K38" s="74"/>
      <c r="L38" s="74"/>
      <c r="M38" s="45"/>
    </row>
    <row r="39">
      <c r="A39" s="891"/>
      <c r="B39" s="45"/>
      <c r="C39" s="891"/>
      <c r="D39" s="74"/>
      <c r="E39" s="74"/>
      <c r="F39" s="74"/>
      <c r="G39" s="74"/>
      <c r="H39" s="74"/>
      <c r="I39" s="74"/>
      <c r="J39" s="74"/>
      <c r="K39" s="74"/>
      <c r="L39" s="74"/>
      <c r="M39" s="45"/>
    </row>
    <row r="40" ht="18.75" customHeight="1">
      <c r="A40" s="891"/>
      <c r="B40" s="45"/>
      <c r="C40" s="891"/>
      <c r="D40" s="74"/>
      <c r="E40" s="74"/>
      <c r="F40" s="74"/>
      <c r="G40" s="74"/>
      <c r="H40" s="74"/>
      <c r="I40" s="74"/>
      <c r="J40" s="74"/>
      <c r="K40" s="74"/>
      <c r="L40" s="74"/>
      <c r="M40" s="45"/>
    </row>
    <row r="41" ht="19.5" customHeight="1">
      <c r="A41" s="891"/>
      <c r="B41" s="45"/>
      <c r="C41" s="891"/>
      <c r="D41" s="74"/>
      <c r="E41" s="74"/>
      <c r="F41" s="74"/>
      <c r="G41" s="74"/>
      <c r="H41" s="74"/>
      <c r="I41" s="74"/>
      <c r="J41" s="74"/>
      <c r="K41" s="74"/>
      <c r="L41" s="74"/>
      <c r="M41" s="45"/>
    </row>
    <row r="42" ht="27.75" customHeight="1">
      <c r="A42" s="891"/>
      <c r="B42" s="45"/>
      <c r="C42" s="891"/>
      <c r="D42" s="74"/>
      <c r="E42" s="74"/>
      <c r="F42" s="74"/>
      <c r="G42" s="74"/>
      <c r="H42" s="74"/>
      <c r="I42" s="74"/>
      <c r="J42" s="74"/>
      <c r="K42" s="74"/>
      <c r="L42" s="74"/>
      <c r="M42" s="45"/>
    </row>
    <row r="43" ht="26.25" customHeight="1">
      <c r="A43" s="891"/>
      <c r="B43" s="45"/>
      <c r="C43" s="891"/>
      <c r="D43" s="74"/>
      <c r="E43" s="74"/>
      <c r="F43" s="74"/>
      <c r="G43" s="74"/>
      <c r="H43" s="74"/>
      <c r="I43" s="74"/>
      <c r="J43" s="74"/>
      <c r="K43" s="74"/>
      <c r="L43" s="74"/>
      <c r="M43" s="45"/>
    </row>
    <row r="44" ht="21.75" customHeight="1">
      <c r="A44" s="891"/>
      <c r="B44" s="45"/>
      <c r="C44" s="891"/>
      <c r="D44" s="74"/>
      <c r="E44" s="74"/>
      <c r="F44" s="74"/>
      <c r="G44" s="74"/>
      <c r="H44" s="74"/>
      <c r="I44" s="74"/>
      <c r="J44" s="74"/>
      <c r="K44" s="74"/>
      <c r="L44" s="74"/>
      <c r="M44" s="45"/>
    </row>
    <row r="45">
      <c r="A45" s="891"/>
      <c r="B45" s="45"/>
      <c r="C45" s="891"/>
      <c r="D45" s="74"/>
      <c r="E45" s="74"/>
      <c r="F45" s="74"/>
      <c r="G45" s="74"/>
      <c r="H45" s="74"/>
      <c r="I45" s="74"/>
      <c r="J45" s="74"/>
      <c r="K45" s="74"/>
      <c r="L45" s="74"/>
      <c r="M45" s="45"/>
    </row>
    <row r="46">
      <c r="A46" s="1513" t="s">
        <v>326</v>
      </c>
      <c r="B46" s="74"/>
      <c r="C46" s="74"/>
      <c r="D46" s="74"/>
      <c r="E46" s="74"/>
      <c r="F46" s="74"/>
      <c r="G46" s="1514" t="s">
        <v>389</v>
      </c>
      <c r="H46" s="77"/>
      <c r="I46" s="77"/>
      <c r="J46" s="77"/>
      <c r="K46" s="77"/>
      <c r="L46" s="77"/>
      <c r="M46" s="1515" t="s">
        <v>332</v>
      </c>
    </row>
  </sheetData>
  <mergeCells count="92">
    <mergeCell ref="C26:M26"/>
    <mergeCell ref="C27:M27"/>
    <mergeCell ref="C19:M19"/>
    <mergeCell ref="C20:M20"/>
    <mergeCell ref="C21:M21"/>
    <mergeCell ref="C22:M22"/>
    <mergeCell ref="C23:M23"/>
    <mergeCell ref="C24:M24"/>
    <mergeCell ref="C25:M25"/>
    <mergeCell ref="C31:M31"/>
    <mergeCell ref="C32:M32"/>
    <mergeCell ref="A25:B25"/>
    <mergeCell ref="A26:B26"/>
    <mergeCell ref="A27:B27"/>
    <mergeCell ref="A28:B28"/>
    <mergeCell ref="C28:M28"/>
    <mergeCell ref="C29:M29"/>
    <mergeCell ref="C30:M30"/>
    <mergeCell ref="C35:M35"/>
    <mergeCell ref="C36:M36"/>
    <mergeCell ref="A29:B29"/>
    <mergeCell ref="A30:B30"/>
    <mergeCell ref="A31:B31"/>
    <mergeCell ref="A32:B32"/>
    <mergeCell ref="A33:B33"/>
    <mergeCell ref="C33:M33"/>
    <mergeCell ref="C34:M34"/>
    <mergeCell ref="A34:B34"/>
    <mergeCell ref="A35:B35"/>
    <mergeCell ref="A36:B36"/>
    <mergeCell ref="A37:B37"/>
    <mergeCell ref="C37:M37"/>
    <mergeCell ref="A38:B38"/>
    <mergeCell ref="C38:M38"/>
    <mergeCell ref="A39:B39"/>
    <mergeCell ref="C39:M39"/>
    <mergeCell ref="A40:B40"/>
    <mergeCell ref="C40:M40"/>
    <mergeCell ref="A41:B41"/>
    <mergeCell ref="C41:M41"/>
    <mergeCell ref="C42:M42"/>
    <mergeCell ref="A1:M1"/>
    <mergeCell ref="A2:E2"/>
    <mergeCell ref="F2:H2"/>
    <mergeCell ref="I2:J2"/>
    <mergeCell ref="F3:H3"/>
    <mergeCell ref="I3:J3"/>
    <mergeCell ref="A4:M4"/>
    <mergeCell ref="A3:E3"/>
    <mergeCell ref="A5:B5"/>
    <mergeCell ref="A6:B6"/>
    <mergeCell ref="A7:B7"/>
    <mergeCell ref="A8:B8"/>
    <mergeCell ref="A9:B9"/>
    <mergeCell ref="A10:B10"/>
    <mergeCell ref="C5:M5"/>
    <mergeCell ref="C6:M6"/>
    <mergeCell ref="C7:M7"/>
    <mergeCell ref="C8:M8"/>
    <mergeCell ref="C9:M9"/>
    <mergeCell ref="C10:M10"/>
    <mergeCell ref="C11:M11"/>
    <mergeCell ref="A11:B11"/>
    <mergeCell ref="A12:B12"/>
    <mergeCell ref="A13:B13"/>
    <mergeCell ref="A14:B14"/>
    <mergeCell ref="A15:B15"/>
    <mergeCell ref="A16:B16"/>
    <mergeCell ref="A17:B17"/>
    <mergeCell ref="C12:M12"/>
    <mergeCell ref="C13:M13"/>
    <mergeCell ref="C14:M14"/>
    <mergeCell ref="C15:M15"/>
    <mergeCell ref="C16:M16"/>
    <mergeCell ref="C17:M17"/>
    <mergeCell ref="C18:M18"/>
    <mergeCell ref="A18:B18"/>
    <mergeCell ref="A19:B19"/>
    <mergeCell ref="A20:B20"/>
    <mergeCell ref="A21:B21"/>
    <mergeCell ref="A22:B22"/>
    <mergeCell ref="A23:B23"/>
    <mergeCell ref="A24:B24"/>
    <mergeCell ref="A46:F46"/>
    <mergeCell ref="G46:L46"/>
    <mergeCell ref="A42:B42"/>
    <mergeCell ref="A43:B43"/>
    <mergeCell ref="C43:M43"/>
    <mergeCell ref="A44:B44"/>
    <mergeCell ref="C44:M44"/>
    <mergeCell ref="A45:B45"/>
    <mergeCell ref="C45:M45"/>
  </mergeCells>
  <printOptions gridLines="1" horizontalCentered="1"/>
  <pageMargins bottom="0.75" footer="0.0" header="0.0" left="0.7" right="0.7" top="0.75"/>
  <pageSetup fitToHeight="0" cellComments="atEnd" orientation="portrait" pageOrder="overThenDown"/>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8.0" topLeftCell="A9" activePane="bottomLeft" state="frozen"/>
      <selection activeCell="B10" sqref="B10" pane="bottomLeft"/>
    </sheetView>
  </sheetViews>
  <sheetFormatPr customHeight="1" defaultColWidth="12.63" defaultRowHeight="15.75"/>
  <cols>
    <col customWidth="1" min="1" max="1" width="5.13"/>
    <col customWidth="1" min="2" max="2" width="16.13"/>
    <col customWidth="1" min="3" max="3" width="5.38"/>
    <col customWidth="1" min="4" max="4" width="11.0"/>
    <col customWidth="1" min="5" max="5" width="30.88"/>
    <col customWidth="1" min="6" max="6" width="3.63"/>
    <col customWidth="1" min="7" max="41" width="2.88"/>
    <col customWidth="1" min="42" max="42" width="4.63"/>
    <col customWidth="1" min="43" max="43" width="12.88"/>
    <col customWidth="1" min="44" max="44" width="21.75"/>
    <col customWidth="1" min="45" max="45" width="13.25"/>
    <col customWidth="1" min="46" max="46" width="17.88"/>
  </cols>
  <sheetData>
    <row r="1" ht="13.5" customHeight="1">
      <c r="A1" s="1516" t="s">
        <v>2661</v>
      </c>
      <c r="B1" s="84"/>
      <c r="C1" s="84"/>
      <c r="D1" s="84"/>
      <c r="E1" s="84"/>
      <c r="F1" s="84"/>
      <c r="G1" s="84"/>
      <c r="H1" s="84"/>
      <c r="I1" s="84"/>
      <c r="J1" s="84"/>
      <c r="K1" s="84"/>
      <c r="L1" s="84"/>
      <c r="M1" s="84"/>
      <c r="N1" s="84"/>
      <c r="O1" s="84"/>
      <c r="P1" s="84"/>
      <c r="Q1" s="84"/>
      <c r="R1" s="84"/>
      <c r="S1" s="1517" t="s">
        <v>2596</v>
      </c>
      <c r="T1" s="84"/>
      <c r="U1" s="84"/>
      <c r="V1" s="84"/>
      <c r="W1" s="84"/>
      <c r="X1" s="84"/>
      <c r="Y1" s="84"/>
      <c r="Z1" s="84"/>
      <c r="AA1" s="84"/>
      <c r="AB1" s="84"/>
      <c r="AC1" s="84"/>
      <c r="AD1" s="84"/>
      <c r="AE1" s="84"/>
      <c r="AF1" s="1517" t="s">
        <v>2662</v>
      </c>
      <c r="AG1" s="84"/>
      <c r="AH1" s="84"/>
      <c r="AI1" s="84"/>
      <c r="AJ1" s="84"/>
      <c r="AK1" s="84"/>
      <c r="AL1" s="84"/>
      <c r="AM1" s="84"/>
      <c r="AN1" s="1517" t="s">
        <v>2663</v>
      </c>
      <c r="AO1" s="84"/>
      <c r="AP1" s="84"/>
      <c r="AQ1" s="84"/>
      <c r="AR1" s="84"/>
      <c r="AS1" s="84"/>
      <c r="AT1" s="86"/>
    </row>
    <row r="2" ht="13.5" customHeight="1">
      <c r="A2" s="107"/>
      <c r="S2" s="1518" t="str">
        <f>'101 General Info'!C2</f>
        <v>NO NAME</v>
      </c>
      <c r="AE2" s="94"/>
      <c r="AF2" s="1519">
        <f>AR2-1</f>
        <v>43892</v>
      </c>
      <c r="AN2" s="1520" t="s">
        <v>284</v>
      </c>
      <c r="AR2" s="1521">
        <f>'101 General Info'!D8</f>
        <v>43893</v>
      </c>
      <c r="AS2" s="1522" t="s">
        <v>130</v>
      </c>
      <c r="AT2" s="1523">
        <f>'101 General Info'!F8</f>
        <v>43894</v>
      </c>
    </row>
    <row r="3" ht="13.5" customHeight="1">
      <c r="A3" s="107"/>
      <c r="S3" s="166"/>
      <c r="AE3" s="94"/>
      <c r="AF3" s="1524" t="s">
        <v>2664</v>
      </c>
      <c r="AN3" s="1525"/>
      <c r="AT3" s="108"/>
    </row>
    <row r="4" ht="13.5" customHeight="1">
      <c r="A4" s="1192"/>
      <c r="B4" s="77"/>
      <c r="C4" s="77"/>
      <c r="D4" s="77"/>
      <c r="E4" s="77"/>
      <c r="F4" s="77"/>
      <c r="G4" s="77"/>
      <c r="H4" s="77"/>
      <c r="I4" s="77"/>
      <c r="J4" s="77"/>
      <c r="K4" s="77"/>
      <c r="L4" s="77"/>
      <c r="M4" s="77"/>
      <c r="N4" s="77"/>
      <c r="O4" s="77"/>
      <c r="P4" s="77"/>
      <c r="Q4" s="77"/>
      <c r="R4" s="77"/>
      <c r="S4" s="104"/>
      <c r="T4" s="77"/>
      <c r="U4" s="77"/>
      <c r="V4" s="77"/>
      <c r="W4" s="77"/>
      <c r="X4" s="77"/>
      <c r="Y4" s="77"/>
      <c r="Z4" s="77"/>
      <c r="AA4" s="77"/>
      <c r="AB4" s="77"/>
      <c r="AC4" s="77"/>
      <c r="AD4" s="77"/>
      <c r="AE4" s="55"/>
      <c r="AF4" s="1526">
        <v>1700.0</v>
      </c>
      <c r="AG4" s="77"/>
      <c r="AH4" s="77"/>
      <c r="AI4" s="77"/>
      <c r="AJ4" s="77"/>
      <c r="AK4" s="77"/>
      <c r="AL4" s="77"/>
      <c r="AM4" s="77"/>
      <c r="AN4" s="1527" t="s">
        <v>131</v>
      </c>
      <c r="AO4" s="77"/>
      <c r="AP4" s="77"/>
      <c r="AQ4" s="77"/>
      <c r="AR4" s="1528" t="str">
        <f>'101 General Info'!D9</f>
        <v>0700</v>
      </c>
      <c r="AS4" s="1529" t="s">
        <v>133</v>
      </c>
      <c r="AT4" s="1530" t="str">
        <f>'101 General Info'!F9</f>
        <v>0700</v>
      </c>
    </row>
    <row r="5" ht="13.5" customHeight="1">
      <c r="A5" s="1531">
        <v>4.0</v>
      </c>
      <c r="B5" s="210"/>
      <c r="C5" s="1532">
        <v>5.0</v>
      </c>
      <c r="D5" s="165"/>
      <c r="E5" s="165"/>
      <c r="F5" s="210"/>
      <c r="G5" s="1533" t="s">
        <v>2665</v>
      </c>
      <c r="H5" s="1534"/>
      <c r="I5" s="1534"/>
      <c r="J5" s="1534"/>
      <c r="K5" s="1534"/>
      <c r="L5" s="1534"/>
      <c r="M5" s="1534"/>
      <c r="N5" s="1534"/>
      <c r="O5" s="1534"/>
      <c r="P5" s="1534"/>
      <c r="Q5" s="1534"/>
      <c r="R5" s="1534"/>
      <c r="S5" s="1534"/>
      <c r="T5" s="1534"/>
      <c r="U5" s="1534"/>
      <c r="V5" s="1534"/>
      <c r="W5" s="1534"/>
      <c r="X5" s="1534"/>
      <c r="Y5" s="1534"/>
      <c r="Z5" s="1534"/>
      <c r="AA5" s="1534"/>
      <c r="AB5" s="1534"/>
      <c r="AC5" s="1534"/>
      <c r="AD5" s="1534"/>
      <c r="AE5" s="1534"/>
      <c r="AF5" s="1534"/>
      <c r="AG5" s="1534"/>
      <c r="AH5" s="1534"/>
      <c r="AI5" s="1534"/>
      <c r="AJ5" s="1534"/>
      <c r="AK5" s="1534"/>
      <c r="AL5" s="1534"/>
      <c r="AM5" s="1534"/>
      <c r="AN5" s="1534"/>
      <c r="AO5" s="1534"/>
      <c r="AP5" s="1534"/>
      <c r="AQ5" s="1535"/>
      <c r="AR5" s="1536">
        <v>6.0</v>
      </c>
      <c r="AS5" s="1537"/>
      <c r="AT5" s="1538">
        <v>7.0</v>
      </c>
    </row>
    <row r="6" ht="13.5" customHeight="1">
      <c r="A6" s="1539" t="s">
        <v>2666</v>
      </c>
      <c r="B6" s="94"/>
      <c r="F6" s="94"/>
      <c r="G6" s="1540"/>
      <c r="H6" s="77"/>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1541"/>
      <c r="AR6" s="1542" t="s">
        <v>448</v>
      </c>
      <c r="AS6" s="94"/>
      <c r="AT6" s="1543" t="s">
        <v>2667</v>
      </c>
    </row>
    <row r="7" ht="13.5" customHeight="1">
      <c r="A7" s="853" t="s">
        <v>1159</v>
      </c>
      <c r="B7" s="55"/>
      <c r="C7" s="1544" t="s">
        <v>112</v>
      </c>
      <c r="D7" s="77"/>
      <c r="E7" s="77"/>
      <c r="F7" s="77"/>
      <c r="G7" s="1545" t="s">
        <v>2234</v>
      </c>
      <c r="H7" s="135"/>
      <c r="I7" s="135"/>
      <c r="J7" s="135"/>
      <c r="K7" s="135"/>
      <c r="L7" s="135"/>
      <c r="M7" s="135"/>
      <c r="N7" s="1189"/>
      <c r="O7" s="1545" t="s">
        <v>2668</v>
      </c>
      <c r="P7" s="135"/>
      <c r="Q7" s="135"/>
      <c r="R7" s="1189"/>
      <c r="S7" s="1545" t="s">
        <v>2235</v>
      </c>
      <c r="T7" s="135"/>
      <c r="U7" s="135"/>
      <c r="V7" s="1189"/>
      <c r="W7" s="1545" t="s">
        <v>2669</v>
      </c>
      <c r="X7" s="135"/>
      <c r="Y7" s="135"/>
      <c r="Z7" s="135"/>
      <c r="AA7" s="135"/>
      <c r="AB7" s="1189"/>
      <c r="AC7" s="1545" t="s">
        <v>2670</v>
      </c>
      <c r="AD7" s="135"/>
      <c r="AE7" s="135"/>
      <c r="AF7" s="135"/>
      <c r="AG7" s="135"/>
      <c r="AH7" s="135"/>
      <c r="AI7" s="135"/>
      <c r="AJ7" s="1189"/>
      <c r="AK7" s="1545" t="s">
        <v>2671</v>
      </c>
      <c r="AL7" s="135"/>
      <c r="AM7" s="135"/>
      <c r="AN7" s="135"/>
      <c r="AO7" s="135"/>
      <c r="AP7" s="1189"/>
      <c r="AQ7" s="1546" t="s">
        <v>2671</v>
      </c>
      <c r="AR7" s="166"/>
      <c r="AS7" s="94"/>
      <c r="AT7" s="1547"/>
    </row>
    <row r="8" ht="13.5" customHeight="1">
      <c r="A8" s="1548"/>
      <c r="B8" s="94"/>
      <c r="C8" s="1549"/>
      <c r="G8" s="1550">
        <v>1.0</v>
      </c>
      <c r="H8" s="210"/>
      <c r="I8" s="1551">
        <v>2.0</v>
      </c>
      <c r="J8" s="210"/>
      <c r="K8" s="1551">
        <v>3.0</v>
      </c>
      <c r="L8" s="210"/>
      <c r="M8" s="1551">
        <v>4.0</v>
      </c>
      <c r="N8" s="517"/>
      <c r="O8" s="1546">
        <v>1.0</v>
      </c>
      <c r="P8" s="210"/>
      <c r="Q8" s="1551">
        <v>2.0</v>
      </c>
      <c r="R8" s="517"/>
      <c r="S8" s="1550">
        <v>1.0</v>
      </c>
      <c r="T8" s="210"/>
      <c r="U8" s="1551">
        <v>2.0</v>
      </c>
      <c r="V8" s="517"/>
      <c r="W8" s="1550" t="s">
        <v>235</v>
      </c>
      <c r="X8" s="210"/>
      <c r="Y8" s="1551" t="s">
        <v>2319</v>
      </c>
      <c r="Z8" s="210"/>
      <c r="AA8" s="1551" t="s">
        <v>2362</v>
      </c>
      <c r="AB8" s="517"/>
      <c r="AC8" s="1550" t="s">
        <v>241</v>
      </c>
      <c r="AD8" s="210"/>
      <c r="AE8" s="1551" t="s">
        <v>2407</v>
      </c>
      <c r="AF8" s="210"/>
      <c r="AG8" s="1551" t="s">
        <v>2452</v>
      </c>
      <c r="AH8" s="210"/>
      <c r="AI8" s="1551" t="s">
        <v>2220</v>
      </c>
      <c r="AJ8" s="517"/>
      <c r="AK8" s="1550" t="s">
        <v>243</v>
      </c>
      <c r="AL8" s="210"/>
      <c r="AM8" s="1551" t="s">
        <v>2403</v>
      </c>
      <c r="AN8" s="210"/>
      <c r="AO8" s="1551" t="s">
        <v>2672</v>
      </c>
      <c r="AP8" s="517"/>
      <c r="AQ8" s="77"/>
      <c r="AR8" s="166"/>
      <c r="AS8" s="94"/>
      <c r="AT8" s="1547"/>
    </row>
    <row r="9" ht="13.5" customHeight="1">
      <c r="A9" s="1552"/>
      <c r="B9" s="1553"/>
      <c r="C9" s="1554"/>
      <c r="D9" s="84"/>
      <c r="E9" s="84"/>
      <c r="F9" s="1555" t="s">
        <v>2673</v>
      </c>
      <c r="G9" s="1556"/>
      <c r="H9" s="1557" t="s">
        <v>2674</v>
      </c>
      <c r="I9" s="1558"/>
      <c r="J9" s="1559" t="s">
        <v>2674</v>
      </c>
      <c r="K9" s="1560"/>
      <c r="L9" s="1557" t="s">
        <v>2674</v>
      </c>
      <c r="M9" s="1558"/>
      <c r="N9" s="1557" t="s">
        <v>2674</v>
      </c>
      <c r="O9" s="1556"/>
      <c r="P9" s="1557" t="s">
        <v>2674</v>
      </c>
      <c r="Q9" s="1558"/>
      <c r="R9" s="1561" t="s">
        <v>2674</v>
      </c>
      <c r="S9" s="1560"/>
      <c r="T9" s="1559" t="s">
        <v>2674</v>
      </c>
      <c r="U9" s="1560"/>
      <c r="V9" s="1561" t="s">
        <v>2674</v>
      </c>
      <c r="W9" s="1562"/>
      <c r="X9" s="1055"/>
      <c r="Y9" s="1563"/>
      <c r="Z9" s="1055"/>
      <c r="AA9" s="1563"/>
      <c r="AB9" s="86"/>
      <c r="AC9" s="1564"/>
      <c r="AD9" s="1055"/>
      <c r="AE9" s="1563"/>
      <c r="AF9" s="1055"/>
      <c r="AG9" s="1563"/>
      <c r="AH9" s="1055"/>
      <c r="AI9" s="1563"/>
      <c r="AJ9" s="86"/>
      <c r="AK9" s="1564"/>
      <c r="AL9" s="1055"/>
      <c r="AM9" s="1563"/>
      <c r="AN9" s="1055"/>
      <c r="AO9" s="1563"/>
      <c r="AP9" s="86"/>
      <c r="AQ9" s="1565"/>
      <c r="AR9" s="1566" t="s">
        <v>2675</v>
      </c>
      <c r="AS9" s="1055"/>
      <c r="AT9" s="1567">
        <v>800.0</v>
      </c>
    </row>
    <row r="10" ht="13.5" customHeight="1">
      <c r="A10" s="1568"/>
      <c r="B10" s="1569"/>
      <c r="C10" s="166"/>
      <c r="F10" s="104"/>
      <c r="G10" s="1570" t="s">
        <v>2674</v>
      </c>
      <c r="H10" s="1571"/>
      <c r="I10" s="1572" t="s">
        <v>2674</v>
      </c>
      <c r="J10" s="1573"/>
      <c r="K10" s="1574" t="s">
        <v>2674</v>
      </c>
      <c r="L10" s="1571"/>
      <c r="M10" s="1572" t="s">
        <v>2674</v>
      </c>
      <c r="N10" s="1571"/>
      <c r="O10" s="1570" t="s">
        <v>2674</v>
      </c>
      <c r="P10" s="1571"/>
      <c r="Q10" s="1572" t="s">
        <v>2674</v>
      </c>
      <c r="R10" s="1575"/>
      <c r="S10" s="1574" t="s">
        <v>2674</v>
      </c>
      <c r="T10" s="1573"/>
      <c r="U10" s="1574" t="s">
        <v>2674</v>
      </c>
      <c r="V10" s="1575"/>
      <c r="W10" s="77"/>
      <c r="X10" s="55"/>
      <c r="Y10" s="104"/>
      <c r="Z10" s="55"/>
      <c r="AA10" s="104"/>
      <c r="AB10" s="78"/>
      <c r="AC10" s="1192"/>
      <c r="AD10" s="55"/>
      <c r="AE10" s="104"/>
      <c r="AF10" s="55"/>
      <c r="AG10" s="104"/>
      <c r="AH10" s="55"/>
      <c r="AI10" s="104"/>
      <c r="AJ10" s="78"/>
      <c r="AK10" s="1192"/>
      <c r="AL10" s="55"/>
      <c r="AM10" s="104"/>
      <c r="AN10" s="55"/>
      <c r="AO10" s="104"/>
      <c r="AP10" s="78"/>
      <c r="AQ10" s="1576"/>
      <c r="AR10" s="166"/>
      <c r="AS10" s="94"/>
      <c r="AT10" s="1547"/>
    </row>
    <row r="11" ht="13.5" customHeight="1">
      <c r="A11" s="1568"/>
      <c r="B11" s="1569"/>
      <c r="C11" s="1577"/>
      <c r="F11" s="1578" t="s">
        <v>2676</v>
      </c>
      <c r="G11" s="1579"/>
      <c r="H11" s="1580" t="s">
        <v>2674</v>
      </c>
      <c r="I11" s="1581"/>
      <c r="J11" s="1582" t="s">
        <v>2674</v>
      </c>
      <c r="K11" s="1583"/>
      <c r="L11" s="1580" t="s">
        <v>2674</v>
      </c>
      <c r="M11" s="1581"/>
      <c r="N11" s="1580" t="s">
        <v>2674</v>
      </c>
      <c r="O11" s="1579"/>
      <c r="P11" s="1580" t="s">
        <v>2674</v>
      </c>
      <c r="Q11" s="1581"/>
      <c r="R11" s="1584" t="s">
        <v>2674</v>
      </c>
      <c r="S11" s="1583"/>
      <c r="T11" s="1582" t="s">
        <v>2674</v>
      </c>
      <c r="U11" s="1583"/>
      <c r="V11" s="1584" t="s">
        <v>2674</v>
      </c>
      <c r="W11" s="1585"/>
      <c r="X11" s="165"/>
      <c r="Y11" s="1586"/>
      <c r="Z11" s="165"/>
      <c r="AA11" s="1586"/>
      <c r="AB11" s="165"/>
      <c r="AC11" s="1587"/>
      <c r="AD11" s="165"/>
      <c r="AE11" s="1586"/>
      <c r="AF11" s="165"/>
      <c r="AG11" s="1586"/>
      <c r="AH11" s="165"/>
      <c r="AI11" s="1586"/>
      <c r="AJ11" s="165"/>
      <c r="AK11" s="1587"/>
      <c r="AL11" s="165"/>
      <c r="AM11" s="1586"/>
      <c r="AN11" s="165"/>
      <c r="AO11" s="1586"/>
      <c r="AP11" s="165"/>
      <c r="AQ11" s="1588"/>
      <c r="AR11" s="166"/>
      <c r="AS11" s="94"/>
      <c r="AT11" s="1547"/>
    </row>
    <row r="12" ht="13.5" customHeight="1">
      <c r="A12" s="1568"/>
      <c r="B12" s="1569"/>
      <c r="C12" s="166"/>
      <c r="F12" s="104"/>
      <c r="G12" s="1589" t="s">
        <v>2674</v>
      </c>
      <c r="H12" s="1590"/>
      <c r="I12" s="1591" t="s">
        <v>2674</v>
      </c>
      <c r="J12" s="1592"/>
      <c r="K12" s="1593" t="s">
        <v>2674</v>
      </c>
      <c r="L12" s="1590"/>
      <c r="M12" s="1591" t="s">
        <v>2674</v>
      </c>
      <c r="N12" s="1590"/>
      <c r="O12" s="1589" t="s">
        <v>2674</v>
      </c>
      <c r="P12" s="1590"/>
      <c r="Q12" s="1591" t="s">
        <v>2674</v>
      </c>
      <c r="R12" s="1594"/>
      <c r="S12" s="1593" t="s">
        <v>2674</v>
      </c>
      <c r="T12" s="1592"/>
      <c r="U12" s="1593" t="s">
        <v>2674</v>
      </c>
      <c r="V12" s="1594"/>
      <c r="Y12" s="166"/>
      <c r="AA12" s="166"/>
      <c r="AC12" s="107"/>
      <c r="AE12" s="166"/>
      <c r="AG12" s="166"/>
      <c r="AI12" s="166"/>
      <c r="AK12" s="107"/>
      <c r="AM12" s="166"/>
      <c r="AO12" s="166"/>
      <c r="AQ12" s="1576"/>
      <c r="AR12" s="166"/>
      <c r="AS12" s="94"/>
      <c r="AT12" s="1547"/>
    </row>
    <row r="13" ht="13.5" customHeight="1">
      <c r="A13" s="1568"/>
      <c r="B13" s="1569"/>
      <c r="C13" s="1577"/>
      <c r="F13" s="1578" t="s">
        <v>2677</v>
      </c>
      <c r="G13" s="1595"/>
      <c r="H13" s="1574" t="s">
        <v>2674</v>
      </c>
      <c r="I13" s="1596"/>
      <c r="J13" s="1597" t="s">
        <v>2674</v>
      </c>
      <c r="K13" s="1571"/>
      <c r="L13" s="1574" t="s">
        <v>2674</v>
      </c>
      <c r="M13" s="1596"/>
      <c r="N13" s="1574" t="s">
        <v>2674</v>
      </c>
      <c r="O13" s="1595"/>
      <c r="P13" s="1574" t="s">
        <v>2674</v>
      </c>
      <c r="Q13" s="1596"/>
      <c r="R13" s="1598" t="s">
        <v>2674</v>
      </c>
      <c r="S13" s="1571"/>
      <c r="T13" s="1597" t="s">
        <v>2674</v>
      </c>
      <c r="U13" s="1571"/>
      <c r="V13" s="1598" t="s">
        <v>2674</v>
      </c>
      <c r="W13" s="1585"/>
      <c r="X13" s="165"/>
      <c r="Y13" s="1586"/>
      <c r="Z13" s="165"/>
      <c r="AA13" s="1586"/>
      <c r="AB13" s="165"/>
      <c r="AC13" s="1587"/>
      <c r="AD13" s="165"/>
      <c r="AE13" s="1586"/>
      <c r="AF13" s="165"/>
      <c r="AG13" s="1586"/>
      <c r="AH13" s="165"/>
      <c r="AI13" s="1586"/>
      <c r="AJ13" s="165"/>
      <c r="AK13" s="1587"/>
      <c r="AL13" s="165"/>
      <c r="AM13" s="1586"/>
      <c r="AN13" s="165"/>
      <c r="AO13" s="1586"/>
      <c r="AP13" s="165"/>
      <c r="AQ13" s="1588"/>
      <c r="AR13" s="166"/>
      <c r="AS13" s="94"/>
      <c r="AT13" s="1547"/>
    </row>
    <row r="14" ht="13.5" customHeight="1">
      <c r="A14" s="1568"/>
      <c r="B14" s="1599"/>
      <c r="C14" s="166"/>
      <c r="F14" s="1600"/>
      <c r="G14" s="1601" t="s">
        <v>2674</v>
      </c>
      <c r="H14" s="1602"/>
      <c r="I14" s="1603" t="s">
        <v>2674</v>
      </c>
      <c r="J14" s="1604"/>
      <c r="K14" s="1605" t="s">
        <v>2674</v>
      </c>
      <c r="L14" s="1602"/>
      <c r="M14" s="1603" t="s">
        <v>2674</v>
      </c>
      <c r="N14" s="1602"/>
      <c r="O14" s="1601" t="s">
        <v>2674</v>
      </c>
      <c r="P14" s="1602"/>
      <c r="Q14" s="1603" t="s">
        <v>2674</v>
      </c>
      <c r="R14" s="1606"/>
      <c r="S14" s="1605" t="s">
        <v>2674</v>
      </c>
      <c r="T14" s="1604"/>
      <c r="U14" s="1605" t="s">
        <v>2674</v>
      </c>
      <c r="V14" s="1606"/>
      <c r="Y14" s="166"/>
      <c r="AA14" s="166"/>
      <c r="AC14" s="107"/>
      <c r="AE14" s="166"/>
      <c r="AG14" s="166"/>
      <c r="AI14" s="166"/>
      <c r="AK14" s="107"/>
      <c r="AM14" s="166"/>
      <c r="AO14" s="166"/>
      <c r="AQ14" s="1599"/>
      <c r="AR14" s="1600"/>
      <c r="AS14" s="161"/>
      <c r="AT14" s="1607"/>
    </row>
    <row r="15" ht="13.5" customHeight="1">
      <c r="A15" s="1568"/>
      <c r="B15" s="1553"/>
      <c r="C15" s="1554"/>
      <c r="D15" s="84"/>
      <c r="E15" s="84"/>
      <c r="F15" s="1555" t="s">
        <v>2673</v>
      </c>
      <c r="G15" s="1595"/>
      <c r="H15" s="1574" t="s">
        <v>2674</v>
      </c>
      <c r="I15" s="1596"/>
      <c r="J15" s="1597" t="s">
        <v>2674</v>
      </c>
      <c r="K15" s="1571"/>
      <c r="L15" s="1574" t="s">
        <v>2674</v>
      </c>
      <c r="M15" s="1596"/>
      <c r="N15" s="1574" t="s">
        <v>2674</v>
      </c>
      <c r="O15" s="1595"/>
      <c r="P15" s="1574" t="s">
        <v>2674</v>
      </c>
      <c r="Q15" s="1596"/>
      <c r="R15" s="1598" t="s">
        <v>2674</v>
      </c>
      <c r="S15" s="1571"/>
      <c r="T15" s="1597" t="s">
        <v>2674</v>
      </c>
      <c r="U15" s="1571"/>
      <c r="V15" s="1598" t="s">
        <v>2674</v>
      </c>
      <c r="W15" s="1562"/>
      <c r="X15" s="1055"/>
      <c r="Y15" s="1563"/>
      <c r="Z15" s="1055"/>
      <c r="AA15" s="1563"/>
      <c r="AB15" s="86"/>
      <c r="AC15" s="1564"/>
      <c r="AD15" s="1055"/>
      <c r="AE15" s="1563"/>
      <c r="AF15" s="1055"/>
      <c r="AG15" s="1563"/>
      <c r="AH15" s="1055"/>
      <c r="AI15" s="1563"/>
      <c r="AJ15" s="86"/>
      <c r="AK15" s="1564"/>
      <c r="AL15" s="1055"/>
      <c r="AM15" s="1563"/>
      <c r="AN15" s="1055"/>
      <c r="AO15" s="1563"/>
      <c r="AP15" s="86"/>
      <c r="AQ15" s="1565"/>
      <c r="AR15" s="1566" t="s">
        <v>2675</v>
      </c>
      <c r="AS15" s="1055"/>
      <c r="AT15" s="1567">
        <v>800.0</v>
      </c>
    </row>
    <row r="16" ht="13.5" customHeight="1">
      <c r="A16" s="1568"/>
      <c r="B16" s="1569"/>
      <c r="C16" s="166"/>
      <c r="F16" s="104"/>
      <c r="G16" s="1570" t="s">
        <v>2674</v>
      </c>
      <c r="H16" s="1571"/>
      <c r="I16" s="1572" t="s">
        <v>2674</v>
      </c>
      <c r="J16" s="1573"/>
      <c r="K16" s="1574" t="s">
        <v>2674</v>
      </c>
      <c r="L16" s="1571"/>
      <c r="M16" s="1572" t="s">
        <v>2674</v>
      </c>
      <c r="N16" s="1571"/>
      <c r="O16" s="1570" t="s">
        <v>2674</v>
      </c>
      <c r="P16" s="1571"/>
      <c r="Q16" s="1572" t="s">
        <v>2674</v>
      </c>
      <c r="R16" s="1575"/>
      <c r="S16" s="1574" t="s">
        <v>2674</v>
      </c>
      <c r="T16" s="1573"/>
      <c r="U16" s="1574" t="s">
        <v>2674</v>
      </c>
      <c r="V16" s="1575"/>
      <c r="W16" s="77"/>
      <c r="X16" s="55"/>
      <c r="Y16" s="104"/>
      <c r="Z16" s="55"/>
      <c r="AA16" s="104"/>
      <c r="AB16" s="78"/>
      <c r="AC16" s="1192"/>
      <c r="AD16" s="55"/>
      <c r="AE16" s="104"/>
      <c r="AF16" s="55"/>
      <c r="AG16" s="104"/>
      <c r="AH16" s="55"/>
      <c r="AI16" s="104"/>
      <c r="AJ16" s="78"/>
      <c r="AK16" s="1192"/>
      <c r="AL16" s="55"/>
      <c r="AM16" s="104"/>
      <c r="AN16" s="55"/>
      <c r="AO16" s="104"/>
      <c r="AP16" s="78"/>
      <c r="AQ16" s="1576"/>
      <c r="AR16" s="166"/>
      <c r="AS16" s="94"/>
      <c r="AT16" s="1547"/>
    </row>
    <row r="17" ht="13.5" customHeight="1">
      <c r="A17" s="1568"/>
      <c r="B17" s="1569"/>
      <c r="C17" s="1577"/>
      <c r="F17" s="1578" t="s">
        <v>2676</v>
      </c>
      <c r="G17" s="1579"/>
      <c r="H17" s="1580" t="s">
        <v>2674</v>
      </c>
      <c r="I17" s="1581"/>
      <c r="J17" s="1582" t="s">
        <v>2674</v>
      </c>
      <c r="K17" s="1583"/>
      <c r="L17" s="1580" t="s">
        <v>2674</v>
      </c>
      <c r="M17" s="1581"/>
      <c r="N17" s="1580" t="s">
        <v>2674</v>
      </c>
      <c r="O17" s="1579"/>
      <c r="P17" s="1580" t="s">
        <v>2674</v>
      </c>
      <c r="Q17" s="1581"/>
      <c r="R17" s="1584" t="s">
        <v>2674</v>
      </c>
      <c r="S17" s="1583"/>
      <c r="T17" s="1582" t="s">
        <v>2674</v>
      </c>
      <c r="U17" s="1583"/>
      <c r="V17" s="1584" t="s">
        <v>2674</v>
      </c>
      <c r="W17" s="1585"/>
      <c r="X17" s="165"/>
      <c r="Y17" s="1586"/>
      <c r="Z17" s="165"/>
      <c r="AA17" s="1586"/>
      <c r="AB17" s="165"/>
      <c r="AC17" s="1587"/>
      <c r="AD17" s="165"/>
      <c r="AE17" s="1586"/>
      <c r="AF17" s="165"/>
      <c r="AG17" s="1586"/>
      <c r="AH17" s="165"/>
      <c r="AI17" s="1586"/>
      <c r="AJ17" s="165"/>
      <c r="AK17" s="1587"/>
      <c r="AL17" s="165"/>
      <c r="AM17" s="1586"/>
      <c r="AN17" s="165"/>
      <c r="AO17" s="1586"/>
      <c r="AP17" s="165"/>
      <c r="AQ17" s="1588"/>
      <c r="AR17" s="166"/>
      <c r="AS17" s="94"/>
      <c r="AT17" s="1547"/>
    </row>
    <row r="18" ht="13.5" customHeight="1">
      <c r="A18" s="1568"/>
      <c r="B18" s="1569"/>
      <c r="C18" s="166"/>
      <c r="F18" s="104"/>
      <c r="G18" s="1589" t="s">
        <v>2674</v>
      </c>
      <c r="H18" s="1590"/>
      <c r="I18" s="1591" t="s">
        <v>2674</v>
      </c>
      <c r="J18" s="1592"/>
      <c r="K18" s="1593" t="s">
        <v>2674</v>
      </c>
      <c r="L18" s="1590"/>
      <c r="M18" s="1591" t="s">
        <v>2674</v>
      </c>
      <c r="N18" s="1590"/>
      <c r="O18" s="1589" t="s">
        <v>2674</v>
      </c>
      <c r="P18" s="1590"/>
      <c r="Q18" s="1591" t="s">
        <v>2674</v>
      </c>
      <c r="R18" s="1594"/>
      <c r="S18" s="1593" t="s">
        <v>2674</v>
      </c>
      <c r="T18" s="1592"/>
      <c r="U18" s="1593" t="s">
        <v>2674</v>
      </c>
      <c r="V18" s="1594"/>
      <c r="Y18" s="166"/>
      <c r="AA18" s="166"/>
      <c r="AC18" s="107"/>
      <c r="AE18" s="166"/>
      <c r="AG18" s="166"/>
      <c r="AI18" s="166"/>
      <c r="AK18" s="107"/>
      <c r="AM18" s="166"/>
      <c r="AO18" s="166"/>
      <c r="AQ18" s="1576"/>
      <c r="AR18" s="166"/>
      <c r="AS18" s="94"/>
      <c r="AT18" s="1547"/>
    </row>
    <row r="19" ht="13.5" customHeight="1">
      <c r="A19" s="1568"/>
      <c r="B19" s="1569"/>
      <c r="C19" s="1577"/>
      <c r="F19" s="1578" t="s">
        <v>2677</v>
      </c>
      <c r="G19" s="1595"/>
      <c r="H19" s="1574" t="s">
        <v>2674</v>
      </c>
      <c r="I19" s="1596"/>
      <c r="J19" s="1597" t="s">
        <v>2674</v>
      </c>
      <c r="K19" s="1571"/>
      <c r="L19" s="1574" t="s">
        <v>2674</v>
      </c>
      <c r="M19" s="1596"/>
      <c r="N19" s="1574" t="s">
        <v>2674</v>
      </c>
      <c r="O19" s="1595"/>
      <c r="P19" s="1574" t="s">
        <v>2674</v>
      </c>
      <c r="Q19" s="1596"/>
      <c r="R19" s="1598" t="s">
        <v>2674</v>
      </c>
      <c r="S19" s="1571"/>
      <c r="T19" s="1597" t="s">
        <v>2674</v>
      </c>
      <c r="U19" s="1571"/>
      <c r="V19" s="1598" t="s">
        <v>2674</v>
      </c>
      <c r="W19" s="1585"/>
      <c r="X19" s="165"/>
      <c r="Y19" s="1586"/>
      <c r="Z19" s="165"/>
      <c r="AA19" s="1586"/>
      <c r="AB19" s="165"/>
      <c r="AC19" s="1587"/>
      <c r="AD19" s="165"/>
      <c r="AE19" s="1586"/>
      <c r="AF19" s="165"/>
      <c r="AG19" s="1586"/>
      <c r="AH19" s="165"/>
      <c r="AI19" s="1586"/>
      <c r="AJ19" s="165"/>
      <c r="AK19" s="1587"/>
      <c r="AL19" s="165"/>
      <c r="AM19" s="1586"/>
      <c r="AN19" s="165"/>
      <c r="AO19" s="1586"/>
      <c r="AP19" s="165"/>
      <c r="AQ19" s="1588"/>
      <c r="AR19" s="166"/>
      <c r="AS19" s="94"/>
      <c r="AT19" s="1547"/>
    </row>
    <row r="20" ht="13.5" customHeight="1">
      <c r="A20" s="1568"/>
      <c r="B20" s="1599"/>
      <c r="C20" s="166"/>
      <c r="F20" s="1600"/>
      <c r="G20" s="1570" t="s">
        <v>2674</v>
      </c>
      <c r="H20" s="1571"/>
      <c r="I20" s="1572" t="s">
        <v>2674</v>
      </c>
      <c r="J20" s="1573"/>
      <c r="K20" s="1574" t="s">
        <v>2674</v>
      </c>
      <c r="L20" s="1571"/>
      <c r="M20" s="1572" t="s">
        <v>2674</v>
      </c>
      <c r="N20" s="1571"/>
      <c r="O20" s="1570" t="s">
        <v>2674</v>
      </c>
      <c r="P20" s="1571"/>
      <c r="Q20" s="1572" t="s">
        <v>2674</v>
      </c>
      <c r="R20" s="1575"/>
      <c r="S20" s="1574" t="s">
        <v>2674</v>
      </c>
      <c r="T20" s="1573"/>
      <c r="U20" s="1574" t="s">
        <v>2674</v>
      </c>
      <c r="V20" s="1575"/>
      <c r="Y20" s="166"/>
      <c r="AA20" s="166"/>
      <c r="AC20" s="107"/>
      <c r="AE20" s="166"/>
      <c r="AG20" s="166"/>
      <c r="AI20" s="166"/>
      <c r="AK20" s="107"/>
      <c r="AM20" s="166"/>
      <c r="AO20" s="166"/>
      <c r="AQ20" s="1599"/>
      <c r="AR20" s="1600"/>
      <c r="AS20" s="161"/>
      <c r="AT20" s="1607"/>
    </row>
    <row r="21" ht="13.5" customHeight="1">
      <c r="A21" s="1568"/>
      <c r="B21" s="1553"/>
      <c r="C21" s="1554"/>
      <c r="D21" s="84"/>
      <c r="E21" s="84"/>
      <c r="F21" s="1555" t="s">
        <v>2673</v>
      </c>
      <c r="G21" s="1556"/>
      <c r="H21" s="1557" t="s">
        <v>2674</v>
      </c>
      <c r="I21" s="1558"/>
      <c r="J21" s="1559" t="s">
        <v>2674</v>
      </c>
      <c r="K21" s="1560"/>
      <c r="L21" s="1557" t="s">
        <v>2674</v>
      </c>
      <c r="M21" s="1558"/>
      <c r="N21" s="1557" t="s">
        <v>2674</v>
      </c>
      <c r="O21" s="1556"/>
      <c r="P21" s="1557" t="s">
        <v>2674</v>
      </c>
      <c r="Q21" s="1558"/>
      <c r="R21" s="1561" t="s">
        <v>2674</v>
      </c>
      <c r="S21" s="1560"/>
      <c r="T21" s="1559" t="s">
        <v>2674</v>
      </c>
      <c r="U21" s="1560"/>
      <c r="V21" s="1561" t="s">
        <v>2674</v>
      </c>
      <c r="W21" s="1562"/>
      <c r="X21" s="1055"/>
      <c r="Y21" s="1563"/>
      <c r="Z21" s="1055"/>
      <c r="AA21" s="1563"/>
      <c r="AB21" s="86"/>
      <c r="AC21" s="1564"/>
      <c r="AD21" s="1055"/>
      <c r="AE21" s="1563"/>
      <c r="AF21" s="1055"/>
      <c r="AG21" s="1563"/>
      <c r="AH21" s="1055"/>
      <c r="AI21" s="1563"/>
      <c r="AJ21" s="86"/>
      <c r="AK21" s="1564"/>
      <c r="AL21" s="1055"/>
      <c r="AM21" s="1563"/>
      <c r="AN21" s="1055"/>
      <c r="AO21" s="1563"/>
      <c r="AP21" s="86"/>
      <c r="AQ21" s="1565"/>
      <c r="AR21" s="1566" t="s">
        <v>2678</v>
      </c>
      <c r="AS21" s="1055"/>
      <c r="AT21" s="1567">
        <v>800.0</v>
      </c>
    </row>
    <row r="22" ht="13.5" customHeight="1">
      <c r="A22" s="1568"/>
      <c r="B22" s="1569"/>
      <c r="C22" s="166"/>
      <c r="F22" s="104"/>
      <c r="G22" s="1570" t="s">
        <v>2674</v>
      </c>
      <c r="H22" s="1571"/>
      <c r="I22" s="1572" t="s">
        <v>2674</v>
      </c>
      <c r="J22" s="1573"/>
      <c r="K22" s="1574" t="s">
        <v>2674</v>
      </c>
      <c r="L22" s="1571"/>
      <c r="M22" s="1572" t="s">
        <v>2674</v>
      </c>
      <c r="N22" s="1571"/>
      <c r="O22" s="1570" t="s">
        <v>2674</v>
      </c>
      <c r="P22" s="1571"/>
      <c r="Q22" s="1572" t="s">
        <v>2674</v>
      </c>
      <c r="R22" s="1575"/>
      <c r="S22" s="1574" t="s">
        <v>2674</v>
      </c>
      <c r="T22" s="1573"/>
      <c r="U22" s="1574" t="s">
        <v>2674</v>
      </c>
      <c r="V22" s="1575"/>
      <c r="W22" s="77"/>
      <c r="X22" s="55"/>
      <c r="Y22" s="104"/>
      <c r="Z22" s="55"/>
      <c r="AA22" s="104"/>
      <c r="AB22" s="78"/>
      <c r="AC22" s="1192"/>
      <c r="AD22" s="55"/>
      <c r="AE22" s="104"/>
      <c r="AF22" s="55"/>
      <c r="AG22" s="104"/>
      <c r="AH22" s="55"/>
      <c r="AI22" s="104"/>
      <c r="AJ22" s="78"/>
      <c r="AK22" s="1192"/>
      <c r="AL22" s="55"/>
      <c r="AM22" s="104"/>
      <c r="AN22" s="55"/>
      <c r="AO22" s="104"/>
      <c r="AP22" s="78"/>
      <c r="AQ22" s="1576"/>
      <c r="AR22" s="166"/>
      <c r="AS22" s="94"/>
      <c r="AT22" s="1547"/>
    </row>
    <row r="23" ht="13.5" customHeight="1">
      <c r="A23" s="1568"/>
      <c r="B23" s="1569"/>
      <c r="C23" s="1577"/>
      <c r="F23" s="1578" t="s">
        <v>2676</v>
      </c>
      <c r="G23" s="1579"/>
      <c r="H23" s="1580" t="s">
        <v>2674</v>
      </c>
      <c r="I23" s="1581"/>
      <c r="J23" s="1582" t="s">
        <v>2674</v>
      </c>
      <c r="K23" s="1583"/>
      <c r="L23" s="1580" t="s">
        <v>2674</v>
      </c>
      <c r="M23" s="1581"/>
      <c r="N23" s="1580" t="s">
        <v>2674</v>
      </c>
      <c r="O23" s="1579"/>
      <c r="P23" s="1580" t="s">
        <v>2674</v>
      </c>
      <c r="Q23" s="1581"/>
      <c r="R23" s="1584" t="s">
        <v>2674</v>
      </c>
      <c r="S23" s="1583"/>
      <c r="T23" s="1582" t="s">
        <v>2674</v>
      </c>
      <c r="U23" s="1583"/>
      <c r="V23" s="1584" t="s">
        <v>2674</v>
      </c>
      <c r="W23" s="1585"/>
      <c r="X23" s="165"/>
      <c r="Y23" s="1586"/>
      <c r="Z23" s="165"/>
      <c r="AA23" s="1586"/>
      <c r="AB23" s="165"/>
      <c r="AC23" s="1587"/>
      <c r="AD23" s="165"/>
      <c r="AE23" s="1586"/>
      <c r="AF23" s="165"/>
      <c r="AG23" s="1586"/>
      <c r="AH23" s="165"/>
      <c r="AI23" s="1586"/>
      <c r="AJ23" s="165"/>
      <c r="AK23" s="1587"/>
      <c r="AL23" s="165"/>
      <c r="AM23" s="1586"/>
      <c r="AN23" s="165"/>
      <c r="AO23" s="1586"/>
      <c r="AP23" s="165"/>
      <c r="AQ23" s="1588"/>
      <c r="AR23" s="166"/>
      <c r="AS23" s="94"/>
      <c r="AT23" s="1547"/>
    </row>
    <row r="24" ht="13.5" customHeight="1">
      <c r="A24" s="1568"/>
      <c r="B24" s="1569"/>
      <c r="C24" s="166"/>
      <c r="F24" s="104"/>
      <c r="G24" s="1589" t="s">
        <v>2674</v>
      </c>
      <c r="H24" s="1590"/>
      <c r="I24" s="1591" t="s">
        <v>2674</v>
      </c>
      <c r="J24" s="1592"/>
      <c r="K24" s="1593" t="s">
        <v>2674</v>
      </c>
      <c r="L24" s="1590"/>
      <c r="M24" s="1591" t="s">
        <v>2674</v>
      </c>
      <c r="N24" s="1590"/>
      <c r="O24" s="1589" t="s">
        <v>2674</v>
      </c>
      <c r="P24" s="1590"/>
      <c r="Q24" s="1591" t="s">
        <v>2674</v>
      </c>
      <c r="R24" s="1594"/>
      <c r="S24" s="1593" t="s">
        <v>2674</v>
      </c>
      <c r="T24" s="1592"/>
      <c r="U24" s="1593" t="s">
        <v>2674</v>
      </c>
      <c r="V24" s="1594"/>
      <c r="Y24" s="166"/>
      <c r="AA24" s="166"/>
      <c r="AC24" s="107"/>
      <c r="AE24" s="166"/>
      <c r="AG24" s="166"/>
      <c r="AI24" s="166"/>
      <c r="AK24" s="107"/>
      <c r="AM24" s="166"/>
      <c r="AO24" s="166"/>
      <c r="AQ24" s="1576"/>
      <c r="AR24" s="166"/>
      <c r="AS24" s="94"/>
      <c r="AT24" s="1547"/>
    </row>
    <row r="25" ht="13.5" customHeight="1">
      <c r="A25" s="1568"/>
      <c r="B25" s="1569"/>
      <c r="C25" s="1577"/>
      <c r="F25" s="1578" t="s">
        <v>2677</v>
      </c>
      <c r="G25" s="1595"/>
      <c r="H25" s="1574" t="s">
        <v>2674</v>
      </c>
      <c r="I25" s="1596"/>
      <c r="J25" s="1597" t="s">
        <v>2674</v>
      </c>
      <c r="K25" s="1571"/>
      <c r="L25" s="1574" t="s">
        <v>2674</v>
      </c>
      <c r="M25" s="1608"/>
      <c r="N25" s="1574" t="s">
        <v>2674</v>
      </c>
      <c r="O25" s="1595"/>
      <c r="P25" s="1574" t="s">
        <v>2674</v>
      </c>
      <c r="Q25" s="1596"/>
      <c r="R25" s="1598" t="s">
        <v>2674</v>
      </c>
      <c r="S25" s="1571"/>
      <c r="T25" s="1597" t="s">
        <v>2674</v>
      </c>
      <c r="U25" s="1571"/>
      <c r="V25" s="1598" t="s">
        <v>2674</v>
      </c>
      <c r="W25" s="1585"/>
      <c r="X25" s="165"/>
      <c r="Y25" s="1586"/>
      <c r="Z25" s="165"/>
      <c r="AA25" s="1586"/>
      <c r="AB25" s="165"/>
      <c r="AC25" s="1587"/>
      <c r="AD25" s="165"/>
      <c r="AE25" s="1586"/>
      <c r="AF25" s="165"/>
      <c r="AG25" s="1586"/>
      <c r="AH25" s="165"/>
      <c r="AI25" s="1586"/>
      <c r="AJ25" s="165"/>
      <c r="AK25" s="1587"/>
      <c r="AL25" s="165"/>
      <c r="AM25" s="1586"/>
      <c r="AN25" s="165"/>
      <c r="AO25" s="1586"/>
      <c r="AP25" s="165"/>
      <c r="AQ25" s="1588"/>
      <c r="AR25" s="166"/>
      <c r="AS25" s="94"/>
      <c r="AT25" s="1547"/>
    </row>
    <row r="26" ht="13.5" customHeight="1">
      <c r="A26" s="1568"/>
      <c r="B26" s="1599"/>
      <c r="C26" s="166"/>
      <c r="F26" s="1600"/>
      <c r="G26" s="1601" t="s">
        <v>2674</v>
      </c>
      <c r="H26" s="1602"/>
      <c r="I26" s="1603" t="s">
        <v>2674</v>
      </c>
      <c r="J26" s="1604"/>
      <c r="K26" s="1605" t="s">
        <v>2674</v>
      </c>
      <c r="L26" s="1602"/>
      <c r="M26" s="1603" t="s">
        <v>2674</v>
      </c>
      <c r="N26" s="1602"/>
      <c r="O26" s="1601" t="s">
        <v>2674</v>
      </c>
      <c r="P26" s="1602"/>
      <c r="Q26" s="1603" t="s">
        <v>2674</v>
      </c>
      <c r="R26" s="1606"/>
      <c r="S26" s="1605" t="s">
        <v>2674</v>
      </c>
      <c r="T26" s="1604"/>
      <c r="U26" s="1605" t="s">
        <v>2674</v>
      </c>
      <c r="V26" s="1606"/>
      <c r="Y26" s="166"/>
      <c r="AA26" s="166"/>
      <c r="AC26" s="107"/>
      <c r="AE26" s="166"/>
      <c r="AG26" s="166"/>
      <c r="AI26" s="166"/>
      <c r="AK26" s="107"/>
      <c r="AM26" s="166"/>
      <c r="AO26" s="166"/>
      <c r="AQ26" s="1599"/>
      <c r="AR26" s="1600"/>
      <c r="AS26" s="161"/>
      <c r="AT26" s="1607"/>
    </row>
    <row r="27" ht="13.5" customHeight="1">
      <c r="A27" s="1609"/>
      <c r="B27" s="1553"/>
      <c r="C27" s="1554"/>
      <c r="D27" s="84"/>
      <c r="E27" s="84"/>
      <c r="F27" s="1555" t="s">
        <v>2673</v>
      </c>
      <c r="G27" s="1595"/>
      <c r="H27" s="1574" t="s">
        <v>2674</v>
      </c>
      <c r="I27" s="1596"/>
      <c r="J27" s="1597" t="s">
        <v>2674</v>
      </c>
      <c r="K27" s="1571"/>
      <c r="L27" s="1574" t="s">
        <v>2674</v>
      </c>
      <c r="M27" s="1596"/>
      <c r="N27" s="1574" t="s">
        <v>2674</v>
      </c>
      <c r="O27" s="1595"/>
      <c r="P27" s="1574" t="s">
        <v>2674</v>
      </c>
      <c r="Q27" s="1596"/>
      <c r="R27" s="1598" t="s">
        <v>2674</v>
      </c>
      <c r="S27" s="1571"/>
      <c r="T27" s="1597" t="s">
        <v>2674</v>
      </c>
      <c r="U27" s="1571"/>
      <c r="V27" s="1598" t="s">
        <v>2674</v>
      </c>
      <c r="W27" s="1562"/>
      <c r="X27" s="1055"/>
      <c r="Y27" s="1563"/>
      <c r="Z27" s="1055"/>
      <c r="AA27" s="1563"/>
      <c r="AB27" s="86"/>
      <c r="AC27" s="1564"/>
      <c r="AD27" s="1055"/>
      <c r="AE27" s="1563"/>
      <c r="AF27" s="1055"/>
      <c r="AG27" s="1563"/>
      <c r="AH27" s="1055"/>
      <c r="AI27" s="1563"/>
      <c r="AJ27" s="86"/>
      <c r="AK27" s="1564"/>
      <c r="AL27" s="1055"/>
      <c r="AM27" s="1563"/>
      <c r="AN27" s="1055"/>
      <c r="AO27" s="1563"/>
      <c r="AP27" s="86"/>
      <c r="AQ27" s="1565"/>
      <c r="AR27" s="1566"/>
      <c r="AS27" s="1055"/>
      <c r="AT27" s="1567"/>
    </row>
    <row r="28" ht="13.5" customHeight="1">
      <c r="A28" s="1609"/>
      <c r="B28" s="1569"/>
      <c r="C28" s="166"/>
      <c r="F28" s="104"/>
      <c r="G28" s="1570" t="s">
        <v>2674</v>
      </c>
      <c r="H28" s="1571"/>
      <c r="I28" s="1572" t="s">
        <v>2674</v>
      </c>
      <c r="J28" s="1573"/>
      <c r="K28" s="1574" t="s">
        <v>2674</v>
      </c>
      <c r="L28" s="1571"/>
      <c r="M28" s="1572" t="s">
        <v>2674</v>
      </c>
      <c r="N28" s="1571"/>
      <c r="O28" s="1570" t="s">
        <v>2674</v>
      </c>
      <c r="P28" s="1571"/>
      <c r="Q28" s="1572" t="s">
        <v>2674</v>
      </c>
      <c r="R28" s="1575"/>
      <c r="S28" s="1574" t="s">
        <v>2674</v>
      </c>
      <c r="T28" s="1573"/>
      <c r="U28" s="1574" t="s">
        <v>2674</v>
      </c>
      <c r="V28" s="1575"/>
      <c r="W28" s="77"/>
      <c r="X28" s="55"/>
      <c r="Y28" s="104"/>
      <c r="Z28" s="55"/>
      <c r="AA28" s="104"/>
      <c r="AB28" s="78"/>
      <c r="AC28" s="1192"/>
      <c r="AD28" s="55"/>
      <c r="AE28" s="104"/>
      <c r="AF28" s="55"/>
      <c r="AG28" s="104"/>
      <c r="AH28" s="55"/>
      <c r="AI28" s="104"/>
      <c r="AJ28" s="78"/>
      <c r="AK28" s="1192"/>
      <c r="AL28" s="55"/>
      <c r="AM28" s="104"/>
      <c r="AN28" s="55"/>
      <c r="AO28" s="104"/>
      <c r="AP28" s="78"/>
      <c r="AQ28" s="1576"/>
      <c r="AR28" s="166"/>
      <c r="AS28" s="94"/>
      <c r="AT28" s="1547"/>
    </row>
    <row r="29" ht="13.5" customHeight="1">
      <c r="A29" s="1609"/>
      <c r="B29" s="1569"/>
      <c r="C29" s="1577"/>
      <c r="F29" s="1578" t="s">
        <v>2676</v>
      </c>
      <c r="G29" s="1579"/>
      <c r="H29" s="1580" t="s">
        <v>2674</v>
      </c>
      <c r="I29" s="1581"/>
      <c r="J29" s="1582" t="s">
        <v>2674</v>
      </c>
      <c r="K29" s="1583"/>
      <c r="L29" s="1580" t="s">
        <v>2674</v>
      </c>
      <c r="M29" s="1581"/>
      <c r="N29" s="1580" t="s">
        <v>2674</v>
      </c>
      <c r="O29" s="1579"/>
      <c r="P29" s="1580" t="s">
        <v>2674</v>
      </c>
      <c r="Q29" s="1581"/>
      <c r="R29" s="1584" t="s">
        <v>2674</v>
      </c>
      <c r="S29" s="1583"/>
      <c r="T29" s="1582" t="s">
        <v>2674</v>
      </c>
      <c r="U29" s="1583"/>
      <c r="V29" s="1584" t="s">
        <v>2674</v>
      </c>
      <c r="W29" s="1585"/>
      <c r="X29" s="165"/>
      <c r="Y29" s="1586"/>
      <c r="Z29" s="165"/>
      <c r="AA29" s="1586"/>
      <c r="AB29" s="165"/>
      <c r="AC29" s="1587"/>
      <c r="AD29" s="165"/>
      <c r="AE29" s="1586"/>
      <c r="AF29" s="165"/>
      <c r="AG29" s="1586"/>
      <c r="AH29" s="165"/>
      <c r="AI29" s="1586"/>
      <c r="AJ29" s="165"/>
      <c r="AK29" s="1587"/>
      <c r="AL29" s="165"/>
      <c r="AM29" s="1586"/>
      <c r="AN29" s="165"/>
      <c r="AO29" s="1586"/>
      <c r="AP29" s="165"/>
      <c r="AQ29" s="1588"/>
      <c r="AR29" s="166"/>
      <c r="AS29" s="94"/>
      <c r="AT29" s="1547"/>
    </row>
    <row r="30" ht="13.5" customHeight="1">
      <c r="A30" s="1609"/>
      <c r="B30" s="1569"/>
      <c r="C30" s="166"/>
      <c r="F30" s="104"/>
      <c r="G30" s="1589" t="s">
        <v>2674</v>
      </c>
      <c r="H30" s="1590"/>
      <c r="I30" s="1591" t="s">
        <v>2674</v>
      </c>
      <c r="J30" s="1592"/>
      <c r="K30" s="1593" t="s">
        <v>2674</v>
      </c>
      <c r="L30" s="1590"/>
      <c r="M30" s="1591" t="s">
        <v>2674</v>
      </c>
      <c r="N30" s="1590"/>
      <c r="O30" s="1589" t="s">
        <v>2674</v>
      </c>
      <c r="P30" s="1590"/>
      <c r="Q30" s="1591" t="s">
        <v>2674</v>
      </c>
      <c r="R30" s="1594"/>
      <c r="S30" s="1593" t="s">
        <v>2674</v>
      </c>
      <c r="T30" s="1592"/>
      <c r="U30" s="1593" t="s">
        <v>2674</v>
      </c>
      <c r="V30" s="1594"/>
      <c r="Y30" s="166"/>
      <c r="AA30" s="166"/>
      <c r="AC30" s="107"/>
      <c r="AE30" s="166"/>
      <c r="AG30" s="166"/>
      <c r="AI30" s="166"/>
      <c r="AK30" s="107"/>
      <c r="AM30" s="166"/>
      <c r="AO30" s="166"/>
      <c r="AQ30" s="1576"/>
      <c r="AR30" s="166"/>
      <c r="AS30" s="94"/>
      <c r="AT30" s="1547"/>
    </row>
    <row r="31" ht="13.5" customHeight="1">
      <c r="A31" s="1609"/>
      <c r="B31" s="1569"/>
      <c r="C31" s="1577"/>
      <c r="F31" s="1578" t="s">
        <v>2677</v>
      </c>
      <c r="G31" s="1595"/>
      <c r="H31" s="1574" t="s">
        <v>2674</v>
      </c>
      <c r="I31" s="1596"/>
      <c r="J31" s="1597" t="s">
        <v>2674</v>
      </c>
      <c r="K31" s="1571"/>
      <c r="L31" s="1574" t="s">
        <v>2674</v>
      </c>
      <c r="M31" s="1596"/>
      <c r="N31" s="1574" t="s">
        <v>2674</v>
      </c>
      <c r="O31" s="1595"/>
      <c r="P31" s="1574" t="s">
        <v>2674</v>
      </c>
      <c r="Q31" s="1596"/>
      <c r="R31" s="1598" t="s">
        <v>2674</v>
      </c>
      <c r="S31" s="1571"/>
      <c r="T31" s="1597" t="s">
        <v>2674</v>
      </c>
      <c r="U31" s="1571"/>
      <c r="V31" s="1598" t="s">
        <v>2674</v>
      </c>
      <c r="W31" s="1585"/>
      <c r="X31" s="165"/>
      <c r="Y31" s="1586"/>
      <c r="Z31" s="165"/>
      <c r="AA31" s="1586"/>
      <c r="AB31" s="165"/>
      <c r="AC31" s="1587"/>
      <c r="AD31" s="165"/>
      <c r="AE31" s="1586"/>
      <c r="AF31" s="165"/>
      <c r="AG31" s="1586"/>
      <c r="AH31" s="165"/>
      <c r="AI31" s="1586"/>
      <c r="AJ31" s="165"/>
      <c r="AK31" s="1587"/>
      <c r="AL31" s="165"/>
      <c r="AM31" s="1586"/>
      <c r="AN31" s="165"/>
      <c r="AO31" s="1586"/>
      <c r="AP31" s="165"/>
      <c r="AQ31" s="1588"/>
      <c r="AR31" s="166"/>
      <c r="AS31" s="94"/>
      <c r="AT31" s="1547"/>
    </row>
    <row r="32" ht="13.5" customHeight="1">
      <c r="A32" s="1609"/>
      <c r="B32" s="1599"/>
      <c r="C32" s="166"/>
      <c r="F32" s="1600"/>
      <c r="G32" s="1570" t="s">
        <v>2674</v>
      </c>
      <c r="H32" s="1571"/>
      <c r="I32" s="1572" t="s">
        <v>2674</v>
      </c>
      <c r="J32" s="1573"/>
      <c r="K32" s="1574" t="s">
        <v>2674</v>
      </c>
      <c r="L32" s="1571"/>
      <c r="M32" s="1572" t="s">
        <v>2674</v>
      </c>
      <c r="N32" s="1571"/>
      <c r="O32" s="1570" t="s">
        <v>2674</v>
      </c>
      <c r="P32" s="1571"/>
      <c r="Q32" s="1572" t="s">
        <v>2674</v>
      </c>
      <c r="R32" s="1575"/>
      <c r="S32" s="1574" t="s">
        <v>2674</v>
      </c>
      <c r="T32" s="1573"/>
      <c r="U32" s="1574" t="s">
        <v>2674</v>
      </c>
      <c r="V32" s="1575"/>
      <c r="Y32" s="166"/>
      <c r="AA32" s="166"/>
      <c r="AC32" s="107"/>
      <c r="AE32" s="166"/>
      <c r="AG32" s="166"/>
      <c r="AI32" s="166"/>
      <c r="AK32" s="107"/>
      <c r="AM32" s="166"/>
      <c r="AO32" s="166"/>
      <c r="AQ32" s="1599"/>
      <c r="AR32" s="1600"/>
      <c r="AS32" s="161"/>
      <c r="AT32" s="1607"/>
    </row>
    <row r="33" ht="13.5" customHeight="1">
      <c r="A33" s="1609"/>
      <c r="B33" s="1553"/>
      <c r="C33" s="1554"/>
      <c r="D33" s="84"/>
      <c r="E33" s="84"/>
      <c r="F33" s="1555" t="s">
        <v>2673</v>
      </c>
      <c r="G33" s="1556"/>
      <c r="H33" s="1557" t="s">
        <v>2674</v>
      </c>
      <c r="I33" s="1558"/>
      <c r="J33" s="1559" t="s">
        <v>2674</v>
      </c>
      <c r="K33" s="1560"/>
      <c r="L33" s="1557" t="s">
        <v>2674</v>
      </c>
      <c r="M33" s="1558"/>
      <c r="N33" s="1557" t="s">
        <v>2674</v>
      </c>
      <c r="O33" s="1556"/>
      <c r="P33" s="1557" t="s">
        <v>2674</v>
      </c>
      <c r="Q33" s="1558"/>
      <c r="R33" s="1561" t="s">
        <v>2674</v>
      </c>
      <c r="S33" s="1560"/>
      <c r="T33" s="1559" t="s">
        <v>2674</v>
      </c>
      <c r="U33" s="1560"/>
      <c r="V33" s="1561" t="s">
        <v>2674</v>
      </c>
      <c r="W33" s="1562"/>
      <c r="X33" s="1055"/>
      <c r="Y33" s="1563"/>
      <c r="Z33" s="1055"/>
      <c r="AA33" s="1563"/>
      <c r="AB33" s="86"/>
      <c r="AC33" s="1564"/>
      <c r="AD33" s="1055"/>
      <c r="AE33" s="1563"/>
      <c r="AF33" s="1055"/>
      <c r="AG33" s="1563"/>
      <c r="AH33" s="1055"/>
      <c r="AI33" s="1563"/>
      <c r="AJ33" s="86"/>
      <c r="AK33" s="1564"/>
      <c r="AL33" s="1055"/>
      <c r="AM33" s="1563"/>
      <c r="AN33" s="1055"/>
      <c r="AO33" s="1563"/>
      <c r="AP33" s="86"/>
      <c r="AQ33" s="1565"/>
      <c r="AR33" s="1566"/>
      <c r="AS33" s="1055"/>
      <c r="AT33" s="1567"/>
    </row>
    <row r="34" ht="13.5" customHeight="1">
      <c r="A34" s="1609"/>
      <c r="B34" s="1569"/>
      <c r="C34" s="166"/>
      <c r="F34" s="104"/>
      <c r="G34" s="1570" t="s">
        <v>2674</v>
      </c>
      <c r="H34" s="1571"/>
      <c r="I34" s="1572" t="s">
        <v>2674</v>
      </c>
      <c r="J34" s="1573"/>
      <c r="K34" s="1574" t="s">
        <v>2674</v>
      </c>
      <c r="L34" s="1571"/>
      <c r="M34" s="1572" t="s">
        <v>2674</v>
      </c>
      <c r="N34" s="1571"/>
      <c r="O34" s="1570" t="s">
        <v>2674</v>
      </c>
      <c r="P34" s="1571"/>
      <c r="Q34" s="1572" t="s">
        <v>2674</v>
      </c>
      <c r="R34" s="1575"/>
      <c r="S34" s="1574" t="s">
        <v>2674</v>
      </c>
      <c r="T34" s="1573"/>
      <c r="U34" s="1574" t="s">
        <v>2674</v>
      </c>
      <c r="V34" s="1575"/>
      <c r="W34" s="77"/>
      <c r="X34" s="55"/>
      <c r="Y34" s="104"/>
      <c r="Z34" s="55"/>
      <c r="AA34" s="104"/>
      <c r="AB34" s="78"/>
      <c r="AC34" s="1192"/>
      <c r="AD34" s="55"/>
      <c r="AE34" s="104"/>
      <c r="AF34" s="55"/>
      <c r="AG34" s="104"/>
      <c r="AH34" s="55"/>
      <c r="AI34" s="104"/>
      <c r="AJ34" s="78"/>
      <c r="AK34" s="1192"/>
      <c r="AL34" s="55"/>
      <c r="AM34" s="104"/>
      <c r="AN34" s="55"/>
      <c r="AO34" s="104"/>
      <c r="AP34" s="78"/>
      <c r="AQ34" s="1576"/>
      <c r="AR34" s="166"/>
      <c r="AS34" s="94"/>
      <c r="AT34" s="1547"/>
    </row>
    <row r="35" ht="13.5" customHeight="1">
      <c r="A35" s="1609"/>
      <c r="B35" s="1569"/>
      <c r="C35" s="1577"/>
      <c r="F35" s="1578" t="s">
        <v>2676</v>
      </c>
      <c r="G35" s="1579"/>
      <c r="H35" s="1580" t="s">
        <v>2674</v>
      </c>
      <c r="I35" s="1581"/>
      <c r="J35" s="1582" t="s">
        <v>2674</v>
      </c>
      <c r="K35" s="1583"/>
      <c r="L35" s="1580" t="s">
        <v>2674</v>
      </c>
      <c r="M35" s="1581"/>
      <c r="N35" s="1580" t="s">
        <v>2674</v>
      </c>
      <c r="O35" s="1579"/>
      <c r="P35" s="1580" t="s">
        <v>2674</v>
      </c>
      <c r="Q35" s="1581"/>
      <c r="R35" s="1584" t="s">
        <v>2674</v>
      </c>
      <c r="S35" s="1583"/>
      <c r="T35" s="1582" t="s">
        <v>2674</v>
      </c>
      <c r="U35" s="1583"/>
      <c r="V35" s="1584" t="s">
        <v>2674</v>
      </c>
      <c r="W35" s="1585"/>
      <c r="X35" s="165"/>
      <c r="Y35" s="1586"/>
      <c r="Z35" s="165"/>
      <c r="AA35" s="1586"/>
      <c r="AB35" s="165"/>
      <c r="AC35" s="1587"/>
      <c r="AD35" s="165"/>
      <c r="AE35" s="1586"/>
      <c r="AF35" s="165"/>
      <c r="AG35" s="1586"/>
      <c r="AH35" s="165"/>
      <c r="AI35" s="1586"/>
      <c r="AJ35" s="165"/>
      <c r="AK35" s="1587"/>
      <c r="AL35" s="165"/>
      <c r="AM35" s="1586"/>
      <c r="AN35" s="165"/>
      <c r="AO35" s="1586"/>
      <c r="AP35" s="165"/>
      <c r="AQ35" s="1588"/>
      <c r="AR35" s="166"/>
      <c r="AS35" s="94"/>
      <c r="AT35" s="1547"/>
    </row>
    <row r="36" ht="13.5" customHeight="1">
      <c r="A36" s="1609"/>
      <c r="B36" s="1569"/>
      <c r="C36" s="166"/>
      <c r="F36" s="104"/>
      <c r="G36" s="1589" t="s">
        <v>2674</v>
      </c>
      <c r="H36" s="1590"/>
      <c r="I36" s="1591" t="s">
        <v>2674</v>
      </c>
      <c r="J36" s="1592"/>
      <c r="K36" s="1593" t="s">
        <v>2674</v>
      </c>
      <c r="L36" s="1590"/>
      <c r="M36" s="1591" t="s">
        <v>2674</v>
      </c>
      <c r="N36" s="1590"/>
      <c r="O36" s="1589" t="s">
        <v>2674</v>
      </c>
      <c r="P36" s="1590"/>
      <c r="Q36" s="1591" t="s">
        <v>2674</v>
      </c>
      <c r="R36" s="1594"/>
      <c r="S36" s="1593" t="s">
        <v>2674</v>
      </c>
      <c r="T36" s="1592"/>
      <c r="U36" s="1593" t="s">
        <v>2674</v>
      </c>
      <c r="V36" s="1594"/>
      <c r="Y36" s="166"/>
      <c r="AA36" s="166"/>
      <c r="AC36" s="107"/>
      <c r="AE36" s="166"/>
      <c r="AG36" s="166"/>
      <c r="AI36" s="166"/>
      <c r="AK36" s="107"/>
      <c r="AM36" s="166"/>
      <c r="AO36" s="166"/>
      <c r="AQ36" s="1576"/>
      <c r="AR36" s="166"/>
      <c r="AS36" s="94"/>
      <c r="AT36" s="1547"/>
    </row>
    <row r="37" ht="13.5" customHeight="1">
      <c r="A37" s="1609"/>
      <c r="B37" s="1569"/>
      <c r="C37" s="1577"/>
      <c r="F37" s="1578" t="s">
        <v>2677</v>
      </c>
      <c r="G37" s="1595"/>
      <c r="H37" s="1574" t="s">
        <v>2674</v>
      </c>
      <c r="I37" s="1596"/>
      <c r="J37" s="1597" t="s">
        <v>2674</v>
      </c>
      <c r="K37" s="1571"/>
      <c r="L37" s="1574" t="s">
        <v>2674</v>
      </c>
      <c r="M37" s="1596"/>
      <c r="N37" s="1574" t="s">
        <v>2674</v>
      </c>
      <c r="O37" s="1595"/>
      <c r="P37" s="1574" t="s">
        <v>2674</v>
      </c>
      <c r="Q37" s="1596"/>
      <c r="R37" s="1598" t="s">
        <v>2674</v>
      </c>
      <c r="S37" s="1571"/>
      <c r="T37" s="1597" t="s">
        <v>2674</v>
      </c>
      <c r="U37" s="1571"/>
      <c r="V37" s="1598" t="s">
        <v>2674</v>
      </c>
      <c r="W37" s="1585"/>
      <c r="X37" s="165"/>
      <c r="Y37" s="1586"/>
      <c r="Z37" s="165"/>
      <c r="AA37" s="1586"/>
      <c r="AB37" s="165"/>
      <c r="AC37" s="1587"/>
      <c r="AD37" s="165"/>
      <c r="AE37" s="1586"/>
      <c r="AF37" s="165"/>
      <c r="AG37" s="1586"/>
      <c r="AH37" s="165"/>
      <c r="AI37" s="1586"/>
      <c r="AJ37" s="165"/>
      <c r="AK37" s="1587"/>
      <c r="AL37" s="165"/>
      <c r="AM37" s="1586"/>
      <c r="AN37" s="165"/>
      <c r="AO37" s="1586"/>
      <c r="AP37" s="165"/>
      <c r="AQ37" s="1588"/>
      <c r="AR37" s="166"/>
      <c r="AS37" s="94"/>
      <c r="AT37" s="1547"/>
    </row>
    <row r="38" ht="13.5" customHeight="1">
      <c r="A38" s="1609"/>
      <c r="B38" s="1599"/>
      <c r="C38" s="166"/>
      <c r="F38" s="1600"/>
      <c r="G38" s="1601" t="s">
        <v>2674</v>
      </c>
      <c r="H38" s="1602"/>
      <c r="I38" s="1603" t="s">
        <v>2674</v>
      </c>
      <c r="J38" s="1604"/>
      <c r="K38" s="1605" t="s">
        <v>2674</v>
      </c>
      <c r="L38" s="1602"/>
      <c r="M38" s="1603" t="s">
        <v>2674</v>
      </c>
      <c r="N38" s="1602"/>
      <c r="O38" s="1601" t="s">
        <v>2674</v>
      </c>
      <c r="P38" s="1602"/>
      <c r="Q38" s="1603" t="s">
        <v>2674</v>
      </c>
      <c r="R38" s="1606"/>
      <c r="S38" s="1605" t="s">
        <v>2674</v>
      </c>
      <c r="T38" s="1604"/>
      <c r="U38" s="1605" t="s">
        <v>2674</v>
      </c>
      <c r="V38" s="1606"/>
      <c r="Y38" s="166"/>
      <c r="AA38" s="166"/>
      <c r="AC38" s="107"/>
      <c r="AE38" s="166"/>
      <c r="AG38" s="166"/>
      <c r="AI38" s="166"/>
      <c r="AK38" s="107"/>
      <c r="AM38" s="166"/>
      <c r="AO38" s="166"/>
      <c r="AQ38" s="1599"/>
      <c r="AR38" s="1600"/>
      <c r="AS38" s="161"/>
      <c r="AT38" s="1607"/>
    </row>
    <row r="39" ht="13.5" customHeight="1">
      <c r="A39" s="1609"/>
      <c r="B39" s="1553"/>
      <c r="C39" s="1554"/>
      <c r="D39" s="84"/>
      <c r="E39" s="84"/>
      <c r="F39" s="1555" t="s">
        <v>2673</v>
      </c>
      <c r="G39" s="1595"/>
      <c r="H39" s="1574" t="s">
        <v>2674</v>
      </c>
      <c r="I39" s="1596"/>
      <c r="J39" s="1597" t="s">
        <v>2674</v>
      </c>
      <c r="K39" s="1571"/>
      <c r="L39" s="1574" t="s">
        <v>2674</v>
      </c>
      <c r="M39" s="1596"/>
      <c r="N39" s="1574" t="s">
        <v>2674</v>
      </c>
      <c r="O39" s="1595"/>
      <c r="P39" s="1574" t="s">
        <v>2674</v>
      </c>
      <c r="Q39" s="1596"/>
      <c r="R39" s="1598" t="s">
        <v>2674</v>
      </c>
      <c r="S39" s="1571"/>
      <c r="T39" s="1597" t="s">
        <v>2674</v>
      </c>
      <c r="U39" s="1571"/>
      <c r="V39" s="1598" t="s">
        <v>2674</v>
      </c>
      <c r="W39" s="1562"/>
      <c r="X39" s="1055"/>
      <c r="Y39" s="1563"/>
      <c r="Z39" s="1055"/>
      <c r="AA39" s="1563"/>
      <c r="AB39" s="86"/>
      <c r="AC39" s="1564"/>
      <c r="AD39" s="1055"/>
      <c r="AE39" s="1563"/>
      <c r="AF39" s="1055"/>
      <c r="AG39" s="1563"/>
      <c r="AH39" s="1055"/>
      <c r="AI39" s="1563"/>
      <c r="AJ39" s="86"/>
      <c r="AK39" s="1564"/>
      <c r="AL39" s="1055"/>
      <c r="AM39" s="1563"/>
      <c r="AN39" s="1055"/>
      <c r="AO39" s="1563"/>
      <c r="AP39" s="86"/>
      <c r="AQ39" s="1565"/>
      <c r="AR39" s="1566"/>
      <c r="AS39" s="1055"/>
      <c r="AT39" s="1567"/>
    </row>
    <row r="40" ht="13.5" customHeight="1">
      <c r="A40" s="1609"/>
      <c r="B40" s="1569"/>
      <c r="C40" s="166"/>
      <c r="F40" s="104"/>
      <c r="G40" s="1570" t="s">
        <v>2674</v>
      </c>
      <c r="H40" s="1571"/>
      <c r="I40" s="1572" t="s">
        <v>2674</v>
      </c>
      <c r="J40" s="1573"/>
      <c r="K40" s="1574" t="s">
        <v>2674</v>
      </c>
      <c r="L40" s="1571"/>
      <c r="M40" s="1572" t="s">
        <v>2674</v>
      </c>
      <c r="N40" s="1571"/>
      <c r="O40" s="1570" t="s">
        <v>2674</v>
      </c>
      <c r="P40" s="1571"/>
      <c r="Q40" s="1572" t="s">
        <v>2674</v>
      </c>
      <c r="R40" s="1575"/>
      <c r="S40" s="1574" t="s">
        <v>2674</v>
      </c>
      <c r="T40" s="1573"/>
      <c r="U40" s="1574" t="s">
        <v>2674</v>
      </c>
      <c r="V40" s="1575"/>
      <c r="W40" s="77"/>
      <c r="X40" s="55"/>
      <c r="Y40" s="104"/>
      <c r="Z40" s="55"/>
      <c r="AA40" s="104"/>
      <c r="AB40" s="78"/>
      <c r="AC40" s="1192"/>
      <c r="AD40" s="55"/>
      <c r="AE40" s="104"/>
      <c r="AF40" s="55"/>
      <c r="AG40" s="104"/>
      <c r="AH40" s="55"/>
      <c r="AI40" s="104"/>
      <c r="AJ40" s="78"/>
      <c r="AK40" s="1192"/>
      <c r="AL40" s="55"/>
      <c r="AM40" s="104"/>
      <c r="AN40" s="55"/>
      <c r="AO40" s="104"/>
      <c r="AP40" s="78"/>
      <c r="AQ40" s="1576"/>
      <c r="AR40" s="166"/>
      <c r="AS40" s="94"/>
      <c r="AT40" s="1547"/>
    </row>
    <row r="41" ht="13.5" customHeight="1">
      <c r="A41" s="1609"/>
      <c r="B41" s="1569"/>
      <c r="C41" s="1577"/>
      <c r="F41" s="1578" t="s">
        <v>2676</v>
      </c>
      <c r="G41" s="1579"/>
      <c r="H41" s="1580" t="s">
        <v>2674</v>
      </c>
      <c r="I41" s="1581"/>
      <c r="J41" s="1582" t="s">
        <v>2674</v>
      </c>
      <c r="K41" s="1583"/>
      <c r="L41" s="1580" t="s">
        <v>2674</v>
      </c>
      <c r="M41" s="1581"/>
      <c r="N41" s="1580" t="s">
        <v>2674</v>
      </c>
      <c r="O41" s="1579"/>
      <c r="P41" s="1580" t="s">
        <v>2674</v>
      </c>
      <c r="Q41" s="1581"/>
      <c r="R41" s="1584" t="s">
        <v>2674</v>
      </c>
      <c r="S41" s="1583"/>
      <c r="T41" s="1582" t="s">
        <v>2674</v>
      </c>
      <c r="U41" s="1583"/>
      <c r="V41" s="1584" t="s">
        <v>2674</v>
      </c>
      <c r="W41" s="1585"/>
      <c r="X41" s="165"/>
      <c r="Y41" s="1586"/>
      <c r="Z41" s="165"/>
      <c r="AA41" s="1586"/>
      <c r="AB41" s="165"/>
      <c r="AC41" s="1587"/>
      <c r="AD41" s="165"/>
      <c r="AE41" s="1586"/>
      <c r="AF41" s="165"/>
      <c r="AG41" s="1586"/>
      <c r="AH41" s="165"/>
      <c r="AI41" s="1586"/>
      <c r="AJ41" s="165"/>
      <c r="AK41" s="1587"/>
      <c r="AL41" s="165"/>
      <c r="AM41" s="1586"/>
      <c r="AN41" s="165"/>
      <c r="AO41" s="1586"/>
      <c r="AP41" s="165"/>
      <c r="AQ41" s="1588"/>
      <c r="AR41" s="166"/>
      <c r="AS41" s="94"/>
      <c r="AT41" s="1547"/>
    </row>
    <row r="42" ht="13.5" customHeight="1">
      <c r="A42" s="1609"/>
      <c r="B42" s="1569"/>
      <c r="C42" s="166"/>
      <c r="F42" s="104"/>
      <c r="G42" s="1589" t="s">
        <v>2674</v>
      </c>
      <c r="H42" s="1590"/>
      <c r="I42" s="1591" t="s">
        <v>2674</v>
      </c>
      <c r="J42" s="1592"/>
      <c r="K42" s="1593" t="s">
        <v>2674</v>
      </c>
      <c r="L42" s="1590"/>
      <c r="M42" s="1591" t="s">
        <v>2674</v>
      </c>
      <c r="N42" s="1590"/>
      <c r="O42" s="1589" t="s">
        <v>2674</v>
      </c>
      <c r="P42" s="1590"/>
      <c r="Q42" s="1591" t="s">
        <v>2674</v>
      </c>
      <c r="R42" s="1594"/>
      <c r="S42" s="1593" t="s">
        <v>2674</v>
      </c>
      <c r="T42" s="1592"/>
      <c r="U42" s="1593" t="s">
        <v>2674</v>
      </c>
      <c r="V42" s="1594"/>
      <c r="Y42" s="166"/>
      <c r="AA42" s="166"/>
      <c r="AC42" s="107"/>
      <c r="AE42" s="166"/>
      <c r="AG42" s="166"/>
      <c r="AI42" s="166"/>
      <c r="AK42" s="107"/>
      <c r="AM42" s="166"/>
      <c r="AO42" s="166"/>
      <c r="AQ42" s="1576"/>
      <c r="AR42" s="166"/>
      <c r="AS42" s="94"/>
      <c r="AT42" s="1547"/>
    </row>
    <row r="43" ht="13.5" customHeight="1">
      <c r="A43" s="1609"/>
      <c r="B43" s="1569"/>
      <c r="C43" s="1577"/>
      <c r="F43" s="1578" t="s">
        <v>2677</v>
      </c>
      <c r="G43" s="1595"/>
      <c r="H43" s="1574" t="s">
        <v>2674</v>
      </c>
      <c r="I43" s="1596"/>
      <c r="J43" s="1597" t="s">
        <v>2674</v>
      </c>
      <c r="K43" s="1571"/>
      <c r="L43" s="1574" t="s">
        <v>2674</v>
      </c>
      <c r="M43" s="1596"/>
      <c r="N43" s="1574" t="s">
        <v>2674</v>
      </c>
      <c r="O43" s="1595"/>
      <c r="P43" s="1574" t="s">
        <v>2674</v>
      </c>
      <c r="Q43" s="1596"/>
      <c r="R43" s="1598" t="s">
        <v>2674</v>
      </c>
      <c r="S43" s="1571"/>
      <c r="T43" s="1597" t="s">
        <v>2674</v>
      </c>
      <c r="U43" s="1571"/>
      <c r="V43" s="1598" t="s">
        <v>2674</v>
      </c>
      <c r="W43" s="1585"/>
      <c r="X43" s="165"/>
      <c r="Y43" s="1586"/>
      <c r="Z43" s="165"/>
      <c r="AA43" s="1586"/>
      <c r="AB43" s="165"/>
      <c r="AC43" s="1587"/>
      <c r="AD43" s="165"/>
      <c r="AE43" s="1586"/>
      <c r="AF43" s="165"/>
      <c r="AG43" s="1586"/>
      <c r="AH43" s="165"/>
      <c r="AI43" s="1586"/>
      <c r="AJ43" s="165"/>
      <c r="AK43" s="1587"/>
      <c r="AL43" s="165"/>
      <c r="AM43" s="1586"/>
      <c r="AN43" s="165"/>
      <c r="AO43" s="1586"/>
      <c r="AP43" s="165"/>
      <c r="AQ43" s="1588"/>
      <c r="AR43" s="166"/>
      <c r="AS43" s="94"/>
      <c r="AT43" s="1547"/>
    </row>
    <row r="44" ht="13.5" customHeight="1">
      <c r="A44" s="1609"/>
      <c r="B44" s="1599"/>
      <c r="C44" s="166"/>
      <c r="F44" s="1600"/>
      <c r="G44" s="1570" t="s">
        <v>2674</v>
      </c>
      <c r="H44" s="1571"/>
      <c r="I44" s="1572" t="s">
        <v>2674</v>
      </c>
      <c r="J44" s="1573"/>
      <c r="K44" s="1574" t="s">
        <v>2674</v>
      </c>
      <c r="L44" s="1571"/>
      <c r="M44" s="1572" t="s">
        <v>2674</v>
      </c>
      <c r="N44" s="1571"/>
      <c r="O44" s="1570" t="s">
        <v>2674</v>
      </c>
      <c r="P44" s="1571"/>
      <c r="Q44" s="1572" t="s">
        <v>2674</v>
      </c>
      <c r="R44" s="1575"/>
      <c r="S44" s="1574" t="s">
        <v>2674</v>
      </c>
      <c r="T44" s="1573"/>
      <c r="U44" s="1574" t="s">
        <v>2674</v>
      </c>
      <c r="V44" s="1575"/>
      <c r="Y44" s="166"/>
      <c r="AA44" s="166"/>
      <c r="AC44" s="107"/>
      <c r="AE44" s="166"/>
      <c r="AG44" s="166"/>
      <c r="AI44" s="166"/>
      <c r="AK44" s="107"/>
      <c r="AM44" s="166"/>
      <c r="AO44" s="166"/>
      <c r="AQ44" s="1599"/>
      <c r="AR44" s="1600"/>
      <c r="AS44" s="161"/>
      <c r="AT44" s="1607"/>
    </row>
    <row r="45" ht="13.5" customHeight="1">
      <c r="A45" s="1609"/>
      <c r="B45" s="1553"/>
      <c r="C45" s="1554"/>
      <c r="D45" s="84"/>
      <c r="E45" s="84"/>
      <c r="F45" s="1555" t="s">
        <v>2673</v>
      </c>
      <c r="G45" s="1556"/>
      <c r="H45" s="1557" t="s">
        <v>2674</v>
      </c>
      <c r="I45" s="1558"/>
      <c r="J45" s="1559" t="s">
        <v>2674</v>
      </c>
      <c r="K45" s="1560"/>
      <c r="L45" s="1557" t="s">
        <v>2674</v>
      </c>
      <c r="M45" s="1558"/>
      <c r="N45" s="1557" t="s">
        <v>2674</v>
      </c>
      <c r="O45" s="1556"/>
      <c r="P45" s="1557" t="s">
        <v>2674</v>
      </c>
      <c r="Q45" s="1558"/>
      <c r="R45" s="1561" t="s">
        <v>2674</v>
      </c>
      <c r="S45" s="1560"/>
      <c r="T45" s="1559" t="s">
        <v>2674</v>
      </c>
      <c r="U45" s="1560"/>
      <c r="V45" s="1561" t="s">
        <v>2674</v>
      </c>
      <c r="W45" s="1562"/>
      <c r="X45" s="1055"/>
      <c r="Y45" s="1563"/>
      <c r="Z45" s="1055"/>
      <c r="AA45" s="1563"/>
      <c r="AB45" s="86"/>
      <c r="AC45" s="1564"/>
      <c r="AD45" s="1055"/>
      <c r="AE45" s="1563"/>
      <c r="AF45" s="1055"/>
      <c r="AG45" s="1563"/>
      <c r="AH45" s="1055"/>
      <c r="AI45" s="1563"/>
      <c r="AJ45" s="86"/>
      <c r="AK45" s="1564"/>
      <c r="AL45" s="1055"/>
      <c r="AM45" s="1563"/>
      <c r="AN45" s="1055"/>
      <c r="AO45" s="1563"/>
      <c r="AP45" s="86"/>
      <c r="AQ45" s="1565"/>
      <c r="AR45" s="1566"/>
      <c r="AS45" s="1055"/>
      <c r="AT45" s="1567"/>
    </row>
    <row r="46" ht="13.5" customHeight="1">
      <c r="A46" s="1609"/>
      <c r="B46" s="1569"/>
      <c r="C46" s="166"/>
      <c r="F46" s="104"/>
      <c r="G46" s="1570" t="s">
        <v>2674</v>
      </c>
      <c r="H46" s="1571"/>
      <c r="I46" s="1572" t="s">
        <v>2674</v>
      </c>
      <c r="J46" s="1573"/>
      <c r="K46" s="1574" t="s">
        <v>2674</v>
      </c>
      <c r="L46" s="1571"/>
      <c r="M46" s="1572" t="s">
        <v>2674</v>
      </c>
      <c r="N46" s="1571"/>
      <c r="O46" s="1570" t="s">
        <v>2674</v>
      </c>
      <c r="P46" s="1571"/>
      <c r="Q46" s="1572" t="s">
        <v>2674</v>
      </c>
      <c r="R46" s="1575"/>
      <c r="S46" s="1574" t="s">
        <v>2674</v>
      </c>
      <c r="T46" s="1573"/>
      <c r="U46" s="1574" t="s">
        <v>2674</v>
      </c>
      <c r="V46" s="1575"/>
      <c r="W46" s="77"/>
      <c r="X46" s="55"/>
      <c r="Y46" s="104"/>
      <c r="Z46" s="55"/>
      <c r="AA46" s="104"/>
      <c r="AB46" s="78"/>
      <c r="AC46" s="1192"/>
      <c r="AD46" s="55"/>
      <c r="AE46" s="104"/>
      <c r="AF46" s="55"/>
      <c r="AG46" s="104"/>
      <c r="AH46" s="55"/>
      <c r="AI46" s="104"/>
      <c r="AJ46" s="78"/>
      <c r="AK46" s="1192"/>
      <c r="AL46" s="55"/>
      <c r="AM46" s="104"/>
      <c r="AN46" s="55"/>
      <c r="AO46" s="104"/>
      <c r="AP46" s="78"/>
      <c r="AQ46" s="1576"/>
      <c r="AR46" s="166"/>
      <c r="AS46" s="94"/>
      <c r="AT46" s="1547"/>
    </row>
    <row r="47" ht="13.5" customHeight="1">
      <c r="A47" s="1609"/>
      <c r="B47" s="1569"/>
      <c r="C47" s="1577"/>
      <c r="F47" s="1578" t="s">
        <v>2676</v>
      </c>
      <c r="G47" s="1579"/>
      <c r="H47" s="1580" t="s">
        <v>2674</v>
      </c>
      <c r="I47" s="1581"/>
      <c r="J47" s="1582" t="s">
        <v>2674</v>
      </c>
      <c r="K47" s="1583"/>
      <c r="L47" s="1580" t="s">
        <v>2674</v>
      </c>
      <c r="M47" s="1581"/>
      <c r="N47" s="1580" t="s">
        <v>2674</v>
      </c>
      <c r="O47" s="1579"/>
      <c r="P47" s="1580" t="s">
        <v>2674</v>
      </c>
      <c r="Q47" s="1581"/>
      <c r="R47" s="1584" t="s">
        <v>2674</v>
      </c>
      <c r="S47" s="1583"/>
      <c r="T47" s="1582" t="s">
        <v>2674</v>
      </c>
      <c r="U47" s="1583"/>
      <c r="V47" s="1584" t="s">
        <v>2674</v>
      </c>
      <c r="W47" s="1585"/>
      <c r="X47" s="165"/>
      <c r="Y47" s="1586"/>
      <c r="Z47" s="165"/>
      <c r="AA47" s="1586"/>
      <c r="AB47" s="165"/>
      <c r="AC47" s="1587"/>
      <c r="AD47" s="165"/>
      <c r="AE47" s="1586"/>
      <c r="AF47" s="165"/>
      <c r="AG47" s="1586"/>
      <c r="AH47" s="165"/>
      <c r="AI47" s="1586"/>
      <c r="AJ47" s="165"/>
      <c r="AK47" s="1587"/>
      <c r="AL47" s="165"/>
      <c r="AM47" s="1586"/>
      <c r="AN47" s="165"/>
      <c r="AO47" s="1586"/>
      <c r="AP47" s="165"/>
      <c r="AQ47" s="1588"/>
      <c r="AR47" s="166"/>
      <c r="AS47" s="94"/>
      <c r="AT47" s="1547"/>
    </row>
    <row r="48" ht="13.5" customHeight="1">
      <c r="A48" s="1609"/>
      <c r="B48" s="1569"/>
      <c r="C48" s="166"/>
      <c r="F48" s="104"/>
      <c r="G48" s="1589" t="s">
        <v>2674</v>
      </c>
      <c r="H48" s="1590"/>
      <c r="I48" s="1591" t="s">
        <v>2674</v>
      </c>
      <c r="J48" s="1592"/>
      <c r="K48" s="1593" t="s">
        <v>2674</v>
      </c>
      <c r="L48" s="1590"/>
      <c r="M48" s="1591" t="s">
        <v>2674</v>
      </c>
      <c r="N48" s="1590"/>
      <c r="O48" s="1589" t="s">
        <v>2674</v>
      </c>
      <c r="P48" s="1590"/>
      <c r="Q48" s="1591" t="s">
        <v>2674</v>
      </c>
      <c r="R48" s="1594"/>
      <c r="S48" s="1593" t="s">
        <v>2674</v>
      </c>
      <c r="T48" s="1592"/>
      <c r="U48" s="1593" t="s">
        <v>2674</v>
      </c>
      <c r="V48" s="1594"/>
      <c r="Y48" s="166"/>
      <c r="AA48" s="166"/>
      <c r="AC48" s="107"/>
      <c r="AE48" s="166"/>
      <c r="AG48" s="166"/>
      <c r="AI48" s="166"/>
      <c r="AK48" s="107"/>
      <c r="AM48" s="166"/>
      <c r="AO48" s="166"/>
      <c r="AQ48" s="1576"/>
      <c r="AR48" s="166"/>
      <c r="AS48" s="94"/>
      <c r="AT48" s="1547"/>
    </row>
    <row r="49" ht="13.5" customHeight="1">
      <c r="A49" s="1609"/>
      <c r="B49" s="1569"/>
      <c r="C49" s="1577"/>
      <c r="F49" s="1578" t="s">
        <v>2677</v>
      </c>
      <c r="G49" s="1595"/>
      <c r="H49" s="1574" t="s">
        <v>2674</v>
      </c>
      <c r="I49" s="1596"/>
      <c r="J49" s="1597" t="s">
        <v>2674</v>
      </c>
      <c r="K49" s="1571"/>
      <c r="L49" s="1574" t="s">
        <v>2674</v>
      </c>
      <c r="M49" s="1596"/>
      <c r="N49" s="1574" t="s">
        <v>2674</v>
      </c>
      <c r="O49" s="1595"/>
      <c r="P49" s="1574" t="s">
        <v>2674</v>
      </c>
      <c r="Q49" s="1596"/>
      <c r="R49" s="1598" t="s">
        <v>2674</v>
      </c>
      <c r="S49" s="1571"/>
      <c r="T49" s="1597" t="s">
        <v>2674</v>
      </c>
      <c r="U49" s="1571"/>
      <c r="V49" s="1598" t="s">
        <v>2674</v>
      </c>
      <c r="W49" s="1585"/>
      <c r="X49" s="165"/>
      <c r="Y49" s="1586"/>
      <c r="Z49" s="165"/>
      <c r="AA49" s="1586"/>
      <c r="AB49" s="165"/>
      <c r="AC49" s="1587"/>
      <c r="AD49" s="165"/>
      <c r="AE49" s="1586"/>
      <c r="AF49" s="165"/>
      <c r="AG49" s="1586"/>
      <c r="AH49" s="165"/>
      <c r="AI49" s="1586"/>
      <c r="AJ49" s="165"/>
      <c r="AK49" s="1587"/>
      <c r="AL49" s="165"/>
      <c r="AM49" s="1586"/>
      <c r="AN49" s="165"/>
      <c r="AO49" s="1586"/>
      <c r="AP49" s="165"/>
      <c r="AQ49" s="1588"/>
      <c r="AR49" s="166"/>
      <c r="AS49" s="94"/>
      <c r="AT49" s="1547"/>
    </row>
    <row r="50" ht="13.5" customHeight="1">
      <c r="A50" s="1610"/>
      <c r="B50" s="1599"/>
      <c r="C50" s="166"/>
      <c r="F50" s="1600"/>
      <c r="G50" s="1601" t="s">
        <v>2674</v>
      </c>
      <c r="H50" s="1602"/>
      <c r="I50" s="1603" t="s">
        <v>2674</v>
      </c>
      <c r="J50" s="1604"/>
      <c r="K50" s="1605" t="s">
        <v>2674</v>
      </c>
      <c r="L50" s="1602"/>
      <c r="M50" s="1603" t="s">
        <v>2674</v>
      </c>
      <c r="N50" s="1602"/>
      <c r="O50" s="1601" t="s">
        <v>2674</v>
      </c>
      <c r="P50" s="1602"/>
      <c r="Q50" s="1603" t="s">
        <v>2674</v>
      </c>
      <c r="R50" s="1606"/>
      <c r="S50" s="1605" t="s">
        <v>2674</v>
      </c>
      <c r="T50" s="1604"/>
      <c r="U50" s="1605" t="s">
        <v>2674</v>
      </c>
      <c r="V50" s="1606"/>
      <c r="Y50" s="166"/>
      <c r="AA50" s="166"/>
      <c r="AC50" s="107"/>
      <c r="AE50" s="166"/>
      <c r="AG50" s="166"/>
      <c r="AI50" s="166"/>
      <c r="AK50" s="107"/>
      <c r="AM50" s="166"/>
      <c r="AO50" s="166"/>
      <c r="AQ50" s="1599"/>
      <c r="AR50" s="1600"/>
      <c r="AS50" s="161"/>
      <c r="AT50" s="1607"/>
    </row>
    <row r="51" ht="13.5" customHeight="1">
      <c r="A51" s="1609"/>
      <c r="B51" s="1611"/>
      <c r="C51" s="1554"/>
      <c r="D51" s="84"/>
      <c r="E51" s="84"/>
      <c r="F51" s="1555" t="s">
        <v>2673</v>
      </c>
      <c r="G51" s="1595"/>
      <c r="H51" s="1574" t="s">
        <v>2674</v>
      </c>
      <c r="I51" s="1596"/>
      <c r="J51" s="1597" t="s">
        <v>2674</v>
      </c>
      <c r="K51" s="1571"/>
      <c r="L51" s="1574" t="s">
        <v>2674</v>
      </c>
      <c r="M51" s="1596"/>
      <c r="N51" s="1574" t="s">
        <v>2674</v>
      </c>
      <c r="O51" s="1595"/>
      <c r="P51" s="1574" t="s">
        <v>2674</v>
      </c>
      <c r="Q51" s="1596"/>
      <c r="R51" s="1598" t="s">
        <v>2674</v>
      </c>
      <c r="S51" s="1571"/>
      <c r="T51" s="1597" t="s">
        <v>2674</v>
      </c>
      <c r="U51" s="1571"/>
      <c r="V51" s="1598" t="s">
        <v>2674</v>
      </c>
      <c r="W51" s="1562"/>
      <c r="X51" s="1055"/>
      <c r="Y51" s="1563"/>
      <c r="Z51" s="1055"/>
      <c r="AA51" s="1563"/>
      <c r="AB51" s="86"/>
      <c r="AC51" s="1564"/>
      <c r="AD51" s="1055"/>
      <c r="AE51" s="1563"/>
      <c r="AF51" s="1055"/>
      <c r="AG51" s="1563"/>
      <c r="AH51" s="1055"/>
      <c r="AI51" s="1563"/>
      <c r="AJ51" s="86"/>
      <c r="AK51" s="1564"/>
      <c r="AL51" s="1055"/>
      <c r="AM51" s="1563"/>
      <c r="AN51" s="1055"/>
      <c r="AO51" s="1563"/>
      <c r="AP51" s="86"/>
      <c r="AQ51" s="1565"/>
      <c r="AR51" s="1566"/>
      <c r="AS51" s="1055"/>
      <c r="AT51" s="1567"/>
    </row>
    <row r="52" ht="13.5" customHeight="1">
      <c r="A52" s="1609"/>
      <c r="B52" s="1569"/>
      <c r="C52" s="166"/>
      <c r="F52" s="104"/>
      <c r="G52" s="1570" t="s">
        <v>2674</v>
      </c>
      <c r="H52" s="1571"/>
      <c r="I52" s="1572" t="s">
        <v>2674</v>
      </c>
      <c r="J52" s="1573"/>
      <c r="K52" s="1574" t="s">
        <v>2674</v>
      </c>
      <c r="L52" s="1571"/>
      <c r="M52" s="1572" t="s">
        <v>2674</v>
      </c>
      <c r="N52" s="1571"/>
      <c r="O52" s="1570" t="s">
        <v>2674</v>
      </c>
      <c r="P52" s="1571"/>
      <c r="Q52" s="1572" t="s">
        <v>2674</v>
      </c>
      <c r="R52" s="1575"/>
      <c r="S52" s="1574" t="s">
        <v>2674</v>
      </c>
      <c r="T52" s="1573"/>
      <c r="U52" s="1574" t="s">
        <v>2674</v>
      </c>
      <c r="V52" s="1575"/>
      <c r="W52" s="77"/>
      <c r="X52" s="55"/>
      <c r="Y52" s="104"/>
      <c r="Z52" s="55"/>
      <c r="AA52" s="104"/>
      <c r="AB52" s="78"/>
      <c r="AC52" s="1192"/>
      <c r="AD52" s="55"/>
      <c r="AE52" s="104"/>
      <c r="AF52" s="55"/>
      <c r="AG52" s="104"/>
      <c r="AH52" s="55"/>
      <c r="AI52" s="104"/>
      <c r="AJ52" s="78"/>
      <c r="AK52" s="1192"/>
      <c r="AL52" s="55"/>
      <c r="AM52" s="104"/>
      <c r="AN52" s="55"/>
      <c r="AO52" s="104"/>
      <c r="AP52" s="78"/>
      <c r="AQ52" s="1576"/>
      <c r="AR52" s="166"/>
      <c r="AS52" s="94"/>
      <c r="AT52" s="1547"/>
    </row>
    <row r="53" ht="13.5" customHeight="1">
      <c r="A53" s="1609"/>
      <c r="B53" s="1569"/>
      <c r="C53" s="1577"/>
      <c r="F53" s="1578" t="s">
        <v>2676</v>
      </c>
      <c r="G53" s="1579"/>
      <c r="H53" s="1580" t="s">
        <v>2674</v>
      </c>
      <c r="I53" s="1581"/>
      <c r="J53" s="1582" t="s">
        <v>2674</v>
      </c>
      <c r="K53" s="1583"/>
      <c r="L53" s="1580" t="s">
        <v>2674</v>
      </c>
      <c r="M53" s="1581"/>
      <c r="N53" s="1580" t="s">
        <v>2674</v>
      </c>
      <c r="O53" s="1579"/>
      <c r="P53" s="1580" t="s">
        <v>2674</v>
      </c>
      <c r="Q53" s="1581"/>
      <c r="R53" s="1584" t="s">
        <v>2674</v>
      </c>
      <c r="S53" s="1583"/>
      <c r="T53" s="1582" t="s">
        <v>2674</v>
      </c>
      <c r="U53" s="1583"/>
      <c r="V53" s="1584" t="s">
        <v>2674</v>
      </c>
      <c r="W53" s="1585"/>
      <c r="X53" s="165"/>
      <c r="Y53" s="1586"/>
      <c r="Z53" s="165"/>
      <c r="AA53" s="1586"/>
      <c r="AB53" s="165"/>
      <c r="AC53" s="1587"/>
      <c r="AD53" s="165"/>
      <c r="AE53" s="1586"/>
      <c r="AF53" s="165"/>
      <c r="AG53" s="1586"/>
      <c r="AH53" s="165"/>
      <c r="AI53" s="1586"/>
      <c r="AJ53" s="165"/>
      <c r="AK53" s="1587"/>
      <c r="AL53" s="165"/>
      <c r="AM53" s="1586"/>
      <c r="AN53" s="165"/>
      <c r="AO53" s="1586"/>
      <c r="AP53" s="165"/>
      <c r="AQ53" s="1588"/>
      <c r="AR53" s="166"/>
      <c r="AS53" s="94"/>
      <c r="AT53" s="1547"/>
    </row>
    <row r="54" ht="13.5" customHeight="1">
      <c r="A54" s="1609"/>
      <c r="B54" s="1569"/>
      <c r="C54" s="166"/>
      <c r="F54" s="104"/>
      <c r="G54" s="1589" t="s">
        <v>2674</v>
      </c>
      <c r="H54" s="1590"/>
      <c r="I54" s="1591" t="s">
        <v>2674</v>
      </c>
      <c r="J54" s="1592"/>
      <c r="K54" s="1593" t="s">
        <v>2674</v>
      </c>
      <c r="L54" s="1590"/>
      <c r="M54" s="1591" t="s">
        <v>2674</v>
      </c>
      <c r="N54" s="1590"/>
      <c r="O54" s="1589" t="s">
        <v>2674</v>
      </c>
      <c r="P54" s="1590"/>
      <c r="Q54" s="1591" t="s">
        <v>2674</v>
      </c>
      <c r="R54" s="1594"/>
      <c r="S54" s="1593" t="s">
        <v>2674</v>
      </c>
      <c r="T54" s="1592"/>
      <c r="U54" s="1593" t="s">
        <v>2674</v>
      </c>
      <c r="V54" s="1594"/>
      <c r="Y54" s="166"/>
      <c r="AA54" s="166"/>
      <c r="AC54" s="107"/>
      <c r="AE54" s="166"/>
      <c r="AG54" s="166"/>
      <c r="AI54" s="166"/>
      <c r="AK54" s="107"/>
      <c r="AM54" s="166"/>
      <c r="AO54" s="166"/>
      <c r="AQ54" s="1576"/>
      <c r="AR54" s="166"/>
      <c r="AS54" s="94"/>
      <c r="AT54" s="1547"/>
    </row>
    <row r="55" ht="13.5" customHeight="1">
      <c r="A55" s="1609"/>
      <c r="B55" s="1569"/>
      <c r="C55" s="1577"/>
      <c r="F55" s="1578" t="s">
        <v>2677</v>
      </c>
      <c r="G55" s="1595"/>
      <c r="H55" s="1574" t="s">
        <v>2674</v>
      </c>
      <c r="I55" s="1612"/>
      <c r="J55" s="1597" t="s">
        <v>2674</v>
      </c>
      <c r="K55" s="1613"/>
      <c r="L55" s="1574" t="s">
        <v>2674</v>
      </c>
      <c r="M55" s="1612"/>
      <c r="N55" s="1574" t="s">
        <v>2674</v>
      </c>
      <c r="O55" s="1595"/>
      <c r="P55" s="1574" t="s">
        <v>2674</v>
      </c>
      <c r="Q55" s="1612"/>
      <c r="R55" s="1598" t="s">
        <v>2674</v>
      </c>
      <c r="S55" s="1571"/>
      <c r="T55" s="1597" t="s">
        <v>2674</v>
      </c>
      <c r="U55" s="1613"/>
      <c r="V55" s="1598" t="s">
        <v>2674</v>
      </c>
      <c r="W55" s="1585"/>
      <c r="X55" s="165"/>
      <c r="Y55" s="1586"/>
      <c r="Z55" s="165"/>
      <c r="AA55" s="1586"/>
      <c r="AB55" s="165"/>
      <c r="AC55" s="1587"/>
      <c r="AD55" s="165"/>
      <c r="AE55" s="1586"/>
      <c r="AF55" s="165"/>
      <c r="AG55" s="1586"/>
      <c r="AH55" s="165"/>
      <c r="AI55" s="1586"/>
      <c r="AJ55" s="165"/>
      <c r="AK55" s="1587"/>
      <c r="AL55" s="165"/>
      <c r="AM55" s="1586"/>
      <c r="AN55" s="165"/>
      <c r="AO55" s="1586"/>
      <c r="AP55" s="165"/>
      <c r="AQ55" s="1588"/>
      <c r="AR55" s="166"/>
      <c r="AS55" s="94"/>
      <c r="AT55" s="1547"/>
    </row>
    <row r="56" ht="13.5" customHeight="1">
      <c r="A56" s="1610"/>
      <c r="B56" s="1599"/>
      <c r="C56" s="166"/>
      <c r="F56" s="1600"/>
      <c r="G56" s="1570" t="s">
        <v>2674</v>
      </c>
      <c r="H56" s="1571"/>
      <c r="I56" s="1572" t="s">
        <v>2674</v>
      </c>
      <c r="J56" s="1573"/>
      <c r="K56" s="1574" t="s">
        <v>2674</v>
      </c>
      <c r="L56" s="1571"/>
      <c r="M56" s="1572" t="s">
        <v>2674</v>
      </c>
      <c r="N56" s="1571"/>
      <c r="O56" s="1570" t="s">
        <v>2674</v>
      </c>
      <c r="P56" s="1571"/>
      <c r="Q56" s="1572" t="s">
        <v>2674</v>
      </c>
      <c r="R56" s="1575"/>
      <c r="S56" s="1574" t="s">
        <v>2674</v>
      </c>
      <c r="T56" s="1573"/>
      <c r="U56" s="1574" t="s">
        <v>2674</v>
      </c>
      <c r="V56" s="1575"/>
      <c r="Y56" s="166"/>
      <c r="AA56" s="166"/>
      <c r="AC56" s="107"/>
      <c r="AE56" s="166"/>
      <c r="AG56" s="166"/>
      <c r="AI56" s="166"/>
      <c r="AK56" s="107"/>
      <c r="AM56" s="166"/>
      <c r="AO56" s="166"/>
      <c r="AQ56" s="1599"/>
      <c r="AR56" s="1600"/>
      <c r="AS56" s="161"/>
      <c r="AT56" s="1607"/>
    </row>
    <row r="57" ht="13.5" customHeight="1">
      <c r="A57" s="1609"/>
      <c r="B57" s="1611"/>
      <c r="C57" s="1554"/>
      <c r="D57" s="84"/>
      <c r="E57" s="84"/>
      <c r="F57" s="1555" t="s">
        <v>2673</v>
      </c>
      <c r="G57" s="1614"/>
      <c r="H57" s="1557" t="s">
        <v>2674</v>
      </c>
      <c r="I57" s="1615"/>
      <c r="J57" s="1559" t="s">
        <v>2674</v>
      </c>
      <c r="K57" s="1616"/>
      <c r="L57" s="1557" t="s">
        <v>2674</v>
      </c>
      <c r="M57" s="1615"/>
      <c r="N57" s="1557" t="s">
        <v>2674</v>
      </c>
      <c r="O57" s="1614"/>
      <c r="P57" s="1557" t="s">
        <v>2674</v>
      </c>
      <c r="Q57" s="1615"/>
      <c r="R57" s="1561" t="s">
        <v>2674</v>
      </c>
      <c r="S57" s="1616"/>
      <c r="T57" s="1559" t="s">
        <v>2674</v>
      </c>
      <c r="U57" s="1616"/>
      <c r="V57" s="1561" t="s">
        <v>2674</v>
      </c>
      <c r="W57" s="1562"/>
      <c r="X57" s="1055"/>
      <c r="Y57" s="1563"/>
      <c r="Z57" s="1055"/>
      <c r="AA57" s="1563"/>
      <c r="AB57" s="86"/>
      <c r="AC57" s="1564"/>
      <c r="AD57" s="1055"/>
      <c r="AE57" s="1563"/>
      <c r="AF57" s="1055"/>
      <c r="AG57" s="1563"/>
      <c r="AH57" s="1055"/>
      <c r="AI57" s="1563"/>
      <c r="AJ57" s="86"/>
      <c r="AK57" s="1564"/>
      <c r="AL57" s="1055"/>
      <c r="AM57" s="1563"/>
      <c r="AN57" s="1055"/>
      <c r="AO57" s="1563"/>
      <c r="AP57" s="86"/>
      <c r="AQ57" s="1565"/>
      <c r="AR57" s="1566"/>
      <c r="AS57" s="1055"/>
      <c r="AT57" s="1567"/>
    </row>
    <row r="58" ht="13.5" customHeight="1">
      <c r="A58" s="1609"/>
      <c r="B58" s="1569"/>
      <c r="C58" s="166"/>
      <c r="F58" s="104"/>
      <c r="G58" s="1570" t="s">
        <v>2674</v>
      </c>
      <c r="H58" s="1571"/>
      <c r="I58" s="1572" t="s">
        <v>2674</v>
      </c>
      <c r="J58" s="1573"/>
      <c r="K58" s="1574" t="s">
        <v>2674</v>
      </c>
      <c r="L58" s="1571"/>
      <c r="M58" s="1572" t="s">
        <v>2674</v>
      </c>
      <c r="N58" s="1571"/>
      <c r="O58" s="1570" t="s">
        <v>2674</v>
      </c>
      <c r="P58" s="1571"/>
      <c r="Q58" s="1572" t="s">
        <v>2674</v>
      </c>
      <c r="R58" s="1575"/>
      <c r="S58" s="1574" t="s">
        <v>2674</v>
      </c>
      <c r="T58" s="1573"/>
      <c r="U58" s="1574" t="s">
        <v>2674</v>
      </c>
      <c r="V58" s="1575"/>
      <c r="W58" s="77"/>
      <c r="X58" s="55"/>
      <c r="Y58" s="104"/>
      <c r="Z58" s="55"/>
      <c r="AA58" s="104"/>
      <c r="AB58" s="78"/>
      <c r="AC58" s="1192"/>
      <c r="AD58" s="55"/>
      <c r="AE58" s="104"/>
      <c r="AF58" s="55"/>
      <c r="AG58" s="104"/>
      <c r="AH58" s="55"/>
      <c r="AI58" s="104"/>
      <c r="AJ58" s="78"/>
      <c r="AK58" s="1192"/>
      <c r="AL58" s="55"/>
      <c r="AM58" s="104"/>
      <c r="AN58" s="55"/>
      <c r="AO58" s="104"/>
      <c r="AP58" s="78"/>
      <c r="AQ58" s="1576"/>
      <c r="AR58" s="166"/>
      <c r="AS58" s="94"/>
      <c r="AT58" s="1547"/>
    </row>
    <row r="59" ht="13.5" customHeight="1">
      <c r="A59" s="1609"/>
      <c r="B59" s="1569"/>
      <c r="C59" s="1577"/>
      <c r="F59" s="1578" t="s">
        <v>2676</v>
      </c>
      <c r="G59" s="1617"/>
      <c r="H59" s="1580" t="s">
        <v>2674</v>
      </c>
      <c r="I59" s="1618"/>
      <c r="J59" s="1582" t="s">
        <v>2674</v>
      </c>
      <c r="K59" s="1619"/>
      <c r="L59" s="1580" t="s">
        <v>2674</v>
      </c>
      <c r="M59" s="1618"/>
      <c r="N59" s="1580" t="s">
        <v>2674</v>
      </c>
      <c r="O59" s="1620"/>
      <c r="P59" s="1580" t="s">
        <v>2674</v>
      </c>
      <c r="Q59" s="1618"/>
      <c r="R59" s="1584" t="s">
        <v>2674</v>
      </c>
      <c r="S59" s="1619"/>
      <c r="T59" s="1582" t="s">
        <v>2674</v>
      </c>
      <c r="U59" s="1619"/>
      <c r="V59" s="1584" t="s">
        <v>2674</v>
      </c>
      <c r="W59" s="1585"/>
      <c r="X59" s="165"/>
      <c r="Y59" s="1586"/>
      <c r="Z59" s="165"/>
      <c r="AA59" s="1586"/>
      <c r="AB59" s="165"/>
      <c r="AC59" s="1587"/>
      <c r="AD59" s="165"/>
      <c r="AE59" s="1586"/>
      <c r="AF59" s="165"/>
      <c r="AG59" s="1586"/>
      <c r="AH59" s="165"/>
      <c r="AI59" s="1586"/>
      <c r="AJ59" s="165"/>
      <c r="AK59" s="1587"/>
      <c r="AL59" s="165"/>
      <c r="AM59" s="1586"/>
      <c r="AN59" s="165"/>
      <c r="AO59" s="1586"/>
      <c r="AP59" s="165"/>
      <c r="AQ59" s="1588"/>
      <c r="AR59" s="166"/>
      <c r="AS59" s="94"/>
      <c r="AT59" s="1547"/>
    </row>
    <row r="60" ht="13.5" customHeight="1">
      <c r="A60" s="1609"/>
      <c r="B60" s="1569"/>
      <c r="C60" s="166"/>
      <c r="F60" s="104"/>
      <c r="G60" s="1589" t="s">
        <v>2674</v>
      </c>
      <c r="H60" s="1621"/>
      <c r="I60" s="1591" t="s">
        <v>2674</v>
      </c>
      <c r="J60" s="1622"/>
      <c r="K60" s="1593" t="s">
        <v>2674</v>
      </c>
      <c r="L60" s="1621"/>
      <c r="M60" s="1591" t="s">
        <v>2674</v>
      </c>
      <c r="N60" s="1621"/>
      <c r="O60" s="1589" t="s">
        <v>2674</v>
      </c>
      <c r="P60" s="1621"/>
      <c r="Q60" s="1591" t="s">
        <v>2674</v>
      </c>
      <c r="R60" s="1623"/>
      <c r="S60" s="1593" t="s">
        <v>2674</v>
      </c>
      <c r="T60" s="1622"/>
      <c r="U60" s="1593" t="s">
        <v>2674</v>
      </c>
      <c r="V60" s="1623"/>
      <c r="Y60" s="166"/>
      <c r="AA60" s="166"/>
      <c r="AC60" s="107"/>
      <c r="AE60" s="166"/>
      <c r="AG60" s="166"/>
      <c r="AI60" s="166"/>
      <c r="AK60" s="107"/>
      <c r="AM60" s="166"/>
      <c r="AO60" s="166"/>
      <c r="AQ60" s="1576"/>
      <c r="AR60" s="166"/>
      <c r="AS60" s="94"/>
      <c r="AT60" s="1547"/>
    </row>
    <row r="61" ht="13.5" customHeight="1">
      <c r="A61" s="1609"/>
      <c r="B61" s="1569"/>
      <c r="C61" s="1624"/>
      <c r="E61" s="94"/>
      <c r="F61" s="1578" t="s">
        <v>2677</v>
      </c>
      <c r="G61" s="1625"/>
      <c r="H61" s="1574" t="s">
        <v>2674</v>
      </c>
      <c r="I61" s="1626"/>
      <c r="J61" s="1597" t="s">
        <v>2674</v>
      </c>
      <c r="K61" s="1627"/>
      <c r="L61" s="1574" t="s">
        <v>2674</v>
      </c>
      <c r="M61" s="1626"/>
      <c r="N61" s="1574" t="s">
        <v>2674</v>
      </c>
      <c r="O61" s="1628"/>
      <c r="P61" s="1574" t="s">
        <v>2674</v>
      </c>
      <c r="Q61" s="1626"/>
      <c r="R61" s="1598" t="s">
        <v>2674</v>
      </c>
      <c r="S61" s="1627"/>
      <c r="T61" s="1597" t="s">
        <v>2674</v>
      </c>
      <c r="U61" s="1627"/>
      <c r="V61" s="1598" t="s">
        <v>2674</v>
      </c>
      <c r="W61" s="1585"/>
      <c r="X61" s="165"/>
      <c r="Y61" s="1586"/>
      <c r="Z61" s="165"/>
      <c r="AA61" s="1586"/>
      <c r="AB61" s="165"/>
      <c r="AC61" s="1587"/>
      <c r="AD61" s="165"/>
      <c r="AE61" s="1586"/>
      <c r="AF61" s="165"/>
      <c r="AG61" s="1586"/>
      <c r="AH61" s="165"/>
      <c r="AI61" s="1586"/>
      <c r="AJ61" s="165"/>
      <c r="AK61" s="1587"/>
      <c r="AL61" s="165"/>
      <c r="AM61" s="1586"/>
      <c r="AN61" s="165"/>
      <c r="AO61" s="1586"/>
      <c r="AP61" s="165"/>
      <c r="AQ61" s="1588"/>
      <c r="AR61" s="166"/>
      <c r="AS61" s="94"/>
      <c r="AT61" s="1547"/>
    </row>
    <row r="62" ht="13.5" customHeight="1">
      <c r="A62" s="1610"/>
      <c r="B62" s="1599"/>
      <c r="C62" s="113"/>
      <c r="D62" s="113"/>
      <c r="E62" s="161"/>
      <c r="F62" s="1600"/>
      <c r="G62" s="1601" t="s">
        <v>2674</v>
      </c>
      <c r="H62" s="1629"/>
      <c r="I62" s="1603" t="s">
        <v>2674</v>
      </c>
      <c r="J62" s="1630"/>
      <c r="K62" s="1605" t="s">
        <v>2674</v>
      </c>
      <c r="L62" s="1631"/>
      <c r="M62" s="1603" t="s">
        <v>2674</v>
      </c>
      <c r="N62" s="1631"/>
      <c r="O62" s="1601" t="s">
        <v>2674</v>
      </c>
      <c r="P62" s="1631"/>
      <c r="Q62" s="1603" t="s">
        <v>2674</v>
      </c>
      <c r="R62" s="1632"/>
      <c r="S62" s="1605" t="s">
        <v>2674</v>
      </c>
      <c r="T62" s="1630"/>
      <c r="U62" s="1605" t="s">
        <v>2674</v>
      </c>
      <c r="V62" s="1632"/>
      <c r="Y62" s="166"/>
      <c r="AA62" s="166"/>
      <c r="AC62" s="107"/>
      <c r="AE62" s="166"/>
      <c r="AG62" s="166"/>
      <c r="AI62" s="166"/>
      <c r="AK62" s="107"/>
      <c r="AM62" s="166"/>
      <c r="AO62" s="166"/>
      <c r="AQ62" s="1599"/>
      <c r="AR62" s="1600"/>
      <c r="AS62" s="161"/>
      <c r="AT62" s="1607"/>
    </row>
    <row r="63" ht="13.5" customHeight="1">
      <c r="A63" s="1548"/>
      <c r="C63" s="94"/>
      <c r="D63" s="1633"/>
      <c r="E63" s="1634" t="s">
        <v>2679</v>
      </c>
      <c r="G63" s="1625">
        <f>G9+G15+G21+G27+G33+G39+G45+G51+G57</f>
        <v>0</v>
      </c>
      <c r="H63" s="1635" t="str">
        <f>char(823)</f>
        <v>̷</v>
      </c>
      <c r="I63" s="1636">
        <f>I9+I15+I21+I27+I33+I39+I45+I51+I57</f>
        <v>0</v>
      </c>
      <c r="J63" s="1635" t="str">
        <f>char(823)</f>
        <v>̷</v>
      </c>
      <c r="K63" s="1636">
        <f>K9+K15+K21+K27+K33+K39+K45+K51+K57</f>
        <v>0</v>
      </c>
      <c r="L63" s="1635" t="str">
        <f>char(823)</f>
        <v>̷</v>
      </c>
      <c r="M63" s="1636">
        <f>M9+M15+M21+M27+M33+M39+M45+M51+M57</f>
        <v>0</v>
      </c>
      <c r="N63" s="1637" t="s">
        <v>2680</v>
      </c>
      <c r="O63" s="1638">
        <f>O9+O15+O21+O27+O33+O39+O45+O51+O57</f>
        <v>0</v>
      </c>
      <c r="P63" s="1635" t="str">
        <f>char(823)</f>
        <v>̷</v>
      </c>
      <c r="Q63" s="1636">
        <f>Q9+Q15+Q21+Q27+Q33+Q39+Q45+Q51+Q57</f>
        <v>0</v>
      </c>
      <c r="R63" s="1637" t="s">
        <v>2680</v>
      </c>
      <c r="S63" s="1636">
        <f>S9+S15+S21+S27+S33+S39+S45+S51+S57</f>
        <v>0</v>
      </c>
      <c r="T63" s="1635" t="str">
        <f>char(823)</f>
        <v>̷</v>
      </c>
      <c r="U63" s="1636">
        <f>U9+U15+U21+U27+U33+U39+U45+U51+U57</f>
        <v>0</v>
      </c>
      <c r="V63" s="1637" t="s">
        <v>2680</v>
      </c>
      <c r="W63" s="1563">
        <f>W9+W15+W21+W27+W33+W39+W45+W51+W57</f>
        <v>0</v>
      </c>
      <c r="X63" s="84"/>
      <c r="Y63" s="1563">
        <f>Y9+Y15+Y21+Y27+Y33+Y39+Y45+Y51+Y57</f>
        <v>0</v>
      </c>
      <c r="Z63" s="84"/>
      <c r="AA63" s="1563">
        <f>AA9+AA15+AA21+AA27+AA33+AA39+AA45+AA51+AA57</f>
        <v>0</v>
      </c>
      <c r="AB63" s="84"/>
      <c r="AC63" s="1564">
        <f>AC9+AC15+AC21+AC27+AC33+AC39+AC45+AC51+AC57</f>
        <v>0</v>
      </c>
      <c r="AD63" s="1055"/>
      <c r="AE63" s="1563">
        <f>AE9+AE15+AE21+AE27+AE33+AE39+AE45+AE51+AE57</f>
        <v>0</v>
      </c>
      <c r="AF63" s="84"/>
      <c r="AG63" s="1563">
        <f>AG9+AG15+AG21+AG27+AG33+AG39+AG45+AG51+AG57</f>
        <v>0</v>
      </c>
      <c r="AH63" s="84"/>
      <c r="AI63" s="1563">
        <f>AI9+AI15+AI21+AI27+AI33+AI39+AI45+AI51+AI57</f>
        <v>0</v>
      </c>
      <c r="AJ63" s="84"/>
      <c r="AK63" s="1564">
        <f>AK9+AK15+AK21+AK27+AK33+AK39+AK45+AK51+AK57</f>
        <v>0</v>
      </c>
      <c r="AL63" s="1055"/>
      <c r="AM63" s="1563">
        <f>AM9+AM15+AM21+AM27+AM33+AM39+AM45+AM51+AM57</f>
        <v>0</v>
      </c>
      <c r="AN63" s="84"/>
      <c r="AO63" s="1563">
        <f>AO9+AO15+AO21+AO27+AO33+AO39+AO45+AO51+AO57</f>
        <v>0</v>
      </c>
      <c r="AP63" s="86"/>
      <c r="AQ63" s="1562"/>
      <c r="AR63" s="1639" t="s">
        <v>2681</v>
      </c>
      <c r="AS63" s="84"/>
      <c r="AT63" s="86"/>
    </row>
    <row r="64" ht="13.5" customHeight="1">
      <c r="A64" s="107"/>
      <c r="C64" s="94"/>
      <c r="D64" s="807"/>
      <c r="E64" s="104"/>
      <c r="F64" s="77"/>
      <c r="G64" s="1640" t="str">
        <f>char(823)</f>
        <v>̷</v>
      </c>
      <c r="H64" s="1641">
        <f>H10+H16+H22+H28+H34+H40+H46+H52+H58</f>
        <v>0</v>
      </c>
      <c r="I64" s="1642" t="str">
        <f>char(823)</f>
        <v>̷</v>
      </c>
      <c r="J64" s="1641">
        <f>J10+J16+J22+J28+J34+J40+J46+J52+J58</f>
        <v>0</v>
      </c>
      <c r="K64" s="1642" t="str">
        <f>char(823)</f>
        <v>̷</v>
      </c>
      <c r="L64" s="1641">
        <f>L10+L16+L22+L28+L34+L40+L46+L52+L58</f>
        <v>0</v>
      </c>
      <c r="M64" s="1642" t="str">
        <f>char(823)</f>
        <v>̷</v>
      </c>
      <c r="N64" s="1643">
        <f>N10+N16+N22+N28+N34+N40+N46+N52+N58</f>
        <v>0</v>
      </c>
      <c r="O64" s="1641" t="str">
        <f>char(823)</f>
        <v>̷</v>
      </c>
      <c r="P64" s="1641">
        <f>P10+P16+P22+P28+P34+P40+P46+P52+P58</f>
        <v>0</v>
      </c>
      <c r="Q64" s="1642" t="str">
        <f>char(823)</f>
        <v>̷</v>
      </c>
      <c r="R64" s="1643">
        <f>R10+R16+R22+R28+R34+R40+R46+R52+R58</f>
        <v>0</v>
      </c>
      <c r="S64" s="1642" t="str">
        <f>char(823)</f>
        <v>̷</v>
      </c>
      <c r="T64" s="1641">
        <f>T10+T16+T22+T28+T34+T40+T46+T52+T58</f>
        <v>0</v>
      </c>
      <c r="U64" s="1642" t="str">
        <f>char(823)</f>
        <v>̷</v>
      </c>
      <c r="V64" s="1643">
        <f>V10+V16+V22+V28+V34+V40+V46+V52+V58</f>
        <v>0</v>
      </c>
      <c r="W64" s="166"/>
      <c r="Y64" s="166"/>
      <c r="AA64" s="166"/>
      <c r="AC64" s="1192"/>
      <c r="AD64" s="55"/>
      <c r="AE64" s="166"/>
      <c r="AG64" s="166"/>
      <c r="AI64" s="166"/>
      <c r="AK64" s="1192"/>
      <c r="AL64" s="55"/>
      <c r="AM64" s="166"/>
      <c r="AO64" s="104"/>
      <c r="AP64" s="78"/>
      <c r="AQ64" s="77"/>
      <c r="AR64" s="1644" t="s">
        <v>2682</v>
      </c>
      <c r="AT64" s="108"/>
    </row>
    <row r="65" ht="13.5" customHeight="1">
      <c r="A65" s="1548"/>
      <c r="C65" s="94"/>
      <c r="D65" s="1645"/>
      <c r="E65" s="1646" t="s">
        <v>2683</v>
      </c>
      <c r="F65" s="94"/>
      <c r="G65" s="1647"/>
      <c r="H65" s="1648" t="str">
        <f>char(823)</f>
        <v>̷</v>
      </c>
      <c r="I65" s="1649"/>
      <c r="J65" s="1648" t="str">
        <f>char(823)</f>
        <v>̷</v>
      </c>
      <c r="K65" s="1649"/>
      <c r="L65" s="1648" t="str">
        <f>char(823)</f>
        <v>̷</v>
      </c>
      <c r="M65" s="1636"/>
      <c r="N65" s="1650" t="s">
        <v>2680</v>
      </c>
      <c r="O65" s="1638"/>
      <c r="P65" s="1651" t="s">
        <v>2680</v>
      </c>
      <c r="Q65" s="1636"/>
      <c r="R65" s="1650" t="s">
        <v>2680</v>
      </c>
      <c r="S65" s="1625"/>
      <c r="T65" s="1651" t="s">
        <v>2680</v>
      </c>
      <c r="U65" s="1636"/>
      <c r="V65" s="1650" t="s">
        <v>2680</v>
      </c>
      <c r="W65" s="1587"/>
      <c r="X65" s="165"/>
      <c r="Y65" s="1586"/>
      <c r="Z65" s="210"/>
      <c r="AA65" s="1586"/>
      <c r="AB65" s="517"/>
      <c r="AC65" s="1587"/>
      <c r="AD65" s="210"/>
      <c r="AE65" s="1586"/>
      <c r="AF65" s="210"/>
      <c r="AG65" s="1586"/>
      <c r="AH65" s="210"/>
      <c r="AI65" s="1586"/>
      <c r="AJ65" s="517"/>
      <c r="AK65" s="1587"/>
      <c r="AL65" s="210"/>
      <c r="AM65" s="1586"/>
      <c r="AN65" s="210"/>
      <c r="AO65" s="1586"/>
      <c r="AP65" s="517"/>
      <c r="AQ65" s="1585"/>
      <c r="AR65" s="107"/>
      <c r="AT65" s="108"/>
    </row>
    <row r="66" ht="13.5" customHeight="1">
      <c r="A66" s="107"/>
      <c r="C66" s="94"/>
      <c r="D66" s="166"/>
      <c r="E66" s="1192"/>
      <c r="F66" s="55"/>
      <c r="G66" s="1640" t="str">
        <f>char(823)</f>
        <v>̷</v>
      </c>
      <c r="H66" s="1652"/>
      <c r="I66" s="1653" t="str">
        <f>char(823)</f>
        <v>̷</v>
      </c>
      <c r="J66" s="1652"/>
      <c r="K66" s="1653" t="str">
        <f>char(823)</f>
        <v>̷</v>
      </c>
      <c r="L66" s="1652"/>
      <c r="M66" s="1641" t="s">
        <v>2680</v>
      </c>
      <c r="N66" s="1643"/>
      <c r="O66" s="1641" t="s">
        <v>2680</v>
      </c>
      <c r="P66" s="1654"/>
      <c r="Q66" s="1642" t="s">
        <v>2680</v>
      </c>
      <c r="R66" s="1643"/>
      <c r="S66" s="1655" t="s">
        <v>2680</v>
      </c>
      <c r="T66" s="1654"/>
      <c r="U66" s="1642" t="s">
        <v>2680</v>
      </c>
      <c r="V66" s="1643"/>
      <c r="W66" s="1192"/>
      <c r="X66" s="77"/>
      <c r="Y66" s="104"/>
      <c r="Z66" s="55"/>
      <c r="AA66" s="104"/>
      <c r="AB66" s="78"/>
      <c r="AC66" s="1192"/>
      <c r="AD66" s="55"/>
      <c r="AE66" s="104"/>
      <c r="AF66" s="55"/>
      <c r="AG66" s="104"/>
      <c r="AH66" s="55"/>
      <c r="AI66" s="104"/>
      <c r="AJ66" s="78"/>
      <c r="AK66" s="1192"/>
      <c r="AL66" s="55"/>
      <c r="AM66" s="104"/>
      <c r="AN66" s="55"/>
      <c r="AO66" s="104"/>
      <c r="AP66" s="78"/>
      <c r="AQ66" s="77"/>
      <c r="AR66" s="107"/>
      <c r="AT66" s="108"/>
    </row>
    <row r="67" ht="13.5" customHeight="1">
      <c r="A67" s="1548"/>
      <c r="C67" s="94"/>
      <c r="D67" s="1645"/>
      <c r="E67" s="1656" t="s">
        <v>2684</v>
      </c>
      <c r="F67" s="210"/>
      <c r="G67" s="1625">
        <f>G63-G65</f>
        <v>0</v>
      </c>
      <c r="H67" s="1635"/>
      <c r="I67" s="1636">
        <f>I63-I65</f>
        <v>0</v>
      </c>
      <c r="J67" s="1635"/>
      <c r="K67" s="1636">
        <f>K63-K65</f>
        <v>0</v>
      </c>
      <c r="L67" s="1635"/>
      <c r="M67" s="1636">
        <f>M63-M65</f>
        <v>0</v>
      </c>
      <c r="N67" s="1637"/>
      <c r="O67" s="1585">
        <f>O63-O65</f>
        <v>0</v>
      </c>
      <c r="P67" s="1651"/>
      <c r="Q67" s="1586">
        <f>Q63-Q65</f>
        <v>0</v>
      </c>
      <c r="R67" s="1650"/>
      <c r="S67" s="1586">
        <f>S63-S65</f>
        <v>0</v>
      </c>
      <c r="T67" s="1585"/>
      <c r="U67" s="1586">
        <f>U63-U65</f>
        <v>0</v>
      </c>
      <c r="V67" s="1650"/>
      <c r="W67" s="1587">
        <f>W63-W65</f>
        <v>0</v>
      </c>
      <c r="X67" s="165"/>
      <c r="Y67" s="1586">
        <f>Y63-Y65</f>
        <v>0</v>
      </c>
      <c r="Z67" s="210"/>
      <c r="AA67" s="1585">
        <f>AA63-AA65</f>
        <v>0</v>
      </c>
      <c r="AB67" s="210"/>
      <c r="AC67" s="1587">
        <f>AC63-AC65</f>
        <v>0</v>
      </c>
      <c r="AD67" s="165"/>
      <c r="AE67" s="1586">
        <f>AE63-AE65</f>
        <v>0</v>
      </c>
      <c r="AF67" s="210"/>
      <c r="AG67" s="1585">
        <f>AG63-AG65</f>
        <v>0</v>
      </c>
      <c r="AH67" s="165"/>
      <c r="AI67" s="1586">
        <f>AI63-AI65</f>
        <v>0</v>
      </c>
      <c r="AJ67" s="517"/>
      <c r="AK67" s="1587">
        <f>AK63-AK65</f>
        <v>0</v>
      </c>
      <c r="AL67" s="165"/>
      <c r="AM67" s="1586">
        <f>AM63-AM65</f>
        <v>0</v>
      </c>
      <c r="AN67" s="210"/>
      <c r="AO67" s="1586">
        <f>AO63-AO65</f>
        <v>0</v>
      </c>
      <c r="AP67" s="517"/>
      <c r="AQ67" s="1585"/>
      <c r="AR67" s="107"/>
      <c r="AT67" s="108"/>
    </row>
    <row r="68" ht="13.5" customHeight="1">
      <c r="A68" s="79"/>
      <c r="B68" s="113"/>
      <c r="C68" s="161"/>
      <c r="D68" s="1600"/>
      <c r="E68" s="79"/>
      <c r="F68" s="161"/>
      <c r="G68" s="1657"/>
      <c r="H68" s="1658">
        <f>H64-H66</f>
        <v>0</v>
      </c>
      <c r="I68" s="1659"/>
      <c r="J68" s="1658">
        <f>J64-J66</f>
        <v>0</v>
      </c>
      <c r="K68" s="1659"/>
      <c r="L68" s="1658">
        <f>L64-L66</f>
        <v>0</v>
      </c>
      <c r="M68" s="1659"/>
      <c r="N68" s="1660">
        <f>N64-N66</f>
        <v>0</v>
      </c>
      <c r="O68" s="1629"/>
      <c r="P68" s="1658">
        <f>P64-P66</f>
        <v>0</v>
      </c>
      <c r="Q68" s="1659"/>
      <c r="R68" s="1660">
        <f>R64-R66</f>
        <v>0</v>
      </c>
      <c r="S68" s="1659"/>
      <c r="T68" s="1658">
        <f>T64-T66</f>
        <v>0</v>
      </c>
      <c r="U68" s="1659"/>
      <c r="V68" s="1660">
        <f>V64-V66</f>
        <v>0</v>
      </c>
      <c r="W68" s="79"/>
      <c r="X68" s="113"/>
      <c r="Y68" s="1600"/>
      <c r="Z68" s="161"/>
      <c r="AA68" s="113"/>
      <c r="AB68" s="161"/>
      <c r="AC68" s="79"/>
      <c r="AD68" s="113"/>
      <c r="AE68" s="1600"/>
      <c r="AF68" s="161"/>
      <c r="AG68" s="113"/>
      <c r="AH68" s="113"/>
      <c r="AI68" s="1600"/>
      <c r="AJ68" s="115"/>
      <c r="AK68" s="79"/>
      <c r="AL68" s="113"/>
      <c r="AM68" s="1600"/>
      <c r="AN68" s="161"/>
      <c r="AO68" s="1600"/>
      <c r="AP68" s="115"/>
      <c r="AQ68" s="113"/>
      <c r="AR68" s="79"/>
      <c r="AS68" s="113"/>
      <c r="AT68" s="115"/>
    </row>
    <row r="69" ht="13.5" customHeight="1">
      <c r="A69" s="921"/>
      <c r="B69" s="921"/>
      <c r="C69" s="921"/>
      <c r="D69" s="921"/>
      <c r="E69" s="921"/>
      <c r="F69" s="921"/>
      <c r="G69" s="921"/>
      <c r="H69" s="921"/>
      <c r="I69" s="921"/>
      <c r="J69" s="921"/>
      <c r="K69" s="921"/>
      <c r="L69" s="921"/>
      <c r="M69" s="921"/>
      <c r="N69" s="921"/>
      <c r="O69" s="921"/>
      <c r="P69" s="921"/>
      <c r="Q69" s="921"/>
      <c r="R69" s="921"/>
      <c r="S69" s="921"/>
      <c r="T69" s="921"/>
      <c r="U69" s="921"/>
      <c r="V69" s="921"/>
      <c r="W69" s="921"/>
      <c r="X69" s="921"/>
      <c r="Y69" s="921"/>
      <c r="Z69" s="921"/>
      <c r="AA69" s="921"/>
      <c r="AB69" s="921"/>
      <c r="AC69" s="921"/>
      <c r="AD69" s="921"/>
      <c r="AE69" s="921"/>
      <c r="AF69" s="921"/>
      <c r="AG69" s="921"/>
      <c r="AH69" s="921"/>
      <c r="AI69" s="921"/>
      <c r="AJ69" s="921"/>
      <c r="AK69" s="921"/>
      <c r="AL69" s="921"/>
      <c r="AM69" s="921"/>
      <c r="AN69" s="921"/>
      <c r="AO69" s="921"/>
      <c r="AP69" s="921"/>
      <c r="AQ69" s="921"/>
      <c r="AR69" s="921"/>
      <c r="AS69" s="921"/>
      <c r="AT69" s="921"/>
    </row>
    <row r="70" ht="13.5" customHeight="1">
      <c r="A70" s="921"/>
      <c r="B70" s="921"/>
      <c r="C70" s="921"/>
      <c r="D70" s="921"/>
      <c r="E70" s="921"/>
      <c r="F70" s="921"/>
      <c r="G70" s="921"/>
      <c r="H70" s="921"/>
      <c r="I70" s="921"/>
      <c r="J70" s="921"/>
      <c r="K70" s="921"/>
      <c r="L70" s="921"/>
      <c r="M70" s="921"/>
      <c r="N70" s="921"/>
      <c r="O70" s="921"/>
      <c r="P70" s="921"/>
      <c r="Q70" s="921"/>
      <c r="R70" s="921"/>
      <c r="S70" s="921"/>
      <c r="T70" s="921"/>
      <c r="U70" s="921"/>
      <c r="V70" s="921"/>
      <c r="W70" s="921"/>
      <c r="X70" s="921"/>
      <c r="Y70" s="921"/>
      <c r="Z70" s="921"/>
      <c r="AA70" s="921"/>
      <c r="AB70" s="921"/>
      <c r="AC70" s="921"/>
      <c r="AD70" s="921"/>
      <c r="AE70" s="921"/>
      <c r="AF70" s="921"/>
      <c r="AG70" s="921"/>
      <c r="AH70" s="921"/>
      <c r="AI70" s="921"/>
      <c r="AJ70" s="921"/>
      <c r="AK70" s="921"/>
      <c r="AL70" s="921"/>
      <c r="AM70" s="921"/>
      <c r="AN70" s="921"/>
      <c r="AO70" s="921"/>
      <c r="AP70" s="921"/>
      <c r="AQ70" s="921"/>
      <c r="AR70" s="921"/>
      <c r="AS70" s="921"/>
      <c r="AT70" s="921"/>
    </row>
    <row r="71" ht="13.5" customHeight="1">
      <c r="A71" s="921"/>
      <c r="B71" s="921"/>
      <c r="C71" s="921"/>
      <c r="D71" s="921"/>
      <c r="E71" s="921"/>
      <c r="F71" s="921"/>
      <c r="G71" s="921"/>
      <c r="H71" s="921"/>
      <c r="I71" s="921"/>
      <c r="J71" s="921"/>
      <c r="K71" s="921"/>
      <c r="L71" s="921"/>
      <c r="M71" s="921"/>
      <c r="N71" s="921"/>
      <c r="O71" s="921"/>
      <c r="P71" s="921"/>
      <c r="Q71" s="921"/>
      <c r="R71" s="921"/>
      <c r="S71" s="921"/>
      <c r="T71" s="921"/>
      <c r="U71" s="921"/>
      <c r="V71" s="921"/>
      <c r="W71" s="921"/>
      <c r="X71" s="921"/>
      <c r="Y71" s="921"/>
      <c r="Z71" s="921"/>
      <c r="AA71" s="921"/>
      <c r="AB71" s="921"/>
      <c r="AC71" s="921"/>
      <c r="AD71" s="921"/>
      <c r="AE71" s="921"/>
      <c r="AF71" s="921"/>
      <c r="AG71" s="921"/>
      <c r="AH71" s="921"/>
      <c r="AI71" s="921"/>
      <c r="AJ71" s="921"/>
      <c r="AK71" s="921"/>
      <c r="AL71" s="921"/>
      <c r="AM71" s="921"/>
      <c r="AN71" s="921"/>
      <c r="AO71" s="921"/>
      <c r="AP71" s="921"/>
      <c r="AQ71" s="921"/>
      <c r="AR71" s="921"/>
      <c r="AS71" s="921"/>
      <c r="AT71" s="921"/>
    </row>
    <row r="72" ht="13.5" customHeight="1">
      <c r="A72" s="921"/>
      <c r="B72" s="921"/>
      <c r="C72" s="921"/>
      <c r="D72" s="921"/>
      <c r="E72" s="921"/>
      <c r="F72" s="921"/>
      <c r="G72" s="921"/>
      <c r="H72" s="921"/>
      <c r="I72" s="921"/>
      <c r="J72" s="921"/>
      <c r="K72" s="921"/>
      <c r="L72" s="921"/>
      <c r="M72" s="921"/>
      <c r="N72" s="921"/>
      <c r="O72" s="921"/>
      <c r="P72" s="921"/>
      <c r="Q72" s="921"/>
      <c r="R72" s="921"/>
      <c r="S72" s="921"/>
      <c r="T72" s="921"/>
      <c r="U72" s="921"/>
      <c r="V72" s="921"/>
      <c r="W72" s="921"/>
      <c r="X72" s="921"/>
      <c r="Y72" s="921"/>
      <c r="Z72" s="921"/>
      <c r="AA72" s="921"/>
      <c r="AB72" s="921"/>
      <c r="AC72" s="921"/>
      <c r="AD72" s="921"/>
      <c r="AE72" s="921"/>
      <c r="AF72" s="921"/>
      <c r="AG72" s="921"/>
      <c r="AH72" s="921"/>
      <c r="AI72" s="921"/>
      <c r="AJ72" s="921"/>
      <c r="AK72" s="921"/>
      <c r="AL72" s="921"/>
      <c r="AM72" s="921"/>
      <c r="AN72" s="921"/>
      <c r="AO72" s="921"/>
      <c r="AP72" s="921"/>
      <c r="AQ72" s="921"/>
      <c r="AR72" s="921"/>
      <c r="AS72" s="921"/>
      <c r="AT72" s="921"/>
    </row>
    <row r="73" ht="13.5" customHeight="1">
      <c r="A73" s="921"/>
      <c r="B73" s="921"/>
      <c r="C73" s="921"/>
      <c r="D73" s="921"/>
      <c r="E73" s="921"/>
      <c r="F73" s="921"/>
      <c r="G73" s="921"/>
      <c r="H73" s="921"/>
      <c r="I73" s="921"/>
      <c r="J73" s="921"/>
      <c r="K73" s="921"/>
      <c r="L73" s="921"/>
      <c r="M73" s="921"/>
      <c r="N73" s="921"/>
      <c r="O73" s="921"/>
      <c r="P73" s="921"/>
      <c r="Q73" s="921"/>
      <c r="R73" s="921"/>
      <c r="S73" s="921"/>
      <c r="T73" s="921"/>
      <c r="U73" s="921"/>
      <c r="V73" s="921"/>
      <c r="W73" s="921"/>
      <c r="X73" s="921"/>
      <c r="Y73" s="921"/>
      <c r="Z73" s="921"/>
      <c r="AA73" s="921"/>
      <c r="AB73" s="921"/>
      <c r="AC73" s="921"/>
      <c r="AD73" s="921"/>
      <c r="AE73" s="921"/>
      <c r="AF73" s="921"/>
      <c r="AG73" s="921"/>
      <c r="AH73" s="921"/>
      <c r="AI73" s="921"/>
      <c r="AJ73" s="921"/>
      <c r="AK73" s="921"/>
      <c r="AL73" s="921"/>
      <c r="AM73" s="921"/>
      <c r="AN73" s="921"/>
      <c r="AO73" s="921"/>
      <c r="AP73" s="921"/>
      <c r="AQ73" s="921"/>
      <c r="AR73" s="921"/>
      <c r="AS73" s="921"/>
      <c r="AT73" s="921"/>
    </row>
    <row r="74" ht="13.5" customHeight="1">
      <c r="A74" s="921"/>
      <c r="B74" s="921"/>
      <c r="C74" s="921"/>
      <c r="D74" s="921"/>
      <c r="E74" s="921"/>
      <c r="F74" s="921"/>
      <c r="G74" s="921"/>
      <c r="H74" s="921"/>
      <c r="I74" s="921"/>
      <c r="J74" s="921"/>
      <c r="K74" s="921"/>
      <c r="L74" s="921"/>
      <c r="M74" s="921"/>
      <c r="N74" s="921"/>
      <c r="O74" s="921"/>
      <c r="P74" s="921"/>
      <c r="Q74" s="921"/>
      <c r="R74" s="921"/>
      <c r="S74" s="921"/>
      <c r="T74" s="921"/>
      <c r="U74" s="921"/>
      <c r="V74" s="921"/>
      <c r="W74" s="921"/>
      <c r="X74" s="921"/>
      <c r="Y74" s="921"/>
      <c r="Z74" s="921"/>
      <c r="AA74" s="921"/>
      <c r="AB74" s="921"/>
      <c r="AC74" s="921"/>
      <c r="AD74" s="921"/>
      <c r="AE74" s="921"/>
      <c r="AF74" s="921"/>
      <c r="AG74" s="921"/>
      <c r="AH74" s="921"/>
      <c r="AI74" s="921"/>
      <c r="AJ74" s="921"/>
      <c r="AK74" s="921"/>
      <c r="AL74" s="921"/>
      <c r="AM74" s="921"/>
      <c r="AN74" s="921"/>
      <c r="AO74" s="921"/>
      <c r="AP74" s="921"/>
      <c r="AQ74" s="921"/>
      <c r="AR74" s="921"/>
      <c r="AS74" s="921"/>
      <c r="AT74" s="921"/>
    </row>
    <row r="75" ht="13.5" customHeight="1">
      <c r="A75" s="921"/>
      <c r="B75" s="921"/>
      <c r="C75" s="921"/>
      <c r="D75" s="921"/>
      <c r="E75" s="921"/>
      <c r="F75" s="921"/>
      <c r="G75" s="921"/>
      <c r="H75" s="921"/>
      <c r="I75" s="921"/>
      <c r="J75" s="921"/>
      <c r="K75" s="921"/>
      <c r="L75" s="921"/>
      <c r="M75" s="921"/>
      <c r="N75" s="921"/>
      <c r="O75" s="921"/>
      <c r="P75" s="921"/>
      <c r="Q75" s="921"/>
      <c r="R75" s="921"/>
      <c r="S75" s="921"/>
      <c r="T75" s="921"/>
      <c r="U75" s="921"/>
      <c r="V75" s="921"/>
      <c r="W75" s="921"/>
      <c r="X75" s="921"/>
      <c r="Y75" s="921"/>
      <c r="Z75" s="921"/>
      <c r="AA75" s="921"/>
      <c r="AB75" s="921"/>
      <c r="AC75" s="921"/>
      <c r="AD75" s="921"/>
      <c r="AE75" s="921"/>
      <c r="AF75" s="921"/>
      <c r="AG75" s="921"/>
      <c r="AH75" s="921"/>
      <c r="AI75" s="921"/>
      <c r="AJ75" s="921"/>
      <c r="AK75" s="921"/>
      <c r="AL75" s="921"/>
      <c r="AM75" s="921"/>
      <c r="AN75" s="921"/>
      <c r="AO75" s="921"/>
      <c r="AP75" s="921"/>
      <c r="AQ75" s="921"/>
      <c r="AR75" s="921"/>
      <c r="AS75" s="921"/>
      <c r="AT75" s="921"/>
    </row>
    <row r="76" ht="13.5" customHeight="1">
      <c r="A76" s="921"/>
      <c r="B76" s="921"/>
      <c r="C76" s="921"/>
      <c r="D76" s="921"/>
      <c r="E76" s="921"/>
      <c r="F76" s="921"/>
      <c r="G76" s="921"/>
      <c r="H76" s="921"/>
      <c r="I76" s="921"/>
      <c r="J76" s="921"/>
      <c r="K76" s="921"/>
      <c r="L76" s="921"/>
      <c r="M76" s="921"/>
      <c r="N76" s="921"/>
      <c r="O76" s="921"/>
      <c r="P76" s="921"/>
      <c r="Q76" s="921"/>
      <c r="R76" s="921"/>
      <c r="S76" s="921"/>
      <c r="T76" s="921"/>
      <c r="U76" s="921"/>
      <c r="V76" s="921"/>
      <c r="W76" s="921"/>
      <c r="X76" s="921"/>
      <c r="Y76" s="921"/>
      <c r="Z76" s="921"/>
      <c r="AA76" s="921"/>
      <c r="AB76" s="921"/>
      <c r="AC76" s="921"/>
      <c r="AD76" s="921"/>
      <c r="AE76" s="921"/>
      <c r="AF76" s="921"/>
      <c r="AG76" s="921"/>
      <c r="AH76" s="921"/>
      <c r="AI76" s="921"/>
      <c r="AJ76" s="921"/>
      <c r="AK76" s="921"/>
      <c r="AL76" s="921"/>
      <c r="AM76" s="921"/>
      <c r="AN76" s="921"/>
      <c r="AO76" s="921"/>
      <c r="AP76" s="921"/>
      <c r="AQ76" s="921"/>
      <c r="AR76" s="921"/>
      <c r="AS76" s="921"/>
      <c r="AT76" s="921"/>
    </row>
    <row r="77" ht="13.5" customHeight="1">
      <c r="A77" s="921"/>
      <c r="B77" s="921"/>
      <c r="C77" s="921"/>
      <c r="D77" s="921"/>
      <c r="E77" s="921"/>
      <c r="F77" s="921"/>
      <c r="G77" s="921"/>
      <c r="H77" s="921"/>
      <c r="I77" s="921"/>
      <c r="J77" s="921"/>
      <c r="K77" s="921"/>
      <c r="L77" s="921"/>
      <c r="M77" s="921"/>
      <c r="N77" s="921"/>
      <c r="O77" s="921"/>
      <c r="P77" s="921"/>
      <c r="Q77" s="921"/>
      <c r="R77" s="921"/>
      <c r="S77" s="921"/>
      <c r="T77" s="921"/>
      <c r="U77" s="921"/>
      <c r="V77" s="921"/>
      <c r="W77" s="921"/>
      <c r="X77" s="921"/>
      <c r="Y77" s="921"/>
      <c r="Z77" s="921"/>
      <c r="AA77" s="921"/>
      <c r="AB77" s="921"/>
      <c r="AC77" s="921"/>
      <c r="AD77" s="921"/>
      <c r="AE77" s="921"/>
      <c r="AF77" s="921"/>
      <c r="AG77" s="921"/>
      <c r="AH77" s="921"/>
      <c r="AI77" s="921"/>
      <c r="AJ77" s="921"/>
      <c r="AK77" s="921"/>
      <c r="AL77" s="921"/>
      <c r="AM77" s="921"/>
      <c r="AN77" s="921"/>
      <c r="AO77" s="921"/>
      <c r="AP77" s="921"/>
      <c r="AQ77" s="921"/>
      <c r="AR77" s="921"/>
      <c r="AS77" s="921"/>
      <c r="AT77" s="921"/>
    </row>
    <row r="78" ht="13.5" customHeight="1">
      <c r="A78" s="921"/>
      <c r="B78" s="921"/>
      <c r="C78" s="921"/>
      <c r="D78" s="921"/>
      <c r="E78" s="921"/>
      <c r="F78" s="921"/>
      <c r="G78" s="921"/>
      <c r="H78" s="921"/>
      <c r="I78" s="921"/>
      <c r="J78" s="921"/>
      <c r="K78" s="921"/>
      <c r="L78" s="921"/>
      <c r="M78" s="921"/>
      <c r="N78" s="921"/>
      <c r="O78" s="921"/>
      <c r="P78" s="921"/>
      <c r="Q78" s="921"/>
      <c r="R78" s="921"/>
      <c r="S78" s="921"/>
      <c r="T78" s="921"/>
      <c r="U78" s="921"/>
      <c r="V78" s="921"/>
      <c r="W78" s="921"/>
      <c r="X78" s="921"/>
      <c r="Y78" s="921"/>
      <c r="Z78" s="921"/>
      <c r="AA78" s="921"/>
      <c r="AB78" s="921"/>
      <c r="AC78" s="921"/>
      <c r="AD78" s="921"/>
      <c r="AE78" s="921"/>
      <c r="AF78" s="921"/>
      <c r="AG78" s="921"/>
      <c r="AH78" s="921"/>
      <c r="AI78" s="921"/>
      <c r="AJ78" s="921"/>
      <c r="AK78" s="921"/>
      <c r="AL78" s="921"/>
      <c r="AM78" s="921"/>
      <c r="AN78" s="921"/>
      <c r="AO78" s="921"/>
      <c r="AP78" s="921"/>
      <c r="AQ78" s="921"/>
      <c r="AR78" s="921"/>
      <c r="AS78" s="921"/>
      <c r="AT78" s="921"/>
    </row>
    <row r="79" ht="13.5" customHeight="1">
      <c r="A79" s="921"/>
      <c r="B79" s="921"/>
      <c r="C79" s="921"/>
      <c r="D79" s="921"/>
      <c r="E79" s="921"/>
      <c r="F79" s="921"/>
      <c r="G79" s="921"/>
      <c r="H79" s="921"/>
      <c r="I79" s="921"/>
      <c r="J79" s="921"/>
      <c r="K79" s="921"/>
      <c r="L79" s="921"/>
      <c r="M79" s="921"/>
      <c r="N79" s="921"/>
      <c r="O79" s="921"/>
      <c r="P79" s="921"/>
      <c r="Q79" s="921"/>
      <c r="R79" s="921"/>
      <c r="S79" s="921"/>
      <c r="T79" s="921"/>
      <c r="U79" s="921"/>
      <c r="V79" s="921"/>
      <c r="W79" s="921"/>
      <c r="X79" s="921"/>
      <c r="Y79" s="921"/>
      <c r="Z79" s="921"/>
      <c r="AA79" s="921"/>
      <c r="AB79" s="921"/>
      <c r="AC79" s="921"/>
      <c r="AD79" s="921"/>
      <c r="AE79" s="921"/>
      <c r="AF79" s="921"/>
      <c r="AG79" s="921"/>
      <c r="AH79" s="921"/>
      <c r="AI79" s="921"/>
      <c r="AJ79" s="921"/>
      <c r="AK79" s="921"/>
      <c r="AL79" s="921"/>
      <c r="AM79" s="921"/>
      <c r="AN79" s="921"/>
      <c r="AO79" s="921"/>
      <c r="AP79" s="921"/>
      <c r="AQ79" s="921"/>
      <c r="AR79" s="921"/>
      <c r="AS79" s="921"/>
      <c r="AT79" s="921"/>
    </row>
  </sheetData>
  <mergeCells count="468">
    <mergeCell ref="AO9:AP10"/>
    <mergeCell ref="AQ9:AQ10"/>
    <mergeCell ref="AR9:AS14"/>
    <mergeCell ref="AT9:AT14"/>
    <mergeCell ref="AO11:AP12"/>
    <mergeCell ref="AQ11:AQ12"/>
    <mergeCell ref="AO13:AP14"/>
    <mergeCell ref="AQ13:AQ14"/>
    <mergeCell ref="AA9:AB10"/>
    <mergeCell ref="AC9:AD10"/>
    <mergeCell ref="AE9:AF10"/>
    <mergeCell ref="AG9:AH10"/>
    <mergeCell ref="AI9:AJ10"/>
    <mergeCell ref="AK9:AL10"/>
    <mergeCell ref="AM9:AN10"/>
    <mergeCell ref="C11:E12"/>
    <mergeCell ref="F11:F12"/>
    <mergeCell ref="AK11:AL12"/>
    <mergeCell ref="AM11:AN12"/>
    <mergeCell ref="W11:X12"/>
    <mergeCell ref="Y11:Z12"/>
    <mergeCell ref="AA11:AB12"/>
    <mergeCell ref="AC11:AD12"/>
    <mergeCell ref="AE11:AF12"/>
    <mergeCell ref="AG11:AH12"/>
    <mergeCell ref="AI11:AJ12"/>
    <mergeCell ref="C13:E14"/>
    <mergeCell ref="F13:F14"/>
    <mergeCell ref="AK13:AL14"/>
    <mergeCell ref="AM13:AN14"/>
    <mergeCell ref="W13:X14"/>
    <mergeCell ref="Y13:Z14"/>
    <mergeCell ref="AA13:AB14"/>
    <mergeCell ref="AC13:AD14"/>
    <mergeCell ref="AE13:AF14"/>
    <mergeCell ref="AG13:AH14"/>
    <mergeCell ref="AI13:AJ14"/>
    <mergeCell ref="O7:R7"/>
    <mergeCell ref="S7:V7"/>
    <mergeCell ref="A8:B8"/>
    <mergeCell ref="C8:F8"/>
    <mergeCell ref="G8:H8"/>
    <mergeCell ref="I8:J8"/>
    <mergeCell ref="K8:L8"/>
    <mergeCell ref="Q8:R8"/>
    <mergeCell ref="S8:T8"/>
    <mergeCell ref="B9:B14"/>
    <mergeCell ref="C9:E10"/>
    <mergeCell ref="F9:F10"/>
    <mergeCell ref="W9:X10"/>
    <mergeCell ref="Y9:Z10"/>
    <mergeCell ref="W15:X16"/>
    <mergeCell ref="Y15:Z16"/>
    <mergeCell ref="AA15:AB16"/>
    <mergeCell ref="AC15:AD16"/>
    <mergeCell ref="AE15:AF16"/>
    <mergeCell ref="AG15:AH16"/>
    <mergeCell ref="AI15:AJ16"/>
    <mergeCell ref="AM17:AN18"/>
    <mergeCell ref="AO17:AP18"/>
    <mergeCell ref="C19:E20"/>
    <mergeCell ref="C21:E22"/>
    <mergeCell ref="W21:X22"/>
    <mergeCell ref="Y21:Z22"/>
    <mergeCell ref="AA21:AB22"/>
    <mergeCell ref="AC21:AD22"/>
    <mergeCell ref="AE21:AF22"/>
    <mergeCell ref="AG21:AH22"/>
    <mergeCell ref="AI21:AJ22"/>
    <mergeCell ref="AK27:AL28"/>
    <mergeCell ref="AM27:AN28"/>
    <mergeCell ref="AO27:AP28"/>
    <mergeCell ref="AQ27:AQ28"/>
    <mergeCell ref="W27:X28"/>
    <mergeCell ref="Y27:Z28"/>
    <mergeCell ref="AA27:AB28"/>
    <mergeCell ref="AC27:AD28"/>
    <mergeCell ref="AE27:AF28"/>
    <mergeCell ref="AG27:AH28"/>
    <mergeCell ref="AI27:AJ28"/>
    <mergeCell ref="AK39:AL40"/>
    <mergeCell ref="AK41:AL42"/>
    <mergeCell ref="AK23:AL24"/>
    <mergeCell ref="AK25:AL26"/>
    <mergeCell ref="AK29:AL30"/>
    <mergeCell ref="AK31:AL32"/>
    <mergeCell ref="AK33:AL34"/>
    <mergeCell ref="AK35:AL36"/>
    <mergeCell ref="AK37:AL38"/>
    <mergeCell ref="AM23:AN24"/>
    <mergeCell ref="AO23:AP24"/>
    <mergeCell ref="AK21:AL22"/>
    <mergeCell ref="AM21:AN22"/>
    <mergeCell ref="AO21:AP22"/>
    <mergeCell ref="AQ21:AQ22"/>
    <mergeCell ref="AR21:AS26"/>
    <mergeCell ref="AT21:AT26"/>
    <mergeCell ref="AQ23:AQ24"/>
    <mergeCell ref="AQ25:AQ26"/>
    <mergeCell ref="AM25:AN26"/>
    <mergeCell ref="AO25:AP26"/>
    <mergeCell ref="AR27:AS32"/>
    <mergeCell ref="AT27:AT32"/>
    <mergeCell ref="AM29:AN30"/>
    <mergeCell ref="AO29:AP30"/>
    <mergeCell ref="AQ29:AQ30"/>
    <mergeCell ref="AQ31:AQ32"/>
    <mergeCell ref="AM35:AN36"/>
    <mergeCell ref="AO35:AP36"/>
    <mergeCell ref="AM33:AN34"/>
    <mergeCell ref="AM37:AN38"/>
    <mergeCell ref="AM39:AN40"/>
    <mergeCell ref="AM41:AN42"/>
    <mergeCell ref="AK43:AL44"/>
    <mergeCell ref="AM43:AN44"/>
    <mergeCell ref="AM31:AN32"/>
    <mergeCell ref="AO31:AP32"/>
    <mergeCell ref="AO33:AP34"/>
    <mergeCell ref="AQ33:AQ34"/>
    <mergeCell ref="AR33:AS38"/>
    <mergeCell ref="AT33:AT38"/>
    <mergeCell ref="AQ35:AQ36"/>
    <mergeCell ref="AO41:AP42"/>
    <mergeCell ref="AO43:AP44"/>
    <mergeCell ref="AO37:AP38"/>
    <mergeCell ref="AQ37:AQ38"/>
    <mergeCell ref="AO39:AP40"/>
    <mergeCell ref="AQ39:AQ40"/>
    <mergeCell ref="AR39:AS44"/>
    <mergeCell ref="AT39:AT44"/>
    <mergeCell ref="AQ41:AQ42"/>
    <mergeCell ref="AQ43:AQ44"/>
    <mergeCell ref="W41:X42"/>
    <mergeCell ref="Y41:Z42"/>
    <mergeCell ref="AA41:AB42"/>
    <mergeCell ref="AC41:AD42"/>
    <mergeCell ref="AE41:AF42"/>
    <mergeCell ref="AG41:AH42"/>
    <mergeCell ref="AI41:AJ42"/>
    <mergeCell ref="W43:X44"/>
    <mergeCell ref="Y43:Z44"/>
    <mergeCell ref="AA43:AB44"/>
    <mergeCell ref="AC43:AD44"/>
    <mergeCell ref="AE43:AF44"/>
    <mergeCell ref="AG43:AH44"/>
    <mergeCell ref="AI43:AJ44"/>
    <mergeCell ref="W23:X24"/>
    <mergeCell ref="Y23:Z24"/>
    <mergeCell ref="AA23:AB24"/>
    <mergeCell ref="AC23:AD24"/>
    <mergeCell ref="AE23:AF24"/>
    <mergeCell ref="AG23:AH24"/>
    <mergeCell ref="AI23:AJ24"/>
    <mergeCell ref="W25:X26"/>
    <mergeCell ref="Y25:Z26"/>
    <mergeCell ref="AA25:AB26"/>
    <mergeCell ref="AC25:AD26"/>
    <mergeCell ref="AE25:AF26"/>
    <mergeCell ref="AG25:AH26"/>
    <mergeCell ref="AI25:AJ26"/>
    <mergeCell ref="W29:X30"/>
    <mergeCell ref="Y29:Z30"/>
    <mergeCell ref="AA29:AB30"/>
    <mergeCell ref="AC29:AD30"/>
    <mergeCell ref="AE29:AF30"/>
    <mergeCell ref="AG29:AH30"/>
    <mergeCell ref="AI29:AJ30"/>
    <mergeCell ref="W31:X32"/>
    <mergeCell ref="Y31:Z32"/>
    <mergeCell ref="AA31:AB32"/>
    <mergeCell ref="AC31:AD32"/>
    <mergeCell ref="AE31:AF32"/>
    <mergeCell ref="AG31:AH32"/>
    <mergeCell ref="AI31:AJ32"/>
    <mergeCell ref="W33:X34"/>
    <mergeCell ref="Y33:Z34"/>
    <mergeCell ref="AA33:AB34"/>
    <mergeCell ref="AC33:AD34"/>
    <mergeCell ref="AE33:AF34"/>
    <mergeCell ref="AG33:AH34"/>
    <mergeCell ref="AI33:AJ34"/>
    <mergeCell ref="W35:X36"/>
    <mergeCell ref="Y35:Z36"/>
    <mergeCell ref="AA35:AB36"/>
    <mergeCell ref="AC35:AD36"/>
    <mergeCell ref="AE35:AF36"/>
    <mergeCell ref="AG35:AH36"/>
    <mergeCell ref="AI35:AJ36"/>
    <mergeCell ref="W45:X46"/>
    <mergeCell ref="Y45:Z46"/>
    <mergeCell ref="AA45:AB46"/>
    <mergeCell ref="AC45:AD46"/>
    <mergeCell ref="AE45:AF46"/>
    <mergeCell ref="AG45:AH46"/>
    <mergeCell ref="AI45:AJ46"/>
    <mergeCell ref="AM51:AN52"/>
    <mergeCell ref="AM55:AN56"/>
    <mergeCell ref="AM49:AN50"/>
    <mergeCell ref="AO49:AP50"/>
    <mergeCell ref="AO51:AP52"/>
    <mergeCell ref="AQ51:AQ52"/>
    <mergeCell ref="AR51:AS56"/>
    <mergeCell ref="AT51:AT56"/>
    <mergeCell ref="AQ53:AQ54"/>
    <mergeCell ref="W49:X50"/>
    <mergeCell ref="Y49:Z50"/>
    <mergeCell ref="W51:X52"/>
    <mergeCell ref="Y51:Z52"/>
    <mergeCell ref="W53:X54"/>
    <mergeCell ref="Y53:Z54"/>
    <mergeCell ref="W55:X56"/>
    <mergeCell ref="Y55:Z56"/>
    <mergeCell ref="AA49:AB50"/>
    <mergeCell ref="AC49:AD50"/>
    <mergeCell ref="AA51:AB52"/>
    <mergeCell ref="AC51:AD52"/>
    <mergeCell ref="AA53:AB54"/>
    <mergeCell ref="AC53:AD54"/>
    <mergeCell ref="AA55:AB56"/>
    <mergeCell ref="AC55:AD56"/>
    <mergeCell ref="AE49:AF50"/>
    <mergeCell ref="AG49:AH50"/>
    <mergeCell ref="AE51:AF52"/>
    <mergeCell ref="AG51:AH52"/>
    <mergeCell ref="AE53:AF54"/>
    <mergeCell ref="AG53:AH54"/>
    <mergeCell ref="AE55:AF56"/>
    <mergeCell ref="AG55:AH56"/>
    <mergeCell ref="AI49:AJ50"/>
    <mergeCell ref="AK49:AL50"/>
    <mergeCell ref="AI51:AJ52"/>
    <mergeCell ref="AK51:AL52"/>
    <mergeCell ref="AI53:AJ54"/>
    <mergeCell ref="AK53:AL54"/>
    <mergeCell ref="AI55:AJ56"/>
    <mergeCell ref="AK55:AL56"/>
    <mergeCell ref="AK45:AL46"/>
    <mergeCell ref="AM45:AN46"/>
    <mergeCell ref="AO45:AP46"/>
    <mergeCell ref="AQ45:AQ46"/>
    <mergeCell ref="AR45:AS50"/>
    <mergeCell ref="AT45:AT50"/>
    <mergeCell ref="W47:X48"/>
    <mergeCell ref="AQ49:AQ50"/>
    <mergeCell ref="AM53:AN54"/>
    <mergeCell ref="AO53:AP54"/>
    <mergeCell ref="AO55:AP56"/>
    <mergeCell ref="AQ55:AQ56"/>
    <mergeCell ref="AC47:AD48"/>
    <mergeCell ref="AE47:AF48"/>
    <mergeCell ref="Y47:Z48"/>
    <mergeCell ref="AA47:AB48"/>
    <mergeCell ref="W57:X58"/>
    <mergeCell ref="Y57:Z58"/>
    <mergeCell ref="AA57:AB58"/>
    <mergeCell ref="AC57:AD58"/>
    <mergeCell ref="AE57:AF58"/>
    <mergeCell ref="W37:X38"/>
    <mergeCell ref="Y37:Z38"/>
    <mergeCell ref="AA37:AB38"/>
    <mergeCell ref="AC37:AD38"/>
    <mergeCell ref="AE37:AF38"/>
    <mergeCell ref="AG37:AH38"/>
    <mergeCell ref="AI37:AJ38"/>
    <mergeCell ref="W39:X40"/>
    <mergeCell ref="Y39:Z40"/>
    <mergeCell ref="AA39:AB40"/>
    <mergeCell ref="AC39:AD40"/>
    <mergeCell ref="AE39:AF40"/>
    <mergeCell ref="AG39:AH40"/>
    <mergeCell ref="AI39:AJ40"/>
    <mergeCell ref="AG47:AH48"/>
    <mergeCell ref="AI47:AJ48"/>
    <mergeCell ref="AK47:AL48"/>
    <mergeCell ref="AM47:AN48"/>
    <mergeCell ref="AO47:AP48"/>
    <mergeCell ref="AQ47:AQ48"/>
    <mergeCell ref="W59:X60"/>
    <mergeCell ref="Y59:Z60"/>
    <mergeCell ref="AA59:AB60"/>
    <mergeCell ref="AC59:AD60"/>
    <mergeCell ref="AE59:AF60"/>
    <mergeCell ref="AM59:AN60"/>
    <mergeCell ref="AO59:AP60"/>
    <mergeCell ref="AQ59:AQ60"/>
    <mergeCell ref="AG57:AH58"/>
    <mergeCell ref="AG59:AH60"/>
    <mergeCell ref="F21:F22"/>
    <mergeCell ref="C23:E24"/>
    <mergeCell ref="F23:F24"/>
    <mergeCell ref="C25:E26"/>
    <mergeCell ref="F25:F26"/>
    <mergeCell ref="B15:B20"/>
    <mergeCell ref="C15:E16"/>
    <mergeCell ref="F15:F16"/>
    <mergeCell ref="C17:E18"/>
    <mergeCell ref="F17:F18"/>
    <mergeCell ref="F19:F20"/>
    <mergeCell ref="B21:B26"/>
    <mergeCell ref="C31:E32"/>
    <mergeCell ref="C33:E34"/>
    <mergeCell ref="F33:F34"/>
    <mergeCell ref="C35:E36"/>
    <mergeCell ref="F35:F36"/>
    <mergeCell ref="C37:E38"/>
    <mergeCell ref="F37:F38"/>
    <mergeCell ref="B27:B32"/>
    <mergeCell ref="C27:E28"/>
    <mergeCell ref="F27:F28"/>
    <mergeCell ref="C29:E30"/>
    <mergeCell ref="F29:F30"/>
    <mergeCell ref="F31:F32"/>
    <mergeCell ref="B33:B38"/>
    <mergeCell ref="C43:E44"/>
    <mergeCell ref="C45:E46"/>
    <mergeCell ref="F45:F46"/>
    <mergeCell ref="C47:E48"/>
    <mergeCell ref="F47:F48"/>
    <mergeCell ref="C49:E50"/>
    <mergeCell ref="F49:F50"/>
    <mergeCell ref="B39:B44"/>
    <mergeCell ref="C39:E40"/>
    <mergeCell ref="F39:F40"/>
    <mergeCell ref="C41:E42"/>
    <mergeCell ref="F41:F42"/>
    <mergeCell ref="F43:F44"/>
    <mergeCell ref="B45:B50"/>
    <mergeCell ref="C55:E56"/>
    <mergeCell ref="C57:E58"/>
    <mergeCell ref="F57:F58"/>
    <mergeCell ref="C59:E60"/>
    <mergeCell ref="F59:F60"/>
    <mergeCell ref="B51:B56"/>
    <mergeCell ref="C51:E52"/>
    <mergeCell ref="F51:F52"/>
    <mergeCell ref="C53:E54"/>
    <mergeCell ref="F53:F54"/>
    <mergeCell ref="F55:F56"/>
    <mergeCell ref="B57:B62"/>
    <mergeCell ref="AM8:AN8"/>
    <mergeCell ref="AO8:AP8"/>
    <mergeCell ref="AF4:AM4"/>
    <mergeCell ref="AN4:AQ4"/>
    <mergeCell ref="AR6:AS8"/>
    <mergeCell ref="AT6:AT8"/>
    <mergeCell ref="AK7:AP7"/>
    <mergeCell ref="AQ7:AQ8"/>
    <mergeCell ref="AG8:AH8"/>
    <mergeCell ref="AF3:AM3"/>
    <mergeCell ref="AN3:AT3"/>
    <mergeCell ref="A1:R4"/>
    <mergeCell ref="S1:AE1"/>
    <mergeCell ref="AF1:AM1"/>
    <mergeCell ref="AN1:AT1"/>
    <mergeCell ref="S2:AE4"/>
    <mergeCell ref="AF2:AM2"/>
    <mergeCell ref="AN2:AQ2"/>
    <mergeCell ref="W7:AB7"/>
    <mergeCell ref="AC7:AJ7"/>
    <mergeCell ref="A5:B5"/>
    <mergeCell ref="C5:F6"/>
    <mergeCell ref="G5:AQ6"/>
    <mergeCell ref="A6:B6"/>
    <mergeCell ref="A7:B7"/>
    <mergeCell ref="C7:F7"/>
    <mergeCell ref="G7:N7"/>
    <mergeCell ref="M8:N8"/>
    <mergeCell ref="O8:P8"/>
    <mergeCell ref="U8:V8"/>
    <mergeCell ref="W8:X8"/>
    <mergeCell ref="Y8:Z8"/>
    <mergeCell ref="AA8:AB8"/>
    <mergeCell ref="AC8:AD8"/>
    <mergeCell ref="AE8:AF8"/>
    <mergeCell ref="AI8:AJ8"/>
    <mergeCell ref="AK8:AL8"/>
    <mergeCell ref="AK17:AL18"/>
    <mergeCell ref="AK19:AL20"/>
    <mergeCell ref="AM19:AN20"/>
    <mergeCell ref="AO19:AP20"/>
    <mergeCell ref="AK15:AL16"/>
    <mergeCell ref="AM15:AN16"/>
    <mergeCell ref="AO15:AP16"/>
    <mergeCell ref="AQ15:AQ16"/>
    <mergeCell ref="AR15:AS20"/>
    <mergeCell ref="AT15:AT20"/>
    <mergeCell ref="AQ17:AQ18"/>
    <mergeCell ref="AQ19:AQ20"/>
    <mergeCell ref="W17:X18"/>
    <mergeCell ref="Y17:Z18"/>
    <mergeCell ref="AA17:AB18"/>
    <mergeCell ref="AC17:AD18"/>
    <mergeCell ref="AE17:AF18"/>
    <mergeCell ref="AG17:AH18"/>
    <mergeCell ref="AI17:AJ18"/>
    <mergeCell ref="W19:X20"/>
    <mergeCell ref="Y19:Z20"/>
    <mergeCell ref="AA19:AB20"/>
    <mergeCell ref="AC19:AD20"/>
    <mergeCell ref="AE19:AF20"/>
    <mergeCell ref="AG19:AH20"/>
    <mergeCell ref="AI19:AJ20"/>
    <mergeCell ref="AM65:AN66"/>
    <mergeCell ref="AO65:AP66"/>
    <mergeCell ref="AK65:AL66"/>
    <mergeCell ref="AK67:AL68"/>
    <mergeCell ref="AM67:AN68"/>
    <mergeCell ref="AO67:AP68"/>
    <mergeCell ref="AK63:AL64"/>
    <mergeCell ref="AM63:AN64"/>
    <mergeCell ref="AO63:AP64"/>
    <mergeCell ref="AQ63:AQ64"/>
    <mergeCell ref="AR63:AT63"/>
    <mergeCell ref="AR64:AT68"/>
    <mergeCell ref="AQ65:AQ66"/>
    <mergeCell ref="AQ67:AQ68"/>
    <mergeCell ref="AG61:AH62"/>
    <mergeCell ref="AI61:AJ62"/>
    <mergeCell ref="AK61:AL62"/>
    <mergeCell ref="AM61:AN62"/>
    <mergeCell ref="AO61:AP62"/>
    <mergeCell ref="AQ61:AQ62"/>
    <mergeCell ref="AI57:AJ58"/>
    <mergeCell ref="AK57:AL58"/>
    <mergeCell ref="AM57:AN58"/>
    <mergeCell ref="AO57:AP58"/>
    <mergeCell ref="AQ57:AQ58"/>
    <mergeCell ref="AR57:AS62"/>
    <mergeCell ref="AT57:AT62"/>
    <mergeCell ref="AI59:AJ60"/>
    <mergeCell ref="AK59:AL60"/>
    <mergeCell ref="W61:X62"/>
    <mergeCell ref="Y61:Z62"/>
    <mergeCell ref="AA61:AB62"/>
    <mergeCell ref="AC61:AD62"/>
    <mergeCell ref="AE61:AF62"/>
    <mergeCell ref="W63:X64"/>
    <mergeCell ref="Y63:Z64"/>
    <mergeCell ref="AA63:AB64"/>
    <mergeCell ref="AC63:AD64"/>
    <mergeCell ref="AE63:AF64"/>
    <mergeCell ref="AG63:AH64"/>
    <mergeCell ref="AI63:AJ64"/>
    <mergeCell ref="W67:X68"/>
    <mergeCell ref="Y67:Z68"/>
    <mergeCell ref="AA67:AB68"/>
    <mergeCell ref="AC67:AD68"/>
    <mergeCell ref="AE67:AF68"/>
    <mergeCell ref="AG67:AH68"/>
    <mergeCell ref="AI67:AJ68"/>
    <mergeCell ref="W65:X66"/>
    <mergeCell ref="Y65:Z66"/>
    <mergeCell ref="AA65:AB66"/>
    <mergeCell ref="AC65:AD66"/>
    <mergeCell ref="AE65:AF66"/>
    <mergeCell ref="AG65:AH66"/>
    <mergeCell ref="AI65:AJ66"/>
    <mergeCell ref="A65:C66"/>
    <mergeCell ref="A67:C68"/>
    <mergeCell ref="D67:D68"/>
    <mergeCell ref="E67:F68"/>
    <mergeCell ref="C61:E62"/>
    <mergeCell ref="F61:F62"/>
    <mergeCell ref="A63:C64"/>
    <mergeCell ref="D63:D64"/>
    <mergeCell ref="E63:F64"/>
    <mergeCell ref="D65:D66"/>
    <mergeCell ref="E65:F66"/>
  </mergeCells>
  <conditionalFormatting sqref="P68 T68">
    <cfRule type="cellIs" dxfId="15" priority="1" operator="greaterThan">
      <formula>0</formula>
    </cfRule>
  </conditionalFormatting>
  <conditionalFormatting sqref="P68 T68">
    <cfRule type="cellIs" dxfId="16" priority="2" operator="lessThan">
      <formula>"0+$P$113"</formula>
    </cfRule>
  </conditionalFormatting>
  <conditionalFormatting sqref="L68">
    <cfRule type="cellIs" dxfId="15" priority="3" operator="greaterThan">
      <formula>0</formula>
    </cfRule>
  </conditionalFormatting>
  <conditionalFormatting sqref="L68">
    <cfRule type="cellIs" dxfId="16" priority="4" operator="lessThan">
      <formula>"0+$P$113"</formula>
    </cfRule>
  </conditionalFormatting>
  <conditionalFormatting sqref="K67">
    <cfRule type="cellIs" dxfId="15" priority="5" operator="greaterThan">
      <formula>0</formula>
    </cfRule>
  </conditionalFormatting>
  <conditionalFormatting sqref="K67">
    <cfRule type="cellIs" dxfId="16" priority="6" operator="lessThan">
      <formula>"0+$P$113"</formula>
    </cfRule>
  </conditionalFormatting>
  <conditionalFormatting sqref="O67">
    <cfRule type="cellIs" dxfId="15" priority="7" operator="greaterThan">
      <formula>0</formula>
    </cfRule>
  </conditionalFormatting>
  <conditionalFormatting sqref="O67">
    <cfRule type="cellIs" dxfId="16" priority="8" operator="lessThan">
      <formula>"0+$P$113"</formula>
    </cfRule>
  </conditionalFormatting>
  <conditionalFormatting sqref="S67">
    <cfRule type="cellIs" dxfId="15" priority="9" operator="greaterThan">
      <formula>0</formula>
    </cfRule>
  </conditionalFormatting>
  <conditionalFormatting sqref="S67">
    <cfRule type="cellIs" dxfId="16" priority="10" operator="lessThan">
      <formula>"0+$P$113"</formula>
    </cfRule>
  </conditionalFormatting>
  <conditionalFormatting sqref="W67 Y67 AA67 AC67 AE67 AG67 AI67 AK67 AM67 AO67">
    <cfRule type="cellIs" dxfId="15" priority="11" operator="greaterThan">
      <formula>0</formula>
    </cfRule>
  </conditionalFormatting>
  <conditionalFormatting sqref="W67 Y67 AA67 AC67 AE67 AG67 AI67 AK67 AM67 AO67">
    <cfRule type="cellIs" dxfId="16" priority="12" operator="lessThan">
      <formula>"0+$P$113"</formula>
    </cfRule>
  </conditionalFormatting>
  <conditionalFormatting sqref="H68">
    <cfRule type="cellIs" dxfId="15" priority="13" operator="greaterThan">
      <formula>0</formula>
    </cfRule>
  </conditionalFormatting>
  <conditionalFormatting sqref="H68">
    <cfRule type="cellIs" dxfId="16" priority="14" operator="lessThan">
      <formula>"0+$P$113"</formula>
    </cfRule>
  </conditionalFormatting>
  <conditionalFormatting sqref="G67">
    <cfRule type="cellIs" dxfId="15" priority="15" operator="greaterThan">
      <formula>0</formula>
    </cfRule>
  </conditionalFormatting>
  <conditionalFormatting sqref="G67">
    <cfRule type="cellIs" dxfId="16" priority="16" operator="lessThan">
      <formula>"0+$P$113"</formula>
    </cfRule>
  </conditionalFormatting>
  <conditionalFormatting sqref="J68">
    <cfRule type="cellIs" dxfId="15" priority="17" operator="greaterThan">
      <formula>0</formula>
    </cfRule>
  </conditionalFormatting>
  <conditionalFormatting sqref="J68">
    <cfRule type="cellIs" dxfId="16" priority="18" operator="lessThan">
      <formula>"0+$P$113"</formula>
    </cfRule>
  </conditionalFormatting>
  <conditionalFormatting sqref="I67">
    <cfRule type="cellIs" dxfId="15" priority="19" operator="greaterThan">
      <formula>0</formula>
    </cfRule>
  </conditionalFormatting>
  <conditionalFormatting sqref="I67">
    <cfRule type="cellIs" dxfId="16" priority="20" operator="lessThan">
      <formula>"0+$P$113"</formula>
    </cfRule>
  </conditionalFormatting>
  <conditionalFormatting sqref="N68">
    <cfRule type="cellIs" dxfId="15" priority="21" operator="greaterThan">
      <formula>0</formula>
    </cfRule>
  </conditionalFormatting>
  <conditionalFormatting sqref="N68">
    <cfRule type="cellIs" dxfId="16" priority="22" operator="lessThan">
      <formula>"0+$P$113"</formula>
    </cfRule>
  </conditionalFormatting>
  <conditionalFormatting sqref="M67">
    <cfRule type="cellIs" dxfId="15" priority="23" operator="greaterThan">
      <formula>0</formula>
    </cfRule>
  </conditionalFormatting>
  <conditionalFormatting sqref="M67">
    <cfRule type="cellIs" dxfId="16" priority="24" operator="lessThan">
      <formula>"0+$P$113"</formula>
    </cfRule>
  </conditionalFormatting>
  <conditionalFormatting sqref="R68">
    <cfRule type="cellIs" dxfId="15" priority="25" operator="greaterThan">
      <formula>0</formula>
    </cfRule>
  </conditionalFormatting>
  <conditionalFormatting sqref="R68">
    <cfRule type="cellIs" dxfId="16" priority="26" operator="lessThan">
      <formula>"0+$P$113"</formula>
    </cfRule>
  </conditionalFormatting>
  <conditionalFormatting sqref="Q67">
    <cfRule type="cellIs" dxfId="15" priority="27" operator="greaterThan">
      <formula>0</formula>
    </cfRule>
  </conditionalFormatting>
  <conditionalFormatting sqref="Q67">
    <cfRule type="cellIs" dxfId="16" priority="28" operator="lessThan">
      <formula>"0+$P$113"</formula>
    </cfRule>
  </conditionalFormatting>
  <conditionalFormatting sqref="V68">
    <cfRule type="cellIs" dxfId="15" priority="29" operator="greaterThan">
      <formula>0</formula>
    </cfRule>
  </conditionalFormatting>
  <conditionalFormatting sqref="V68">
    <cfRule type="cellIs" dxfId="16" priority="30" operator="lessThan">
      <formula>"0+$P$113"</formula>
    </cfRule>
  </conditionalFormatting>
  <conditionalFormatting sqref="U67">
    <cfRule type="cellIs" dxfId="15" priority="31" operator="greaterThan">
      <formula>0</formula>
    </cfRule>
  </conditionalFormatting>
  <conditionalFormatting sqref="U67">
    <cfRule type="cellIs" dxfId="16" priority="32" operator="lessThan">
      <formula>"0+$P$113"</formula>
    </cfRule>
  </conditionalFormatting>
  <dataValidations>
    <dataValidation type="list" allowBlank="1" sqref="C9 C11 C13 C15 C17 C19 C21 C23 C25 C27 C29 C31 C33 C35 C37 C39 C41 C43 C45 C47 C49 C51 C53 C55 C57 C59 C61">
      <formula1>WorkAssignments</formula1>
    </dataValidation>
  </dataValidations>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13"/>
    <col customWidth="1" min="2" max="2" width="16.13"/>
    <col customWidth="1" min="3" max="3" width="5.38"/>
    <col customWidth="1" min="4" max="4" width="11.0"/>
    <col customWidth="1" min="5" max="5" width="34.13"/>
    <col customWidth="1" min="6" max="6" width="3.63"/>
    <col customWidth="1" min="7" max="7" width="3.13"/>
    <col customWidth="1" min="8" max="41" width="2.88"/>
    <col customWidth="1" min="42" max="42" width="4.63"/>
    <col customWidth="1" min="43" max="43" width="12.88"/>
    <col customWidth="1" min="44" max="44" width="21.75"/>
    <col customWidth="1" min="45" max="45" width="13.25"/>
    <col customWidth="1" min="46" max="46" width="17.88"/>
  </cols>
  <sheetData>
    <row r="1" ht="13.5" customHeight="1">
      <c r="A1" s="1516" t="s">
        <v>2661</v>
      </c>
      <c r="B1" s="84"/>
      <c r="C1" s="84"/>
      <c r="D1" s="84"/>
      <c r="E1" s="84"/>
      <c r="F1" s="84"/>
      <c r="G1" s="84"/>
      <c r="H1" s="84"/>
      <c r="I1" s="84"/>
      <c r="J1" s="84"/>
      <c r="K1" s="84"/>
      <c r="L1" s="84"/>
      <c r="M1" s="84"/>
      <c r="N1" s="84"/>
      <c r="O1" s="84"/>
      <c r="P1" s="84"/>
      <c r="Q1" s="84"/>
      <c r="R1" s="84"/>
      <c r="S1" s="1517" t="s">
        <v>2596</v>
      </c>
      <c r="T1" s="84"/>
      <c r="U1" s="84"/>
      <c r="V1" s="84"/>
      <c r="W1" s="84"/>
      <c r="X1" s="84"/>
      <c r="Y1" s="84"/>
      <c r="Z1" s="84"/>
      <c r="AA1" s="84"/>
      <c r="AB1" s="84"/>
      <c r="AC1" s="84"/>
      <c r="AD1" s="84"/>
      <c r="AE1" s="84"/>
      <c r="AF1" s="1661" t="s">
        <v>2685</v>
      </c>
      <c r="AG1" s="84"/>
      <c r="AH1" s="84"/>
      <c r="AI1" s="84"/>
      <c r="AJ1" s="84"/>
      <c r="AK1" s="84"/>
      <c r="AL1" s="84"/>
      <c r="AM1" s="84"/>
      <c r="AN1" s="1661" t="s">
        <v>2686</v>
      </c>
      <c r="AO1" s="84"/>
      <c r="AP1" s="84"/>
      <c r="AQ1" s="84"/>
      <c r="AR1" s="84"/>
      <c r="AS1" s="84"/>
      <c r="AT1" s="86"/>
    </row>
    <row r="2" ht="13.5" customHeight="1">
      <c r="A2" s="107"/>
      <c r="S2" s="1518" t="str">
        <f>'101 General Info'!C2</f>
        <v>NO NAME</v>
      </c>
      <c r="AE2" s="94"/>
      <c r="AF2" s="1519">
        <f>AR2-1</f>
        <v>43892</v>
      </c>
      <c r="AN2" s="1520" t="s">
        <v>284</v>
      </c>
      <c r="AR2" s="1521">
        <f>'101 General Info'!D8</f>
        <v>43893</v>
      </c>
      <c r="AS2" s="1522" t="s">
        <v>130</v>
      </c>
      <c r="AT2" s="1523">
        <f>'101 General Info'!F8</f>
        <v>43894</v>
      </c>
    </row>
    <row r="3" ht="13.5" customHeight="1">
      <c r="A3" s="107"/>
      <c r="S3" s="166"/>
      <c r="AE3" s="94"/>
      <c r="AF3" s="1524" t="s">
        <v>2664</v>
      </c>
      <c r="AN3" s="1525"/>
      <c r="AT3" s="108"/>
    </row>
    <row r="4" ht="13.5" customHeight="1">
      <c r="A4" s="1192"/>
      <c r="B4" s="77"/>
      <c r="C4" s="77"/>
      <c r="D4" s="77"/>
      <c r="E4" s="77"/>
      <c r="F4" s="77"/>
      <c r="G4" s="77"/>
      <c r="H4" s="77"/>
      <c r="I4" s="77"/>
      <c r="J4" s="77"/>
      <c r="K4" s="77"/>
      <c r="L4" s="77"/>
      <c r="M4" s="77"/>
      <c r="N4" s="77"/>
      <c r="O4" s="77"/>
      <c r="P4" s="77"/>
      <c r="Q4" s="77"/>
      <c r="R4" s="77"/>
      <c r="S4" s="104"/>
      <c r="T4" s="77"/>
      <c r="U4" s="77"/>
      <c r="V4" s="77"/>
      <c r="W4" s="77"/>
      <c r="X4" s="77"/>
      <c r="Y4" s="77"/>
      <c r="Z4" s="77"/>
      <c r="AA4" s="77"/>
      <c r="AB4" s="77"/>
      <c r="AC4" s="77"/>
      <c r="AD4" s="77"/>
      <c r="AE4" s="55"/>
      <c r="AF4" s="1525">
        <v>1700.0</v>
      </c>
      <c r="AN4" s="1520" t="s">
        <v>131</v>
      </c>
      <c r="AR4" s="1662" t="str">
        <f>'101 General Info'!D9</f>
        <v>0700</v>
      </c>
      <c r="AS4" s="1522" t="s">
        <v>133</v>
      </c>
      <c r="AT4" s="1663" t="str">
        <f>'101 General Info'!F9</f>
        <v>0700</v>
      </c>
    </row>
    <row r="5" ht="138.75" customHeight="1">
      <c r="A5" s="1664" t="s">
        <v>441</v>
      </c>
      <c r="B5" s="1665" t="s">
        <v>2687</v>
      </c>
      <c r="C5" s="1666" t="s">
        <v>2688</v>
      </c>
      <c r="D5" s="864"/>
      <c r="E5" s="874"/>
      <c r="F5" s="1667" t="s">
        <v>2689</v>
      </c>
      <c r="G5" s="1668" t="s">
        <v>517</v>
      </c>
      <c r="H5" s="1055"/>
      <c r="I5" s="1669" t="s">
        <v>2690</v>
      </c>
      <c r="J5" s="1055"/>
      <c r="K5" s="1669" t="s">
        <v>521</v>
      </c>
      <c r="L5" s="1055"/>
      <c r="M5" s="1669" t="s">
        <v>2691</v>
      </c>
      <c r="N5" s="86"/>
      <c r="O5" s="1670" t="s">
        <v>2206</v>
      </c>
      <c r="P5" s="1055"/>
      <c r="Q5" s="1669" t="s">
        <v>2203</v>
      </c>
      <c r="R5" s="86"/>
      <c r="S5" s="1668" t="s">
        <v>2692</v>
      </c>
      <c r="T5" s="1055"/>
      <c r="U5" s="1669" t="s">
        <v>2693</v>
      </c>
      <c r="V5" s="86"/>
      <c r="W5" s="1668" t="s">
        <v>198</v>
      </c>
      <c r="X5" s="1055"/>
      <c r="Y5" s="1669" t="s">
        <v>2694</v>
      </c>
      <c r="Z5" s="1055"/>
      <c r="AA5" s="1669" t="s">
        <v>2695</v>
      </c>
      <c r="AB5" s="86"/>
      <c r="AC5" s="1671"/>
      <c r="AD5" s="1055"/>
      <c r="AE5" s="1672"/>
      <c r="AF5" s="1055"/>
      <c r="AG5" s="1672"/>
      <c r="AH5" s="1055"/>
      <c r="AI5" s="1672"/>
      <c r="AJ5" s="86"/>
      <c r="AK5" s="1671"/>
      <c r="AL5" s="1055"/>
      <c r="AM5" s="1672"/>
      <c r="AN5" s="1055"/>
      <c r="AO5" s="1669" t="s">
        <v>2696</v>
      </c>
      <c r="AP5" s="86"/>
      <c r="AQ5" s="1673" t="s">
        <v>2697</v>
      </c>
      <c r="AR5" s="1669" t="s">
        <v>2698</v>
      </c>
      <c r="AS5" s="1055"/>
      <c r="AT5" s="1674" t="s">
        <v>2699</v>
      </c>
    </row>
    <row r="6" ht="13.5" customHeight="1">
      <c r="A6" s="1609"/>
      <c r="B6" s="1553" t="s">
        <v>517</v>
      </c>
      <c r="C6" s="1554"/>
      <c r="D6" s="84"/>
      <c r="E6" s="84"/>
      <c r="F6" s="1675" t="s">
        <v>2673</v>
      </c>
      <c r="G6" s="1563"/>
      <c r="H6" s="1676" t="s">
        <v>2674</v>
      </c>
      <c r="I6" s="1563"/>
      <c r="J6" s="1676" t="s">
        <v>2674</v>
      </c>
      <c r="K6" s="1563"/>
      <c r="L6" s="1676" t="s">
        <v>2674</v>
      </c>
      <c r="M6" s="1563"/>
      <c r="N6" s="1677" t="s">
        <v>2674</v>
      </c>
      <c r="O6" s="1563"/>
      <c r="P6" s="1676" t="s">
        <v>2674</v>
      </c>
      <c r="Q6" s="1563"/>
      <c r="R6" s="1677" t="s">
        <v>2674</v>
      </c>
      <c r="S6" s="1563"/>
      <c r="T6" s="1676" t="s">
        <v>2674</v>
      </c>
      <c r="U6" s="1563"/>
      <c r="V6" s="1677" t="s">
        <v>2674</v>
      </c>
      <c r="W6" s="1564"/>
      <c r="X6" s="1055"/>
      <c r="Y6" s="1563"/>
      <c r="Z6" s="1055"/>
      <c r="AA6" s="1563"/>
      <c r="AB6" s="86"/>
      <c r="AC6" s="1564"/>
      <c r="AD6" s="1055"/>
      <c r="AE6" s="1563"/>
      <c r="AF6" s="1055"/>
      <c r="AG6" s="1563"/>
      <c r="AH6" s="1055"/>
      <c r="AI6" s="1563"/>
      <c r="AJ6" s="86"/>
      <c r="AK6" s="1564"/>
      <c r="AL6" s="1055"/>
      <c r="AM6" s="1563"/>
      <c r="AN6" s="1055"/>
      <c r="AO6" s="1563"/>
      <c r="AP6" s="86"/>
      <c r="AQ6" s="1565"/>
      <c r="AR6" s="1566"/>
      <c r="AS6" s="1055"/>
      <c r="AT6" s="1567"/>
    </row>
    <row r="7" ht="13.5" customHeight="1">
      <c r="A7" s="1678"/>
      <c r="B7" s="1569"/>
      <c r="C7" s="166"/>
      <c r="F7" s="1679"/>
      <c r="G7" s="1680" t="s">
        <v>2674</v>
      </c>
      <c r="H7" s="1654"/>
      <c r="I7" s="1680" t="s">
        <v>2674</v>
      </c>
      <c r="J7" s="1654"/>
      <c r="K7" s="1680" t="s">
        <v>2674</v>
      </c>
      <c r="L7" s="1654"/>
      <c r="M7" s="1680" t="s">
        <v>2674</v>
      </c>
      <c r="N7" s="1643"/>
      <c r="O7" s="1680" t="s">
        <v>2674</v>
      </c>
      <c r="P7" s="1654"/>
      <c r="Q7" s="1680" t="s">
        <v>2674</v>
      </c>
      <c r="R7" s="1643"/>
      <c r="S7" s="1680" t="s">
        <v>2674</v>
      </c>
      <c r="T7" s="1654"/>
      <c r="U7" s="1680" t="s">
        <v>2674</v>
      </c>
      <c r="V7" s="1643"/>
      <c r="W7" s="1192"/>
      <c r="X7" s="55"/>
      <c r="Y7" s="104"/>
      <c r="Z7" s="55"/>
      <c r="AA7" s="104"/>
      <c r="AB7" s="78"/>
      <c r="AC7" s="1192"/>
      <c r="AD7" s="55"/>
      <c r="AE7" s="104"/>
      <c r="AF7" s="55"/>
      <c r="AG7" s="104"/>
      <c r="AH7" s="55"/>
      <c r="AI7" s="104"/>
      <c r="AJ7" s="78"/>
      <c r="AK7" s="1192"/>
      <c r="AL7" s="55"/>
      <c r="AM7" s="104"/>
      <c r="AN7" s="55"/>
      <c r="AO7" s="104"/>
      <c r="AP7" s="78"/>
      <c r="AQ7" s="1576"/>
      <c r="AR7" s="166"/>
      <c r="AS7" s="94"/>
      <c r="AT7" s="1547"/>
    </row>
    <row r="8" ht="13.5" customHeight="1">
      <c r="A8" s="1678"/>
      <c r="B8" s="1569"/>
      <c r="C8" s="1577"/>
      <c r="F8" s="1681" t="s">
        <v>2676</v>
      </c>
      <c r="G8" s="1586"/>
      <c r="H8" s="1682" t="s">
        <v>2674</v>
      </c>
      <c r="I8" s="1586"/>
      <c r="J8" s="1682" t="s">
        <v>2674</v>
      </c>
      <c r="K8" s="1586"/>
      <c r="L8" s="1682" t="s">
        <v>2674</v>
      </c>
      <c r="M8" s="1586"/>
      <c r="N8" s="1683" t="s">
        <v>2674</v>
      </c>
      <c r="O8" s="1586"/>
      <c r="P8" s="1682" t="s">
        <v>2674</v>
      </c>
      <c r="Q8" s="1586"/>
      <c r="R8" s="1683" t="s">
        <v>2674</v>
      </c>
      <c r="S8" s="1586"/>
      <c r="T8" s="1682" t="s">
        <v>2674</v>
      </c>
      <c r="U8" s="1586"/>
      <c r="V8" s="1683" t="s">
        <v>2674</v>
      </c>
      <c r="W8" s="1587"/>
      <c r="X8" s="165"/>
      <c r="Y8" s="1586"/>
      <c r="Z8" s="165"/>
      <c r="AA8" s="1586"/>
      <c r="AB8" s="165"/>
      <c r="AC8" s="1587"/>
      <c r="AD8" s="165"/>
      <c r="AE8" s="1586"/>
      <c r="AF8" s="165"/>
      <c r="AG8" s="1586"/>
      <c r="AH8" s="165"/>
      <c r="AI8" s="1586"/>
      <c r="AJ8" s="165"/>
      <c r="AK8" s="1587"/>
      <c r="AL8" s="165"/>
      <c r="AM8" s="1586"/>
      <c r="AN8" s="165"/>
      <c r="AO8" s="1586"/>
      <c r="AP8" s="165"/>
      <c r="AQ8" s="1588"/>
      <c r="AR8" s="166"/>
      <c r="AS8" s="94"/>
      <c r="AT8" s="1547"/>
    </row>
    <row r="9" ht="13.5" customHeight="1">
      <c r="A9" s="1678"/>
      <c r="B9" s="1569"/>
      <c r="C9" s="166"/>
      <c r="F9" s="1679"/>
      <c r="G9" s="1680" t="s">
        <v>2674</v>
      </c>
      <c r="H9" s="1654"/>
      <c r="I9" s="1680" t="s">
        <v>2674</v>
      </c>
      <c r="J9" s="1654"/>
      <c r="K9" s="1680" t="s">
        <v>2674</v>
      </c>
      <c r="L9" s="1654"/>
      <c r="M9" s="1680" t="s">
        <v>2674</v>
      </c>
      <c r="N9" s="1643"/>
      <c r="O9" s="1680" t="s">
        <v>2674</v>
      </c>
      <c r="P9" s="1654"/>
      <c r="Q9" s="1680" t="s">
        <v>2674</v>
      </c>
      <c r="R9" s="1643"/>
      <c r="S9" s="1680" t="s">
        <v>2674</v>
      </c>
      <c r="T9" s="1654"/>
      <c r="U9" s="1680" t="s">
        <v>2674</v>
      </c>
      <c r="V9" s="1643"/>
      <c r="W9" s="107"/>
      <c r="Y9" s="166"/>
      <c r="AA9" s="166"/>
      <c r="AC9" s="107"/>
      <c r="AE9" s="166"/>
      <c r="AG9" s="166"/>
      <c r="AI9" s="166"/>
      <c r="AK9" s="107"/>
      <c r="AM9" s="166"/>
      <c r="AO9" s="166"/>
      <c r="AQ9" s="1576"/>
      <c r="AR9" s="166"/>
      <c r="AS9" s="94"/>
      <c r="AT9" s="1547"/>
    </row>
    <row r="10" ht="13.5" customHeight="1">
      <c r="A10" s="1678"/>
      <c r="B10" s="1569"/>
      <c r="C10" s="1577"/>
      <c r="F10" s="1681" t="s">
        <v>2677</v>
      </c>
      <c r="G10" s="1586"/>
      <c r="H10" s="1682" t="s">
        <v>2674</v>
      </c>
      <c r="I10" s="1586"/>
      <c r="J10" s="1682" t="s">
        <v>2674</v>
      </c>
      <c r="K10" s="1586"/>
      <c r="L10" s="1682" t="s">
        <v>2674</v>
      </c>
      <c r="M10" s="1586"/>
      <c r="N10" s="1683" t="s">
        <v>2674</v>
      </c>
      <c r="O10" s="1586"/>
      <c r="P10" s="1682" t="s">
        <v>2674</v>
      </c>
      <c r="Q10" s="1586"/>
      <c r="R10" s="1683" t="s">
        <v>2674</v>
      </c>
      <c r="S10" s="1586"/>
      <c r="T10" s="1682" t="s">
        <v>2674</v>
      </c>
      <c r="U10" s="1586"/>
      <c r="V10" s="1683" t="s">
        <v>2674</v>
      </c>
      <c r="W10" s="1587"/>
      <c r="X10" s="165"/>
      <c r="Y10" s="1586"/>
      <c r="Z10" s="165"/>
      <c r="AA10" s="1586"/>
      <c r="AB10" s="165"/>
      <c r="AC10" s="1587"/>
      <c r="AD10" s="165"/>
      <c r="AE10" s="1586"/>
      <c r="AF10" s="165"/>
      <c r="AG10" s="1586"/>
      <c r="AH10" s="165"/>
      <c r="AI10" s="1586"/>
      <c r="AJ10" s="165"/>
      <c r="AK10" s="1587"/>
      <c r="AL10" s="165"/>
      <c r="AM10" s="1586"/>
      <c r="AN10" s="165"/>
      <c r="AO10" s="1586"/>
      <c r="AP10" s="165"/>
      <c r="AQ10" s="1588"/>
      <c r="AR10" s="166"/>
      <c r="AS10" s="94"/>
      <c r="AT10" s="1547"/>
    </row>
    <row r="11" ht="13.5" customHeight="1">
      <c r="A11" s="1684"/>
      <c r="B11" s="1599"/>
      <c r="C11" s="166"/>
      <c r="F11" s="1607"/>
      <c r="G11" s="1680" t="s">
        <v>2674</v>
      </c>
      <c r="H11" s="1654"/>
      <c r="I11" s="1680" t="s">
        <v>2674</v>
      </c>
      <c r="J11" s="1654"/>
      <c r="K11" s="1680" t="s">
        <v>2674</v>
      </c>
      <c r="L11" s="1654"/>
      <c r="M11" s="1680" t="s">
        <v>2674</v>
      </c>
      <c r="N11" s="1643"/>
      <c r="O11" s="1680" t="s">
        <v>2674</v>
      </c>
      <c r="P11" s="1654"/>
      <c r="Q11" s="1680" t="s">
        <v>2674</v>
      </c>
      <c r="R11" s="1643"/>
      <c r="S11" s="1680" t="s">
        <v>2674</v>
      </c>
      <c r="T11" s="1654"/>
      <c r="U11" s="1680" t="s">
        <v>2674</v>
      </c>
      <c r="V11" s="1643"/>
      <c r="W11" s="107"/>
      <c r="Y11" s="166"/>
      <c r="AA11" s="166"/>
      <c r="AC11" s="107"/>
      <c r="AE11" s="166"/>
      <c r="AG11" s="166"/>
      <c r="AI11" s="166"/>
      <c r="AK11" s="107"/>
      <c r="AM11" s="166"/>
      <c r="AO11" s="166"/>
      <c r="AQ11" s="1599"/>
      <c r="AR11" s="1600"/>
      <c r="AS11" s="161"/>
      <c r="AT11" s="1607"/>
    </row>
    <row r="12" ht="13.5" customHeight="1">
      <c r="A12" s="1609"/>
      <c r="B12" s="1553" t="s">
        <v>2690</v>
      </c>
      <c r="C12" s="1554"/>
      <c r="D12" s="84"/>
      <c r="E12" s="84"/>
      <c r="F12" s="1675" t="s">
        <v>2673</v>
      </c>
      <c r="G12" s="1563"/>
      <c r="H12" s="1676" t="s">
        <v>2674</v>
      </c>
      <c r="I12" s="1563"/>
      <c r="J12" s="1676" t="s">
        <v>2674</v>
      </c>
      <c r="K12" s="1563"/>
      <c r="L12" s="1676" t="s">
        <v>2674</v>
      </c>
      <c r="M12" s="1563"/>
      <c r="N12" s="1677" t="s">
        <v>2674</v>
      </c>
      <c r="O12" s="1563"/>
      <c r="P12" s="1676" t="s">
        <v>2674</v>
      </c>
      <c r="Q12" s="1563"/>
      <c r="R12" s="1677" t="s">
        <v>2674</v>
      </c>
      <c r="S12" s="1563"/>
      <c r="T12" s="1676" t="s">
        <v>2674</v>
      </c>
      <c r="U12" s="1563"/>
      <c r="V12" s="1677" t="s">
        <v>2674</v>
      </c>
      <c r="W12" s="1564"/>
      <c r="X12" s="1055"/>
      <c r="Y12" s="1563"/>
      <c r="Z12" s="1055"/>
      <c r="AA12" s="1563"/>
      <c r="AB12" s="86"/>
      <c r="AC12" s="1564"/>
      <c r="AD12" s="1055"/>
      <c r="AE12" s="1563"/>
      <c r="AF12" s="1055"/>
      <c r="AG12" s="1563"/>
      <c r="AH12" s="1055"/>
      <c r="AI12" s="1563"/>
      <c r="AJ12" s="86"/>
      <c r="AK12" s="1564"/>
      <c r="AL12" s="1055"/>
      <c r="AM12" s="1563"/>
      <c r="AN12" s="1055"/>
      <c r="AO12" s="1563"/>
      <c r="AP12" s="86"/>
      <c r="AQ12" s="1565"/>
      <c r="AR12" s="1566"/>
      <c r="AS12" s="1055"/>
      <c r="AT12" s="1567"/>
    </row>
    <row r="13" ht="13.5" customHeight="1">
      <c r="A13" s="1678"/>
      <c r="B13" s="1569"/>
      <c r="C13" s="166"/>
      <c r="F13" s="1679"/>
      <c r="G13" s="1680" t="s">
        <v>2674</v>
      </c>
      <c r="H13" s="1654"/>
      <c r="I13" s="1680" t="s">
        <v>2674</v>
      </c>
      <c r="J13" s="1654"/>
      <c r="K13" s="1680" t="s">
        <v>2674</v>
      </c>
      <c r="L13" s="1654"/>
      <c r="M13" s="1680" t="s">
        <v>2674</v>
      </c>
      <c r="N13" s="1643"/>
      <c r="O13" s="1680" t="s">
        <v>2674</v>
      </c>
      <c r="P13" s="1654"/>
      <c r="Q13" s="1680" t="s">
        <v>2674</v>
      </c>
      <c r="R13" s="1643"/>
      <c r="S13" s="1680" t="s">
        <v>2674</v>
      </c>
      <c r="T13" s="1654"/>
      <c r="U13" s="1680" t="s">
        <v>2674</v>
      </c>
      <c r="V13" s="1643"/>
      <c r="W13" s="1192"/>
      <c r="X13" s="55"/>
      <c r="Y13" s="104"/>
      <c r="Z13" s="55"/>
      <c r="AA13" s="104"/>
      <c r="AB13" s="78"/>
      <c r="AC13" s="1192"/>
      <c r="AD13" s="55"/>
      <c r="AE13" s="104"/>
      <c r="AF13" s="55"/>
      <c r="AG13" s="104"/>
      <c r="AH13" s="55"/>
      <c r="AI13" s="104"/>
      <c r="AJ13" s="78"/>
      <c r="AK13" s="1192"/>
      <c r="AL13" s="55"/>
      <c r="AM13" s="104"/>
      <c r="AN13" s="55"/>
      <c r="AO13" s="104"/>
      <c r="AP13" s="78"/>
      <c r="AQ13" s="1576"/>
      <c r="AR13" s="166"/>
      <c r="AS13" s="94"/>
      <c r="AT13" s="1547"/>
    </row>
    <row r="14" ht="13.5" customHeight="1">
      <c r="A14" s="1678"/>
      <c r="B14" s="1569"/>
      <c r="C14" s="1577"/>
      <c r="F14" s="1681" t="s">
        <v>2676</v>
      </c>
      <c r="G14" s="1586"/>
      <c r="H14" s="1682" t="s">
        <v>2674</v>
      </c>
      <c r="I14" s="1586"/>
      <c r="J14" s="1682" t="s">
        <v>2674</v>
      </c>
      <c r="K14" s="1586"/>
      <c r="L14" s="1682" t="s">
        <v>2674</v>
      </c>
      <c r="M14" s="1586"/>
      <c r="N14" s="1683" t="s">
        <v>2674</v>
      </c>
      <c r="O14" s="1586"/>
      <c r="P14" s="1682" t="s">
        <v>2674</v>
      </c>
      <c r="Q14" s="1586"/>
      <c r="R14" s="1683" t="s">
        <v>2674</v>
      </c>
      <c r="S14" s="1586"/>
      <c r="T14" s="1682" t="s">
        <v>2674</v>
      </c>
      <c r="U14" s="1586"/>
      <c r="V14" s="1683" t="s">
        <v>2674</v>
      </c>
      <c r="W14" s="1587"/>
      <c r="X14" s="165"/>
      <c r="Y14" s="1586"/>
      <c r="Z14" s="165"/>
      <c r="AA14" s="1586"/>
      <c r="AB14" s="165"/>
      <c r="AC14" s="1587"/>
      <c r="AD14" s="165"/>
      <c r="AE14" s="1586"/>
      <c r="AF14" s="165"/>
      <c r="AG14" s="1586"/>
      <c r="AH14" s="165"/>
      <c r="AI14" s="1586"/>
      <c r="AJ14" s="165"/>
      <c r="AK14" s="1587"/>
      <c r="AL14" s="165"/>
      <c r="AM14" s="1586"/>
      <c r="AN14" s="165"/>
      <c r="AO14" s="1586"/>
      <c r="AP14" s="165"/>
      <c r="AQ14" s="1588"/>
      <c r="AR14" s="166"/>
      <c r="AS14" s="94"/>
      <c r="AT14" s="1547"/>
    </row>
    <row r="15" ht="13.5" customHeight="1">
      <c r="A15" s="1678"/>
      <c r="B15" s="1569"/>
      <c r="C15" s="166"/>
      <c r="F15" s="1679"/>
      <c r="G15" s="1680" t="s">
        <v>2674</v>
      </c>
      <c r="H15" s="1654"/>
      <c r="I15" s="1680" t="s">
        <v>2674</v>
      </c>
      <c r="J15" s="1654"/>
      <c r="K15" s="1680" t="s">
        <v>2674</v>
      </c>
      <c r="L15" s="1654"/>
      <c r="M15" s="1680" t="s">
        <v>2674</v>
      </c>
      <c r="N15" s="1643"/>
      <c r="O15" s="1680" t="s">
        <v>2674</v>
      </c>
      <c r="P15" s="1654"/>
      <c r="Q15" s="1680" t="s">
        <v>2674</v>
      </c>
      <c r="R15" s="1643"/>
      <c r="S15" s="1680" t="s">
        <v>2674</v>
      </c>
      <c r="T15" s="1654"/>
      <c r="U15" s="1680" t="s">
        <v>2674</v>
      </c>
      <c r="V15" s="1643"/>
      <c r="W15" s="107"/>
      <c r="Y15" s="166"/>
      <c r="AA15" s="166"/>
      <c r="AC15" s="107"/>
      <c r="AE15" s="166"/>
      <c r="AG15" s="166"/>
      <c r="AI15" s="166"/>
      <c r="AK15" s="107"/>
      <c r="AM15" s="166"/>
      <c r="AO15" s="166"/>
      <c r="AQ15" s="1576"/>
      <c r="AR15" s="166"/>
      <c r="AS15" s="94"/>
      <c r="AT15" s="1547"/>
    </row>
    <row r="16" ht="13.5" customHeight="1">
      <c r="A16" s="1678"/>
      <c r="B16" s="1569"/>
      <c r="C16" s="1577"/>
      <c r="F16" s="1681" t="s">
        <v>2677</v>
      </c>
      <c r="G16" s="1586"/>
      <c r="H16" s="1682" t="s">
        <v>2674</v>
      </c>
      <c r="I16" s="1586"/>
      <c r="J16" s="1682" t="s">
        <v>2674</v>
      </c>
      <c r="K16" s="1586"/>
      <c r="L16" s="1682" t="s">
        <v>2674</v>
      </c>
      <c r="M16" s="1586"/>
      <c r="N16" s="1683" t="s">
        <v>2674</v>
      </c>
      <c r="O16" s="1586"/>
      <c r="P16" s="1682" t="s">
        <v>2674</v>
      </c>
      <c r="Q16" s="1586"/>
      <c r="R16" s="1683" t="s">
        <v>2674</v>
      </c>
      <c r="S16" s="1586"/>
      <c r="T16" s="1682" t="s">
        <v>2674</v>
      </c>
      <c r="U16" s="1586"/>
      <c r="V16" s="1683" t="s">
        <v>2674</v>
      </c>
      <c r="W16" s="1587"/>
      <c r="X16" s="165"/>
      <c r="Y16" s="1586"/>
      <c r="Z16" s="165"/>
      <c r="AA16" s="1586"/>
      <c r="AB16" s="165"/>
      <c r="AC16" s="1587"/>
      <c r="AD16" s="165"/>
      <c r="AE16" s="1586"/>
      <c r="AF16" s="165"/>
      <c r="AG16" s="1586"/>
      <c r="AH16" s="165"/>
      <c r="AI16" s="1586"/>
      <c r="AJ16" s="165"/>
      <c r="AK16" s="1587"/>
      <c r="AL16" s="165"/>
      <c r="AM16" s="1586"/>
      <c r="AN16" s="165"/>
      <c r="AO16" s="1586"/>
      <c r="AP16" s="165"/>
      <c r="AQ16" s="1588"/>
      <c r="AR16" s="166"/>
      <c r="AS16" s="94"/>
      <c r="AT16" s="1547"/>
    </row>
    <row r="17" ht="13.5" customHeight="1">
      <c r="A17" s="1684"/>
      <c r="B17" s="1599"/>
      <c r="C17" s="166"/>
      <c r="F17" s="1607"/>
      <c r="G17" s="1680" t="s">
        <v>2674</v>
      </c>
      <c r="H17" s="1654"/>
      <c r="I17" s="1680" t="s">
        <v>2674</v>
      </c>
      <c r="J17" s="1654"/>
      <c r="K17" s="1680" t="s">
        <v>2674</v>
      </c>
      <c r="L17" s="1654"/>
      <c r="M17" s="1680" t="s">
        <v>2674</v>
      </c>
      <c r="N17" s="1643"/>
      <c r="O17" s="1680" t="s">
        <v>2674</v>
      </c>
      <c r="P17" s="1654"/>
      <c r="Q17" s="1680" t="s">
        <v>2674</v>
      </c>
      <c r="R17" s="1643"/>
      <c r="S17" s="1680" t="s">
        <v>2674</v>
      </c>
      <c r="T17" s="1654"/>
      <c r="U17" s="1680" t="s">
        <v>2674</v>
      </c>
      <c r="V17" s="1643"/>
      <c r="W17" s="107"/>
      <c r="Y17" s="166"/>
      <c r="AA17" s="166"/>
      <c r="AC17" s="107"/>
      <c r="AE17" s="166"/>
      <c r="AG17" s="166"/>
      <c r="AI17" s="166"/>
      <c r="AK17" s="107"/>
      <c r="AM17" s="166"/>
      <c r="AO17" s="166"/>
      <c r="AQ17" s="1599"/>
      <c r="AR17" s="1600"/>
      <c r="AS17" s="161"/>
      <c r="AT17" s="1607"/>
    </row>
    <row r="18" ht="13.5" customHeight="1">
      <c r="A18" s="1609"/>
      <c r="B18" s="1553" t="s">
        <v>521</v>
      </c>
      <c r="C18" s="1554"/>
      <c r="D18" s="84"/>
      <c r="E18" s="84"/>
      <c r="F18" s="1675" t="s">
        <v>2673</v>
      </c>
      <c r="G18" s="1563"/>
      <c r="H18" s="1676" t="s">
        <v>2674</v>
      </c>
      <c r="I18" s="1563"/>
      <c r="J18" s="1676" t="s">
        <v>2674</v>
      </c>
      <c r="K18" s="1563"/>
      <c r="L18" s="1676" t="s">
        <v>2674</v>
      </c>
      <c r="M18" s="1563"/>
      <c r="N18" s="1677" t="s">
        <v>2674</v>
      </c>
      <c r="O18" s="1563"/>
      <c r="P18" s="1676" t="s">
        <v>2674</v>
      </c>
      <c r="Q18" s="1563"/>
      <c r="R18" s="1677" t="s">
        <v>2674</v>
      </c>
      <c r="S18" s="1563"/>
      <c r="T18" s="1676" t="s">
        <v>2674</v>
      </c>
      <c r="U18" s="1563"/>
      <c r="V18" s="1677" t="s">
        <v>2674</v>
      </c>
      <c r="W18" s="1564"/>
      <c r="X18" s="1055"/>
      <c r="Y18" s="1563"/>
      <c r="Z18" s="1055"/>
      <c r="AA18" s="1563"/>
      <c r="AB18" s="86"/>
      <c r="AC18" s="1564"/>
      <c r="AD18" s="1055"/>
      <c r="AE18" s="1563"/>
      <c r="AF18" s="1055"/>
      <c r="AG18" s="1563"/>
      <c r="AH18" s="1055"/>
      <c r="AI18" s="1563"/>
      <c r="AJ18" s="86"/>
      <c r="AK18" s="1564"/>
      <c r="AL18" s="1055"/>
      <c r="AM18" s="1563"/>
      <c r="AN18" s="1055"/>
      <c r="AO18" s="1563"/>
      <c r="AP18" s="86"/>
      <c r="AQ18" s="1565"/>
      <c r="AR18" s="1566"/>
      <c r="AS18" s="1055"/>
      <c r="AT18" s="1567"/>
    </row>
    <row r="19" ht="13.5" customHeight="1">
      <c r="A19" s="1678"/>
      <c r="B19" s="1569"/>
      <c r="C19" s="166"/>
      <c r="F19" s="1679"/>
      <c r="G19" s="1680" t="s">
        <v>2674</v>
      </c>
      <c r="H19" s="1654"/>
      <c r="I19" s="1680" t="s">
        <v>2674</v>
      </c>
      <c r="J19" s="1654"/>
      <c r="K19" s="1680" t="s">
        <v>2674</v>
      </c>
      <c r="L19" s="1654"/>
      <c r="M19" s="1680" t="s">
        <v>2674</v>
      </c>
      <c r="N19" s="1643"/>
      <c r="O19" s="1680" t="s">
        <v>2674</v>
      </c>
      <c r="P19" s="1654"/>
      <c r="Q19" s="1680" t="s">
        <v>2674</v>
      </c>
      <c r="R19" s="1643"/>
      <c r="S19" s="1680" t="s">
        <v>2674</v>
      </c>
      <c r="T19" s="1654"/>
      <c r="U19" s="1680" t="s">
        <v>2674</v>
      </c>
      <c r="V19" s="1643"/>
      <c r="W19" s="1192"/>
      <c r="X19" s="55"/>
      <c r="Y19" s="104"/>
      <c r="Z19" s="55"/>
      <c r="AA19" s="104"/>
      <c r="AB19" s="78"/>
      <c r="AC19" s="1192"/>
      <c r="AD19" s="55"/>
      <c r="AE19" s="104"/>
      <c r="AF19" s="55"/>
      <c r="AG19" s="104"/>
      <c r="AH19" s="55"/>
      <c r="AI19" s="104"/>
      <c r="AJ19" s="78"/>
      <c r="AK19" s="1192"/>
      <c r="AL19" s="55"/>
      <c r="AM19" s="104"/>
      <c r="AN19" s="55"/>
      <c r="AO19" s="104"/>
      <c r="AP19" s="78"/>
      <c r="AQ19" s="1576"/>
      <c r="AR19" s="166"/>
      <c r="AS19" s="94"/>
      <c r="AT19" s="1547"/>
    </row>
    <row r="20" ht="13.5" customHeight="1">
      <c r="A20" s="1678"/>
      <c r="B20" s="1569"/>
      <c r="C20" s="1577"/>
      <c r="F20" s="1681" t="s">
        <v>2676</v>
      </c>
      <c r="G20" s="1586"/>
      <c r="H20" s="1682" t="s">
        <v>2674</v>
      </c>
      <c r="I20" s="1586"/>
      <c r="J20" s="1682" t="s">
        <v>2674</v>
      </c>
      <c r="K20" s="1586"/>
      <c r="L20" s="1682" t="s">
        <v>2674</v>
      </c>
      <c r="M20" s="1586"/>
      <c r="N20" s="1683" t="s">
        <v>2674</v>
      </c>
      <c r="O20" s="1586"/>
      <c r="P20" s="1682" t="s">
        <v>2674</v>
      </c>
      <c r="Q20" s="1586"/>
      <c r="R20" s="1683" t="s">
        <v>2674</v>
      </c>
      <c r="S20" s="1586"/>
      <c r="T20" s="1682" t="s">
        <v>2674</v>
      </c>
      <c r="U20" s="1586"/>
      <c r="V20" s="1683" t="s">
        <v>2674</v>
      </c>
      <c r="W20" s="1587"/>
      <c r="X20" s="165"/>
      <c r="Y20" s="1586"/>
      <c r="Z20" s="165"/>
      <c r="AA20" s="1586"/>
      <c r="AB20" s="165"/>
      <c r="AC20" s="1587"/>
      <c r="AD20" s="165"/>
      <c r="AE20" s="1586"/>
      <c r="AF20" s="165"/>
      <c r="AG20" s="1586"/>
      <c r="AH20" s="165"/>
      <c r="AI20" s="1586"/>
      <c r="AJ20" s="165"/>
      <c r="AK20" s="1587"/>
      <c r="AL20" s="165"/>
      <c r="AM20" s="1586"/>
      <c r="AN20" s="165"/>
      <c r="AO20" s="1586"/>
      <c r="AP20" s="165"/>
      <c r="AQ20" s="1588"/>
      <c r="AR20" s="166"/>
      <c r="AS20" s="94"/>
      <c r="AT20" s="1547"/>
    </row>
    <row r="21" ht="13.5" customHeight="1">
      <c r="A21" s="1678"/>
      <c r="B21" s="1569"/>
      <c r="C21" s="166"/>
      <c r="F21" s="1679"/>
      <c r="G21" s="1680" t="s">
        <v>2674</v>
      </c>
      <c r="H21" s="1654"/>
      <c r="I21" s="1680" t="s">
        <v>2674</v>
      </c>
      <c r="J21" s="1654"/>
      <c r="K21" s="1680" t="s">
        <v>2674</v>
      </c>
      <c r="L21" s="1654"/>
      <c r="M21" s="1680" t="s">
        <v>2674</v>
      </c>
      <c r="N21" s="1643"/>
      <c r="O21" s="1680" t="s">
        <v>2674</v>
      </c>
      <c r="P21" s="1654"/>
      <c r="Q21" s="1680" t="s">
        <v>2674</v>
      </c>
      <c r="R21" s="1643"/>
      <c r="S21" s="1680" t="s">
        <v>2674</v>
      </c>
      <c r="T21" s="1654"/>
      <c r="U21" s="1680" t="s">
        <v>2674</v>
      </c>
      <c r="V21" s="1643"/>
      <c r="W21" s="107"/>
      <c r="Y21" s="166"/>
      <c r="AA21" s="166"/>
      <c r="AC21" s="107"/>
      <c r="AE21" s="166"/>
      <c r="AG21" s="166"/>
      <c r="AI21" s="166"/>
      <c r="AK21" s="107"/>
      <c r="AM21" s="166"/>
      <c r="AO21" s="166"/>
      <c r="AQ21" s="1576"/>
      <c r="AR21" s="166"/>
      <c r="AS21" s="94"/>
      <c r="AT21" s="1547"/>
    </row>
    <row r="22" ht="13.5" customHeight="1">
      <c r="A22" s="1678"/>
      <c r="B22" s="1569"/>
      <c r="C22" s="1577"/>
      <c r="F22" s="1681" t="s">
        <v>2677</v>
      </c>
      <c r="G22" s="1586"/>
      <c r="H22" s="1682" t="s">
        <v>2674</v>
      </c>
      <c r="I22" s="1586"/>
      <c r="J22" s="1682" t="s">
        <v>2674</v>
      </c>
      <c r="K22" s="1586"/>
      <c r="L22" s="1682" t="s">
        <v>2674</v>
      </c>
      <c r="M22" s="1586"/>
      <c r="N22" s="1683" t="s">
        <v>2674</v>
      </c>
      <c r="O22" s="1586"/>
      <c r="P22" s="1682" t="s">
        <v>2674</v>
      </c>
      <c r="Q22" s="1586"/>
      <c r="R22" s="1683" t="s">
        <v>2674</v>
      </c>
      <c r="S22" s="1586"/>
      <c r="T22" s="1682" t="s">
        <v>2674</v>
      </c>
      <c r="U22" s="1586"/>
      <c r="V22" s="1683" t="s">
        <v>2674</v>
      </c>
      <c r="W22" s="1587"/>
      <c r="X22" s="165"/>
      <c r="Y22" s="1586"/>
      <c r="Z22" s="165"/>
      <c r="AA22" s="1586"/>
      <c r="AB22" s="165"/>
      <c r="AC22" s="1587"/>
      <c r="AD22" s="165"/>
      <c r="AE22" s="1586"/>
      <c r="AF22" s="165"/>
      <c r="AG22" s="1586"/>
      <c r="AH22" s="165"/>
      <c r="AI22" s="1586"/>
      <c r="AJ22" s="165"/>
      <c r="AK22" s="1587"/>
      <c r="AL22" s="165"/>
      <c r="AM22" s="1586"/>
      <c r="AN22" s="165"/>
      <c r="AO22" s="1586"/>
      <c r="AP22" s="165"/>
      <c r="AQ22" s="1588"/>
      <c r="AR22" s="166"/>
      <c r="AS22" s="94"/>
      <c r="AT22" s="1547"/>
    </row>
    <row r="23" ht="13.5" customHeight="1">
      <c r="A23" s="1684"/>
      <c r="B23" s="1599"/>
      <c r="C23" s="166"/>
      <c r="F23" s="1607"/>
      <c r="G23" s="1680" t="s">
        <v>2674</v>
      </c>
      <c r="H23" s="1654"/>
      <c r="I23" s="1680" t="s">
        <v>2674</v>
      </c>
      <c r="J23" s="1654"/>
      <c r="K23" s="1680" t="s">
        <v>2674</v>
      </c>
      <c r="L23" s="1654"/>
      <c r="M23" s="1680" t="s">
        <v>2674</v>
      </c>
      <c r="N23" s="1643"/>
      <c r="O23" s="1680" t="s">
        <v>2674</v>
      </c>
      <c r="P23" s="1654"/>
      <c r="Q23" s="1680" t="s">
        <v>2674</v>
      </c>
      <c r="R23" s="1643"/>
      <c r="S23" s="1680" t="s">
        <v>2674</v>
      </c>
      <c r="T23" s="1654"/>
      <c r="U23" s="1680" t="s">
        <v>2674</v>
      </c>
      <c r="V23" s="1643"/>
      <c r="W23" s="107"/>
      <c r="Y23" s="166"/>
      <c r="AA23" s="166"/>
      <c r="AC23" s="107"/>
      <c r="AE23" s="166"/>
      <c r="AG23" s="166"/>
      <c r="AI23" s="166"/>
      <c r="AK23" s="107"/>
      <c r="AM23" s="166"/>
      <c r="AO23" s="166"/>
      <c r="AQ23" s="1599"/>
      <c r="AR23" s="1600"/>
      <c r="AS23" s="161"/>
      <c r="AT23" s="1607"/>
    </row>
    <row r="24" ht="13.5" customHeight="1">
      <c r="A24" s="1609"/>
      <c r="B24" s="1553"/>
      <c r="C24" s="1554"/>
      <c r="D24" s="84"/>
      <c r="E24" s="84"/>
      <c r="F24" s="1675" t="s">
        <v>2673</v>
      </c>
      <c r="G24" s="1563"/>
      <c r="H24" s="1676" t="s">
        <v>2674</v>
      </c>
      <c r="I24" s="1563"/>
      <c r="J24" s="1676" t="s">
        <v>2674</v>
      </c>
      <c r="K24" s="1563"/>
      <c r="L24" s="1676" t="s">
        <v>2674</v>
      </c>
      <c r="M24" s="1563"/>
      <c r="N24" s="1677" t="s">
        <v>2674</v>
      </c>
      <c r="O24" s="1563"/>
      <c r="P24" s="1676" t="s">
        <v>2674</v>
      </c>
      <c r="Q24" s="1563"/>
      <c r="R24" s="1677" t="s">
        <v>2674</v>
      </c>
      <c r="S24" s="1563"/>
      <c r="T24" s="1676" t="s">
        <v>2674</v>
      </c>
      <c r="U24" s="1563"/>
      <c r="V24" s="1677" t="s">
        <v>2674</v>
      </c>
      <c r="W24" s="1564"/>
      <c r="X24" s="1055"/>
      <c r="Y24" s="1563"/>
      <c r="Z24" s="1055"/>
      <c r="AA24" s="1563"/>
      <c r="AB24" s="86"/>
      <c r="AC24" s="1564"/>
      <c r="AD24" s="1055"/>
      <c r="AE24" s="1563"/>
      <c r="AF24" s="1055"/>
      <c r="AG24" s="1563"/>
      <c r="AH24" s="1055"/>
      <c r="AI24" s="1563"/>
      <c r="AJ24" s="86"/>
      <c r="AK24" s="1564"/>
      <c r="AL24" s="1055"/>
      <c r="AM24" s="1563"/>
      <c r="AN24" s="1055"/>
      <c r="AO24" s="1563"/>
      <c r="AP24" s="86"/>
      <c r="AQ24" s="1565"/>
      <c r="AR24" s="1566"/>
      <c r="AS24" s="1055"/>
      <c r="AT24" s="1567"/>
    </row>
    <row r="25" ht="13.5" customHeight="1">
      <c r="A25" s="1678"/>
      <c r="B25" s="1569"/>
      <c r="C25" s="166"/>
      <c r="F25" s="1679"/>
      <c r="G25" s="1680" t="s">
        <v>2674</v>
      </c>
      <c r="H25" s="1654"/>
      <c r="I25" s="1680" t="s">
        <v>2674</v>
      </c>
      <c r="J25" s="1654"/>
      <c r="K25" s="1680" t="s">
        <v>2674</v>
      </c>
      <c r="L25" s="1654"/>
      <c r="M25" s="1680" t="s">
        <v>2674</v>
      </c>
      <c r="N25" s="1643"/>
      <c r="O25" s="1680" t="s">
        <v>2674</v>
      </c>
      <c r="P25" s="1654"/>
      <c r="Q25" s="1680" t="s">
        <v>2674</v>
      </c>
      <c r="R25" s="1643"/>
      <c r="S25" s="1680" t="s">
        <v>2674</v>
      </c>
      <c r="T25" s="1654"/>
      <c r="U25" s="1680" t="s">
        <v>2674</v>
      </c>
      <c r="V25" s="1643"/>
      <c r="W25" s="1192"/>
      <c r="X25" s="55"/>
      <c r="Y25" s="104"/>
      <c r="Z25" s="55"/>
      <c r="AA25" s="104"/>
      <c r="AB25" s="78"/>
      <c r="AC25" s="1192"/>
      <c r="AD25" s="55"/>
      <c r="AE25" s="104"/>
      <c r="AF25" s="55"/>
      <c r="AG25" s="104"/>
      <c r="AH25" s="55"/>
      <c r="AI25" s="104"/>
      <c r="AJ25" s="78"/>
      <c r="AK25" s="1192"/>
      <c r="AL25" s="55"/>
      <c r="AM25" s="104"/>
      <c r="AN25" s="55"/>
      <c r="AO25" s="104"/>
      <c r="AP25" s="78"/>
      <c r="AQ25" s="1576"/>
      <c r="AR25" s="166"/>
      <c r="AS25" s="94"/>
      <c r="AT25" s="1547"/>
    </row>
    <row r="26" ht="13.5" customHeight="1">
      <c r="A26" s="1678"/>
      <c r="B26" s="1569"/>
      <c r="C26" s="1577"/>
      <c r="F26" s="1681" t="s">
        <v>2676</v>
      </c>
      <c r="G26" s="1586"/>
      <c r="H26" s="1682" t="s">
        <v>2674</v>
      </c>
      <c r="I26" s="1586"/>
      <c r="J26" s="1682" t="s">
        <v>2674</v>
      </c>
      <c r="K26" s="1586"/>
      <c r="L26" s="1682" t="s">
        <v>2674</v>
      </c>
      <c r="M26" s="1586"/>
      <c r="N26" s="1683" t="s">
        <v>2674</v>
      </c>
      <c r="O26" s="1586"/>
      <c r="P26" s="1682" t="s">
        <v>2674</v>
      </c>
      <c r="Q26" s="1586"/>
      <c r="R26" s="1683" t="s">
        <v>2674</v>
      </c>
      <c r="S26" s="1586"/>
      <c r="T26" s="1682" t="s">
        <v>2674</v>
      </c>
      <c r="U26" s="1586"/>
      <c r="V26" s="1683" t="s">
        <v>2674</v>
      </c>
      <c r="W26" s="1587"/>
      <c r="X26" s="165"/>
      <c r="Y26" s="1586"/>
      <c r="Z26" s="165"/>
      <c r="AA26" s="1586"/>
      <c r="AB26" s="165"/>
      <c r="AC26" s="1587"/>
      <c r="AD26" s="165"/>
      <c r="AE26" s="1586"/>
      <c r="AF26" s="165"/>
      <c r="AG26" s="1586"/>
      <c r="AH26" s="165"/>
      <c r="AI26" s="1586"/>
      <c r="AJ26" s="165"/>
      <c r="AK26" s="1587"/>
      <c r="AL26" s="165"/>
      <c r="AM26" s="1586"/>
      <c r="AN26" s="165"/>
      <c r="AO26" s="1586"/>
      <c r="AP26" s="165"/>
      <c r="AQ26" s="1588"/>
      <c r="AR26" s="166"/>
      <c r="AS26" s="94"/>
      <c r="AT26" s="1547"/>
    </row>
    <row r="27" ht="13.5" customHeight="1">
      <c r="A27" s="1678"/>
      <c r="B27" s="1569"/>
      <c r="C27" s="166"/>
      <c r="F27" s="1679"/>
      <c r="G27" s="1680" t="s">
        <v>2674</v>
      </c>
      <c r="H27" s="1654"/>
      <c r="I27" s="1680" t="s">
        <v>2674</v>
      </c>
      <c r="J27" s="1654"/>
      <c r="K27" s="1680" t="s">
        <v>2674</v>
      </c>
      <c r="L27" s="1654"/>
      <c r="M27" s="1680" t="s">
        <v>2674</v>
      </c>
      <c r="N27" s="1643"/>
      <c r="O27" s="1680" t="s">
        <v>2674</v>
      </c>
      <c r="P27" s="1654"/>
      <c r="Q27" s="1680" t="s">
        <v>2674</v>
      </c>
      <c r="R27" s="1643"/>
      <c r="S27" s="1680" t="s">
        <v>2674</v>
      </c>
      <c r="T27" s="1654"/>
      <c r="U27" s="1680" t="s">
        <v>2674</v>
      </c>
      <c r="V27" s="1643"/>
      <c r="W27" s="107"/>
      <c r="Y27" s="166"/>
      <c r="AA27" s="166"/>
      <c r="AC27" s="107"/>
      <c r="AE27" s="166"/>
      <c r="AG27" s="166"/>
      <c r="AI27" s="166"/>
      <c r="AK27" s="107"/>
      <c r="AM27" s="166"/>
      <c r="AO27" s="166"/>
      <c r="AQ27" s="1576"/>
      <c r="AR27" s="166"/>
      <c r="AS27" s="94"/>
      <c r="AT27" s="1547"/>
    </row>
    <row r="28" ht="13.5" customHeight="1">
      <c r="A28" s="1678"/>
      <c r="B28" s="1569"/>
      <c r="C28" s="1577"/>
      <c r="F28" s="1681" t="s">
        <v>2677</v>
      </c>
      <c r="G28" s="1586"/>
      <c r="H28" s="1682" t="s">
        <v>2674</v>
      </c>
      <c r="I28" s="1586"/>
      <c r="J28" s="1682" t="s">
        <v>2674</v>
      </c>
      <c r="K28" s="1586"/>
      <c r="L28" s="1682" t="s">
        <v>2674</v>
      </c>
      <c r="M28" s="1586"/>
      <c r="N28" s="1683" t="s">
        <v>2674</v>
      </c>
      <c r="O28" s="1586"/>
      <c r="P28" s="1682" t="s">
        <v>2674</v>
      </c>
      <c r="Q28" s="1586"/>
      <c r="R28" s="1683" t="s">
        <v>2674</v>
      </c>
      <c r="S28" s="1586"/>
      <c r="T28" s="1682" t="s">
        <v>2674</v>
      </c>
      <c r="U28" s="1586"/>
      <c r="V28" s="1683" t="s">
        <v>2674</v>
      </c>
      <c r="W28" s="1587"/>
      <c r="X28" s="165"/>
      <c r="Y28" s="1586"/>
      <c r="Z28" s="165"/>
      <c r="AA28" s="1586"/>
      <c r="AB28" s="165"/>
      <c r="AC28" s="1587"/>
      <c r="AD28" s="165"/>
      <c r="AE28" s="1586"/>
      <c r="AF28" s="165"/>
      <c r="AG28" s="1586"/>
      <c r="AH28" s="165"/>
      <c r="AI28" s="1586"/>
      <c r="AJ28" s="165"/>
      <c r="AK28" s="1587"/>
      <c r="AL28" s="165"/>
      <c r="AM28" s="1586"/>
      <c r="AN28" s="165"/>
      <c r="AO28" s="1586"/>
      <c r="AP28" s="165"/>
      <c r="AQ28" s="1588"/>
      <c r="AR28" s="166"/>
      <c r="AS28" s="94"/>
      <c r="AT28" s="1547"/>
    </row>
    <row r="29" ht="13.5" customHeight="1">
      <c r="A29" s="1684"/>
      <c r="B29" s="1599"/>
      <c r="C29" s="166"/>
      <c r="F29" s="1607"/>
      <c r="G29" s="1680" t="s">
        <v>2674</v>
      </c>
      <c r="H29" s="1654"/>
      <c r="I29" s="1680" t="s">
        <v>2674</v>
      </c>
      <c r="J29" s="1654"/>
      <c r="K29" s="1680" t="s">
        <v>2674</v>
      </c>
      <c r="L29" s="1654"/>
      <c r="M29" s="1680" t="s">
        <v>2674</v>
      </c>
      <c r="N29" s="1643"/>
      <c r="O29" s="1680" t="s">
        <v>2674</v>
      </c>
      <c r="P29" s="1654"/>
      <c r="Q29" s="1680" t="s">
        <v>2674</v>
      </c>
      <c r="R29" s="1643"/>
      <c r="S29" s="1680" t="s">
        <v>2674</v>
      </c>
      <c r="T29" s="1654"/>
      <c r="U29" s="1680" t="s">
        <v>2674</v>
      </c>
      <c r="V29" s="1643"/>
      <c r="W29" s="107"/>
      <c r="Y29" s="166"/>
      <c r="AA29" s="166"/>
      <c r="AC29" s="107"/>
      <c r="AE29" s="166"/>
      <c r="AG29" s="166"/>
      <c r="AI29" s="166"/>
      <c r="AK29" s="107"/>
      <c r="AM29" s="166"/>
      <c r="AO29" s="166"/>
      <c r="AQ29" s="1599"/>
      <c r="AR29" s="1600"/>
      <c r="AS29" s="161"/>
      <c r="AT29" s="1607"/>
    </row>
    <row r="30" ht="13.5" customHeight="1">
      <c r="A30" s="1609"/>
      <c r="B30" s="1553"/>
      <c r="C30" s="1554"/>
      <c r="D30" s="84"/>
      <c r="E30" s="84"/>
      <c r="F30" s="1675" t="s">
        <v>2673</v>
      </c>
      <c r="G30" s="1563"/>
      <c r="H30" s="1676" t="s">
        <v>2674</v>
      </c>
      <c r="I30" s="1563"/>
      <c r="J30" s="1676" t="s">
        <v>2674</v>
      </c>
      <c r="K30" s="1563"/>
      <c r="L30" s="1676" t="s">
        <v>2674</v>
      </c>
      <c r="M30" s="1563"/>
      <c r="N30" s="1677" t="s">
        <v>2674</v>
      </c>
      <c r="O30" s="1563"/>
      <c r="P30" s="1676" t="s">
        <v>2674</v>
      </c>
      <c r="Q30" s="1563"/>
      <c r="R30" s="1677" t="s">
        <v>2674</v>
      </c>
      <c r="S30" s="1563"/>
      <c r="T30" s="1676" t="s">
        <v>2674</v>
      </c>
      <c r="U30" s="1563"/>
      <c r="V30" s="1677" t="s">
        <v>2674</v>
      </c>
      <c r="W30" s="1564"/>
      <c r="X30" s="1055"/>
      <c r="Y30" s="1563"/>
      <c r="Z30" s="1055"/>
      <c r="AA30" s="1563"/>
      <c r="AB30" s="86"/>
      <c r="AC30" s="1564"/>
      <c r="AD30" s="1055"/>
      <c r="AE30" s="1563"/>
      <c r="AF30" s="1055"/>
      <c r="AG30" s="1563"/>
      <c r="AH30" s="1055"/>
      <c r="AI30" s="1563"/>
      <c r="AJ30" s="86"/>
      <c r="AK30" s="1564"/>
      <c r="AL30" s="1055"/>
      <c r="AM30" s="1563"/>
      <c r="AN30" s="1055"/>
      <c r="AO30" s="1563"/>
      <c r="AP30" s="86"/>
      <c r="AQ30" s="1565"/>
      <c r="AR30" s="1566"/>
      <c r="AS30" s="1055"/>
      <c r="AT30" s="1567"/>
    </row>
    <row r="31" ht="13.5" customHeight="1">
      <c r="A31" s="1678"/>
      <c r="B31" s="1569"/>
      <c r="C31" s="166"/>
      <c r="F31" s="1679"/>
      <c r="G31" s="1680" t="s">
        <v>2674</v>
      </c>
      <c r="H31" s="1654"/>
      <c r="I31" s="1680" t="s">
        <v>2674</v>
      </c>
      <c r="J31" s="1654"/>
      <c r="K31" s="1680" t="s">
        <v>2674</v>
      </c>
      <c r="L31" s="1654"/>
      <c r="M31" s="1680" t="s">
        <v>2674</v>
      </c>
      <c r="N31" s="1643"/>
      <c r="O31" s="1680" t="s">
        <v>2674</v>
      </c>
      <c r="P31" s="1654"/>
      <c r="Q31" s="1680" t="s">
        <v>2674</v>
      </c>
      <c r="R31" s="1643"/>
      <c r="S31" s="1680" t="s">
        <v>2674</v>
      </c>
      <c r="T31" s="1654"/>
      <c r="U31" s="1680" t="s">
        <v>2674</v>
      </c>
      <c r="V31" s="1643"/>
      <c r="W31" s="1192"/>
      <c r="X31" s="55"/>
      <c r="Y31" s="104"/>
      <c r="Z31" s="55"/>
      <c r="AA31" s="104"/>
      <c r="AB31" s="78"/>
      <c r="AC31" s="1192"/>
      <c r="AD31" s="55"/>
      <c r="AE31" s="104"/>
      <c r="AF31" s="55"/>
      <c r="AG31" s="104"/>
      <c r="AH31" s="55"/>
      <c r="AI31" s="104"/>
      <c r="AJ31" s="78"/>
      <c r="AK31" s="1192"/>
      <c r="AL31" s="55"/>
      <c r="AM31" s="104"/>
      <c r="AN31" s="55"/>
      <c r="AO31" s="104"/>
      <c r="AP31" s="78"/>
      <c r="AQ31" s="1576"/>
      <c r="AR31" s="166"/>
      <c r="AS31" s="94"/>
      <c r="AT31" s="1547"/>
    </row>
    <row r="32" ht="13.5" customHeight="1">
      <c r="A32" s="1678"/>
      <c r="B32" s="1569"/>
      <c r="C32" s="1577"/>
      <c r="F32" s="1681" t="s">
        <v>2676</v>
      </c>
      <c r="G32" s="1586"/>
      <c r="H32" s="1682" t="s">
        <v>2674</v>
      </c>
      <c r="I32" s="1586"/>
      <c r="J32" s="1682" t="s">
        <v>2674</v>
      </c>
      <c r="K32" s="1586"/>
      <c r="L32" s="1682" t="s">
        <v>2674</v>
      </c>
      <c r="M32" s="1586"/>
      <c r="N32" s="1683" t="s">
        <v>2674</v>
      </c>
      <c r="O32" s="1586"/>
      <c r="P32" s="1682" t="s">
        <v>2674</v>
      </c>
      <c r="Q32" s="1586"/>
      <c r="R32" s="1683" t="s">
        <v>2674</v>
      </c>
      <c r="S32" s="1586"/>
      <c r="T32" s="1682" t="s">
        <v>2674</v>
      </c>
      <c r="U32" s="1586"/>
      <c r="V32" s="1683" t="s">
        <v>2674</v>
      </c>
      <c r="W32" s="1587"/>
      <c r="X32" s="165"/>
      <c r="Y32" s="1586"/>
      <c r="Z32" s="165"/>
      <c r="AA32" s="1586"/>
      <c r="AB32" s="165"/>
      <c r="AC32" s="1587"/>
      <c r="AD32" s="165"/>
      <c r="AE32" s="1586"/>
      <c r="AF32" s="165"/>
      <c r="AG32" s="1586"/>
      <c r="AH32" s="165"/>
      <c r="AI32" s="1586"/>
      <c r="AJ32" s="165"/>
      <c r="AK32" s="1587"/>
      <c r="AL32" s="165"/>
      <c r="AM32" s="1586"/>
      <c r="AN32" s="165"/>
      <c r="AO32" s="1586"/>
      <c r="AP32" s="165"/>
      <c r="AQ32" s="1588"/>
      <c r="AR32" s="166"/>
      <c r="AS32" s="94"/>
      <c r="AT32" s="1547"/>
    </row>
    <row r="33" ht="13.5" customHeight="1">
      <c r="A33" s="1678"/>
      <c r="B33" s="1569"/>
      <c r="C33" s="166"/>
      <c r="F33" s="1679"/>
      <c r="G33" s="1680" t="s">
        <v>2674</v>
      </c>
      <c r="H33" s="1654"/>
      <c r="I33" s="1680" t="s">
        <v>2674</v>
      </c>
      <c r="J33" s="1654"/>
      <c r="K33" s="1680" t="s">
        <v>2674</v>
      </c>
      <c r="L33" s="1654"/>
      <c r="M33" s="1680" t="s">
        <v>2674</v>
      </c>
      <c r="N33" s="1643"/>
      <c r="O33" s="1680" t="s">
        <v>2674</v>
      </c>
      <c r="P33" s="1654"/>
      <c r="Q33" s="1680" t="s">
        <v>2674</v>
      </c>
      <c r="R33" s="1643"/>
      <c r="S33" s="1680" t="s">
        <v>2674</v>
      </c>
      <c r="T33" s="1654"/>
      <c r="U33" s="1680" t="s">
        <v>2674</v>
      </c>
      <c r="V33" s="1643"/>
      <c r="W33" s="107"/>
      <c r="Y33" s="166"/>
      <c r="AA33" s="166"/>
      <c r="AC33" s="107"/>
      <c r="AE33" s="166"/>
      <c r="AG33" s="166"/>
      <c r="AI33" s="166"/>
      <c r="AK33" s="107"/>
      <c r="AM33" s="166"/>
      <c r="AO33" s="166"/>
      <c r="AQ33" s="1576"/>
      <c r="AR33" s="166"/>
      <c r="AS33" s="94"/>
      <c r="AT33" s="1547"/>
    </row>
    <row r="34" ht="13.5" customHeight="1">
      <c r="A34" s="1678"/>
      <c r="B34" s="1569"/>
      <c r="C34" s="1577"/>
      <c r="F34" s="1681" t="s">
        <v>2677</v>
      </c>
      <c r="G34" s="1586"/>
      <c r="H34" s="1682" t="s">
        <v>2674</v>
      </c>
      <c r="I34" s="1586"/>
      <c r="J34" s="1682" t="s">
        <v>2674</v>
      </c>
      <c r="K34" s="1586"/>
      <c r="L34" s="1682" t="s">
        <v>2674</v>
      </c>
      <c r="M34" s="1586"/>
      <c r="N34" s="1683" t="s">
        <v>2674</v>
      </c>
      <c r="O34" s="1586"/>
      <c r="P34" s="1682" t="s">
        <v>2674</v>
      </c>
      <c r="Q34" s="1586"/>
      <c r="R34" s="1683" t="s">
        <v>2674</v>
      </c>
      <c r="S34" s="1586"/>
      <c r="T34" s="1682" t="s">
        <v>2674</v>
      </c>
      <c r="U34" s="1586"/>
      <c r="V34" s="1683" t="s">
        <v>2674</v>
      </c>
      <c r="W34" s="1587"/>
      <c r="X34" s="165"/>
      <c r="Y34" s="1586"/>
      <c r="Z34" s="165"/>
      <c r="AA34" s="1586"/>
      <c r="AB34" s="165"/>
      <c r="AC34" s="1587"/>
      <c r="AD34" s="165"/>
      <c r="AE34" s="1586"/>
      <c r="AF34" s="165"/>
      <c r="AG34" s="1586"/>
      <c r="AH34" s="165"/>
      <c r="AI34" s="1586"/>
      <c r="AJ34" s="165"/>
      <c r="AK34" s="1587"/>
      <c r="AL34" s="165"/>
      <c r="AM34" s="1586"/>
      <c r="AN34" s="165"/>
      <c r="AO34" s="1586"/>
      <c r="AP34" s="165"/>
      <c r="AQ34" s="1588"/>
      <c r="AR34" s="166"/>
      <c r="AS34" s="94"/>
      <c r="AT34" s="1547"/>
    </row>
    <row r="35" ht="13.5" customHeight="1">
      <c r="A35" s="1684"/>
      <c r="B35" s="1599"/>
      <c r="C35" s="166"/>
      <c r="F35" s="1607"/>
      <c r="G35" s="1680" t="s">
        <v>2674</v>
      </c>
      <c r="H35" s="1654"/>
      <c r="I35" s="1680" t="s">
        <v>2674</v>
      </c>
      <c r="J35" s="1654"/>
      <c r="K35" s="1680" t="s">
        <v>2674</v>
      </c>
      <c r="L35" s="1654"/>
      <c r="M35" s="1680" t="s">
        <v>2674</v>
      </c>
      <c r="N35" s="1643"/>
      <c r="O35" s="1680" t="s">
        <v>2674</v>
      </c>
      <c r="P35" s="1654"/>
      <c r="Q35" s="1680" t="s">
        <v>2674</v>
      </c>
      <c r="R35" s="1643"/>
      <c r="S35" s="1680" t="s">
        <v>2674</v>
      </c>
      <c r="T35" s="1654"/>
      <c r="U35" s="1680" t="s">
        <v>2674</v>
      </c>
      <c r="V35" s="1643"/>
      <c r="W35" s="107"/>
      <c r="Y35" s="166"/>
      <c r="AA35" s="166"/>
      <c r="AC35" s="107"/>
      <c r="AE35" s="166"/>
      <c r="AG35" s="166"/>
      <c r="AI35" s="166"/>
      <c r="AK35" s="107"/>
      <c r="AM35" s="166"/>
      <c r="AO35" s="166"/>
      <c r="AQ35" s="1599"/>
      <c r="AR35" s="1600"/>
      <c r="AS35" s="161"/>
      <c r="AT35" s="1607"/>
    </row>
    <row r="36" ht="13.5" customHeight="1">
      <c r="A36" s="1609"/>
      <c r="B36" s="1553"/>
      <c r="C36" s="1554"/>
      <c r="D36" s="84"/>
      <c r="E36" s="84"/>
      <c r="F36" s="1675" t="s">
        <v>2673</v>
      </c>
      <c r="G36" s="1563"/>
      <c r="H36" s="1676" t="s">
        <v>2674</v>
      </c>
      <c r="I36" s="1563"/>
      <c r="J36" s="1676" t="s">
        <v>2674</v>
      </c>
      <c r="K36" s="1563"/>
      <c r="L36" s="1676" t="s">
        <v>2674</v>
      </c>
      <c r="M36" s="1563"/>
      <c r="N36" s="1677" t="s">
        <v>2674</v>
      </c>
      <c r="O36" s="1563"/>
      <c r="P36" s="1676" t="s">
        <v>2674</v>
      </c>
      <c r="Q36" s="1563"/>
      <c r="R36" s="1677" t="s">
        <v>2674</v>
      </c>
      <c r="S36" s="1563"/>
      <c r="T36" s="1676" t="s">
        <v>2674</v>
      </c>
      <c r="U36" s="1563"/>
      <c r="V36" s="1677" t="s">
        <v>2674</v>
      </c>
      <c r="W36" s="1564"/>
      <c r="X36" s="1055"/>
      <c r="Y36" s="1563"/>
      <c r="Z36" s="1055"/>
      <c r="AA36" s="1563"/>
      <c r="AB36" s="86"/>
      <c r="AC36" s="1564"/>
      <c r="AD36" s="1055"/>
      <c r="AE36" s="1563"/>
      <c r="AF36" s="1055"/>
      <c r="AG36" s="1563"/>
      <c r="AH36" s="1055"/>
      <c r="AI36" s="1563"/>
      <c r="AJ36" s="86"/>
      <c r="AK36" s="1564"/>
      <c r="AL36" s="1055"/>
      <c r="AM36" s="1563"/>
      <c r="AN36" s="1055"/>
      <c r="AO36" s="1563"/>
      <c r="AP36" s="86"/>
      <c r="AQ36" s="1565"/>
      <c r="AR36" s="1566"/>
      <c r="AS36" s="1055"/>
      <c r="AT36" s="1567"/>
    </row>
    <row r="37" ht="13.5" customHeight="1">
      <c r="A37" s="1678"/>
      <c r="B37" s="1569"/>
      <c r="C37" s="166"/>
      <c r="F37" s="1679"/>
      <c r="G37" s="1680" t="s">
        <v>2674</v>
      </c>
      <c r="H37" s="1654"/>
      <c r="I37" s="1680" t="s">
        <v>2674</v>
      </c>
      <c r="J37" s="1654"/>
      <c r="K37" s="1680" t="s">
        <v>2674</v>
      </c>
      <c r="L37" s="1654"/>
      <c r="M37" s="1680" t="s">
        <v>2674</v>
      </c>
      <c r="N37" s="1643"/>
      <c r="O37" s="1680" t="s">
        <v>2674</v>
      </c>
      <c r="P37" s="1654"/>
      <c r="Q37" s="1680" t="s">
        <v>2674</v>
      </c>
      <c r="R37" s="1643"/>
      <c r="S37" s="1680" t="s">
        <v>2674</v>
      </c>
      <c r="T37" s="1654"/>
      <c r="U37" s="1680" t="s">
        <v>2674</v>
      </c>
      <c r="V37" s="1643"/>
      <c r="W37" s="1192"/>
      <c r="X37" s="55"/>
      <c r="Y37" s="104"/>
      <c r="Z37" s="55"/>
      <c r="AA37" s="104"/>
      <c r="AB37" s="78"/>
      <c r="AC37" s="1192"/>
      <c r="AD37" s="55"/>
      <c r="AE37" s="104"/>
      <c r="AF37" s="55"/>
      <c r="AG37" s="104"/>
      <c r="AH37" s="55"/>
      <c r="AI37" s="104"/>
      <c r="AJ37" s="78"/>
      <c r="AK37" s="1192"/>
      <c r="AL37" s="55"/>
      <c r="AM37" s="104"/>
      <c r="AN37" s="55"/>
      <c r="AO37" s="104"/>
      <c r="AP37" s="78"/>
      <c r="AQ37" s="1576"/>
      <c r="AR37" s="166"/>
      <c r="AS37" s="94"/>
      <c r="AT37" s="1547"/>
    </row>
    <row r="38" ht="13.5" customHeight="1">
      <c r="A38" s="1678"/>
      <c r="B38" s="1569"/>
      <c r="C38" s="1577"/>
      <c r="F38" s="1681" t="s">
        <v>2676</v>
      </c>
      <c r="G38" s="1586"/>
      <c r="H38" s="1682" t="s">
        <v>2674</v>
      </c>
      <c r="I38" s="1586"/>
      <c r="J38" s="1682" t="s">
        <v>2674</v>
      </c>
      <c r="K38" s="1586"/>
      <c r="L38" s="1682" t="s">
        <v>2674</v>
      </c>
      <c r="M38" s="1586"/>
      <c r="N38" s="1683" t="s">
        <v>2674</v>
      </c>
      <c r="O38" s="1586"/>
      <c r="P38" s="1682" t="s">
        <v>2674</v>
      </c>
      <c r="Q38" s="1586"/>
      <c r="R38" s="1683" t="s">
        <v>2674</v>
      </c>
      <c r="S38" s="1586"/>
      <c r="T38" s="1682" t="s">
        <v>2674</v>
      </c>
      <c r="U38" s="1586"/>
      <c r="V38" s="1683" t="s">
        <v>2674</v>
      </c>
      <c r="W38" s="1587"/>
      <c r="X38" s="165"/>
      <c r="Y38" s="1586"/>
      <c r="Z38" s="165"/>
      <c r="AA38" s="1586"/>
      <c r="AB38" s="165"/>
      <c r="AC38" s="1587"/>
      <c r="AD38" s="165"/>
      <c r="AE38" s="1586"/>
      <c r="AF38" s="165"/>
      <c r="AG38" s="1586"/>
      <c r="AH38" s="165"/>
      <c r="AI38" s="1586"/>
      <c r="AJ38" s="165"/>
      <c r="AK38" s="1587"/>
      <c r="AL38" s="165"/>
      <c r="AM38" s="1586"/>
      <c r="AN38" s="165"/>
      <c r="AO38" s="1586"/>
      <c r="AP38" s="165"/>
      <c r="AQ38" s="1588"/>
      <c r="AR38" s="166"/>
      <c r="AS38" s="94"/>
      <c r="AT38" s="1547"/>
    </row>
    <row r="39" ht="13.5" customHeight="1">
      <c r="A39" s="1678"/>
      <c r="B39" s="1569"/>
      <c r="C39" s="166"/>
      <c r="F39" s="1679"/>
      <c r="G39" s="1680" t="s">
        <v>2674</v>
      </c>
      <c r="H39" s="1654"/>
      <c r="I39" s="1680" t="s">
        <v>2674</v>
      </c>
      <c r="J39" s="1654"/>
      <c r="K39" s="1680" t="s">
        <v>2674</v>
      </c>
      <c r="L39" s="1654"/>
      <c r="M39" s="1680" t="s">
        <v>2674</v>
      </c>
      <c r="N39" s="1643"/>
      <c r="O39" s="1680" t="s">
        <v>2674</v>
      </c>
      <c r="P39" s="1654"/>
      <c r="Q39" s="1680" t="s">
        <v>2674</v>
      </c>
      <c r="R39" s="1643"/>
      <c r="S39" s="1680" t="s">
        <v>2674</v>
      </c>
      <c r="T39" s="1654"/>
      <c r="U39" s="1680" t="s">
        <v>2674</v>
      </c>
      <c r="V39" s="1643"/>
      <c r="W39" s="107"/>
      <c r="Y39" s="166"/>
      <c r="AA39" s="166"/>
      <c r="AC39" s="107"/>
      <c r="AE39" s="166"/>
      <c r="AG39" s="166"/>
      <c r="AI39" s="166"/>
      <c r="AK39" s="107"/>
      <c r="AM39" s="166"/>
      <c r="AO39" s="166"/>
      <c r="AQ39" s="1576"/>
      <c r="AR39" s="166"/>
      <c r="AS39" s="94"/>
      <c r="AT39" s="1547"/>
    </row>
    <row r="40" ht="13.5" customHeight="1">
      <c r="A40" s="1678"/>
      <c r="B40" s="1569"/>
      <c r="C40" s="1577"/>
      <c r="F40" s="1681" t="s">
        <v>2677</v>
      </c>
      <c r="G40" s="1586"/>
      <c r="H40" s="1682" t="s">
        <v>2674</v>
      </c>
      <c r="I40" s="1586"/>
      <c r="J40" s="1682" t="s">
        <v>2674</v>
      </c>
      <c r="K40" s="1586"/>
      <c r="L40" s="1682" t="s">
        <v>2674</v>
      </c>
      <c r="M40" s="1586"/>
      <c r="N40" s="1683" t="s">
        <v>2674</v>
      </c>
      <c r="O40" s="1586"/>
      <c r="P40" s="1682" t="s">
        <v>2674</v>
      </c>
      <c r="Q40" s="1586"/>
      <c r="R40" s="1683" t="s">
        <v>2674</v>
      </c>
      <c r="S40" s="1586"/>
      <c r="T40" s="1682" t="s">
        <v>2674</v>
      </c>
      <c r="U40" s="1586"/>
      <c r="V40" s="1683" t="s">
        <v>2674</v>
      </c>
      <c r="W40" s="1587"/>
      <c r="X40" s="165"/>
      <c r="Y40" s="1586"/>
      <c r="Z40" s="165"/>
      <c r="AA40" s="1586"/>
      <c r="AB40" s="165"/>
      <c r="AC40" s="1587"/>
      <c r="AD40" s="165"/>
      <c r="AE40" s="1586"/>
      <c r="AF40" s="165"/>
      <c r="AG40" s="1586"/>
      <c r="AH40" s="165"/>
      <c r="AI40" s="1586"/>
      <c r="AJ40" s="165"/>
      <c r="AK40" s="1587"/>
      <c r="AL40" s="165"/>
      <c r="AM40" s="1586"/>
      <c r="AN40" s="165"/>
      <c r="AO40" s="1586"/>
      <c r="AP40" s="165"/>
      <c r="AQ40" s="1588"/>
      <c r="AR40" s="166"/>
      <c r="AS40" s="94"/>
      <c r="AT40" s="1547"/>
    </row>
    <row r="41" ht="13.5" customHeight="1">
      <c r="A41" s="1684"/>
      <c r="B41" s="1599"/>
      <c r="C41" s="166"/>
      <c r="F41" s="1607"/>
      <c r="G41" s="1680" t="s">
        <v>2674</v>
      </c>
      <c r="H41" s="1654"/>
      <c r="I41" s="1680" t="s">
        <v>2674</v>
      </c>
      <c r="J41" s="1654"/>
      <c r="K41" s="1680" t="s">
        <v>2674</v>
      </c>
      <c r="L41" s="1654"/>
      <c r="M41" s="1680" t="s">
        <v>2674</v>
      </c>
      <c r="N41" s="1643"/>
      <c r="O41" s="1680" t="s">
        <v>2674</v>
      </c>
      <c r="P41" s="1654"/>
      <c r="Q41" s="1680" t="s">
        <v>2674</v>
      </c>
      <c r="R41" s="1643"/>
      <c r="S41" s="1680" t="s">
        <v>2674</v>
      </c>
      <c r="T41" s="1654"/>
      <c r="U41" s="1680" t="s">
        <v>2674</v>
      </c>
      <c r="V41" s="1643"/>
      <c r="W41" s="107"/>
      <c r="Y41" s="166"/>
      <c r="AA41" s="166"/>
      <c r="AC41" s="107"/>
      <c r="AE41" s="166"/>
      <c r="AG41" s="166"/>
      <c r="AI41" s="166"/>
      <c r="AK41" s="107"/>
      <c r="AM41" s="166"/>
      <c r="AO41" s="166"/>
      <c r="AQ41" s="1599"/>
      <c r="AR41" s="1600"/>
      <c r="AS41" s="161"/>
      <c r="AT41" s="1607"/>
    </row>
    <row r="42" ht="13.5" customHeight="1">
      <c r="A42" s="1609"/>
      <c r="B42" s="1553"/>
      <c r="C42" s="1554"/>
      <c r="D42" s="84"/>
      <c r="E42" s="84"/>
      <c r="F42" s="1675" t="s">
        <v>2673</v>
      </c>
      <c r="G42" s="1563"/>
      <c r="H42" s="1676" t="s">
        <v>2674</v>
      </c>
      <c r="I42" s="1563"/>
      <c r="J42" s="1676" t="s">
        <v>2674</v>
      </c>
      <c r="K42" s="1563"/>
      <c r="L42" s="1676" t="s">
        <v>2674</v>
      </c>
      <c r="M42" s="1563"/>
      <c r="N42" s="1677" t="s">
        <v>2674</v>
      </c>
      <c r="O42" s="1563"/>
      <c r="P42" s="1676" t="s">
        <v>2674</v>
      </c>
      <c r="Q42" s="1563"/>
      <c r="R42" s="1677" t="s">
        <v>2674</v>
      </c>
      <c r="S42" s="1563"/>
      <c r="T42" s="1676" t="s">
        <v>2674</v>
      </c>
      <c r="U42" s="1563"/>
      <c r="V42" s="1677" t="s">
        <v>2674</v>
      </c>
      <c r="W42" s="1564"/>
      <c r="X42" s="1055"/>
      <c r="Y42" s="1563"/>
      <c r="Z42" s="1055"/>
      <c r="AA42" s="1563"/>
      <c r="AB42" s="86"/>
      <c r="AC42" s="1564"/>
      <c r="AD42" s="1055"/>
      <c r="AE42" s="1563"/>
      <c r="AF42" s="1055"/>
      <c r="AG42" s="1563"/>
      <c r="AH42" s="1055"/>
      <c r="AI42" s="1563"/>
      <c r="AJ42" s="86"/>
      <c r="AK42" s="1564"/>
      <c r="AL42" s="1055"/>
      <c r="AM42" s="1563"/>
      <c r="AN42" s="1055"/>
      <c r="AO42" s="1563"/>
      <c r="AP42" s="86"/>
      <c r="AQ42" s="1565"/>
      <c r="AR42" s="1566"/>
      <c r="AS42" s="1055"/>
      <c r="AT42" s="1567"/>
    </row>
    <row r="43" ht="13.5" customHeight="1">
      <c r="A43" s="1678"/>
      <c r="B43" s="1569"/>
      <c r="C43" s="166"/>
      <c r="F43" s="1679"/>
      <c r="G43" s="1680" t="s">
        <v>2674</v>
      </c>
      <c r="H43" s="1654"/>
      <c r="I43" s="1680" t="s">
        <v>2674</v>
      </c>
      <c r="J43" s="1654"/>
      <c r="K43" s="1680" t="s">
        <v>2674</v>
      </c>
      <c r="L43" s="1654"/>
      <c r="M43" s="1680" t="s">
        <v>2674</v>
      </c>
      <c r="N43" s="1643"/>
      <c r="O43" s="1680" t="s">
        <v>2674</v>
      </c>
      <c r="P43" s="1654"/>
      <c r="Q43" s="1680" t="s">
        <v>2674</v>
      </c>
      <c r="R43" s="1643"/>
      <c r="S43" s="1680" t="s">
        <v>2674</v>
      </c>
      <c r="T43" s="1654"/>
      <c r="U43" s="1680" t="s">
        <v>2674</v>
      </c>
      <c r="V43" s="1643"/>
      <c r="W43" s="1192"/>
      <c r="X43" s="55"/>
      <c r="Y43" s="104"/>
      <c r="Z43" s="55"/>
      <c r="AA43" s="104"/>
      <c r="AB43" s="78"/>
      <c r="AC43" s="1192"/>
      <c r="AD43" s="55"/>
      <c r="AE43" s="104"/>
      <c r="AF43" s="55"/>
      <c r="AG43" s="104"/>
      <c r="AH43" s="55"/>
      <c r="AI43" s="104"/>
      <c r="AJ43" s="78"/>
      <c r="AK43" s="1192"/>
      <c r="AL43" s="55"/>
      <c r="AM43" s="104"/>
      <c r="AN43" s="55"/>
      <c r="AO43" s="104"/>
      <c r="AP43" s="78"/>
      <c r="AQ43" s="1576"/>
      <c r="AR43" s="166"/>
      <c r="AS43" s="94"/>
      <c r="AT43" s="1547"/>
    </row>
    <row r="44" ht="13.5" customHeight="1">
      <c r="A44" s="1678"/>
      <c r="B44" s="1569"/>
      <c r="C44" s="1577"/>
      <c r="F44" s="1681" t="s">
        <v>2676</v>
      </c>
      <c r="G44" s="1586"/>
      <c r="H44" s="1682" t="s">
        <v>2674</v>
      </c>
      <c r="I44" s="1586"/>
      <c r="J44" s="1682" t="s">
        <v>2674</v>
      </c>
      <c r="K44" s="1586"/>
      <c r="L44" s="1682" t="s">
        <v>2674</v>
      </c>
      <c r="M44" s="1586"/>
      <c r="N44" s="1683" t="s">
        <v>2674</v>
      </c>
      <c r="O44" s="1586"/>
      <c r="P44" s="1682" t="s">
        <v>2674</v>
      </c>
      <c r="Q44" s="1586"/>
      <c r="R44" s="1683" t="s">
        <v>2674</v>
      </c>
      <c r="S44" s="1586"/>
      <c r="T44" s="1682" t="s">
        <v>2674</v>
      </c>
      <c r="U44" s="1586"/>
      <c r="V44" s="1683" t="s">
        <v>2674</v>
      </c>
      <c r="W44" s="1587"/>
      <c r="X44" s="165"/>
      <c r="Y44" s="1586"/>
      <c r="Z44" s="165"/>
      <c r="AA44" s="1586"/>
      <c r="AB44" s="165"/>
      <c r="AC44" s="1587"/>
      <c r="AD44" s="165"/>
      <c r="AE44" s="1586"/>
      <c r="AF44" s="165"/>
      <c r="AG44" s="1586"/>
      <c r="AH44" s="165"/>
      <c r="AI44" s="1586"/>
      <c r="AJ44" s="165"/>
      <c r="AK44" s="1587"/>
      <c r="AL44" s="165"/>
      <c r="AM44" s="1586"/>
      <c r="AN44" s="165"/>
      <c r="AO44" s="1586"/>
      <c r="AP44" s="165"/>
      <c r="AQ44" s="1588"/>
      <c r="AR44" s="166"/>
      <c r="AS44" s="94"/>
      <c r="AT44" s="1547"/>
    </row>
    <row r="45" ht="13.5" customHeight="1">
      <c r="A45" s="1678"/>
      <c r="B45" s="1569"/>
      <c r="C45" s="166"/>
      <c r="F45" s="1679"/>
      <c r="G45" s="1680" t="s">
        <v>2674</v>
      </c>
      <c r="H45" s="1654"/>
      <c r="I45" s="1680" t="s">
        <v>2674</v>
      </c>
      <c r="J45" s="1654"/>
      <c r="K45" s="1680" t="s">
        <v>2674</v>
      </c>
      <c r="L45" s="1654"/>
      <c r="M45" s="1680" t="s">
        <v>2674</v>
      </c>
      <c r="N45" s="1643"/>
      <c r="O45" s="1680" t="s">
        <v>2674</v>
      </c>
      <c r="P45" s="1654"/>
      <c r="Q45" s="1680" t="s">
        <v>2674</v>
      </c>
      <c r="R45" s="1643"/>
      <c r="S45" s="1680" t="s">
        <v>2674</v>
      </c>
      <c r="T45" s="1654"/>
      <c r="U45" s="1680" t="s">
        <v>2674</v>
      </c>
      <c r="V45" s="1643"/>
      <c r="W45" s="107"/>
      <c r="Y45" s="166"/>
      <c r="AA45" s="166"/>
      <c r="AC45" s="107"/>
      <c r="AE45" s="166"/>
      <c r="AG45" s="166"/>
      <c r="AI45" s="166"/>
      <c r="AK45" s="107"/>
      <c r="AM45" s="166"/>
      <c r="AO45" s="166"/>
      <c r="AQ45" s="1576"/>
      <c r="AR45" s="166"/>
      <c r="AS45" s="94"/>
      <c r="AT45" s="1547"/>
    </row>
    <row r="46" ht="13.5" customHeight="1">
      <c r="A46" s="1678"/>
      <c r="B46" s="1569"/>
      <c r="C46" s="1577"/>
      <c r="F46" s="1681" t="s">
        <v>2677</v>
      </c>
      <c r="G46" s="1586"/>
      <c r="H46" s="1682" t="s">
        <v>2674</v>
      </c>
      <c r="I46" s="1586"/>
      <c r="J46" s="1682" t="s">
        <v>2674</v>
      </c>
      <c r="K46" s="1586"/>
      <c r="L46" s="1682" t="s">
        <v>2674</v>
      </c>
      <c r="M46" s="1586"/>
      <c r="N46" s="1683" t="s">
        <v>2674</v>
      </c>
      <c r="O46" s="1586"/>
      <c r="P46" s="1682" t="s">
        <v>2674</v>
      </c>
      <c r="Q46" s="1586"/>
      <c r="R46" s="1683" t="s">
        <v>2674</v>
      </c>
      <c r="S46" s="1586"/>
      <c r="T46" s="1682" t="s">
        <v>2674</v>
      </c>
      <c r="U46" s="1586"/>
      <c r="V46" s="1683" t="s">
        <v>2674</v>
      </c>
      <c r="W46" s="1587"/>
      <c r="X46" s="165"/>
      <c r="Y46" s="1586"/>
      <c r="Z46" s="165"/>
      <c r="AA46" s="1586"/>
      <c r="AB46" s="165"/>
      <c r="AC46" s="1587"/>
      <c r="AD46" s="165"/>
      <c r="AE46" s="1586"/>
      <c r="AF46" s="165"/>
      <c r="AG46" s="1586"/>
      <c r="AH46" s="165"/>
      <c r="AI46" s="1586"/>
      <c r="AJ46" s="165"/>
      <c r="AK46" s="1587"/>
      <c r="AL46" s="165"/>
      <c r="AM46" s="1586"/>
      <c r="AN46" s="165"/>
      <c r="AO46" s="1586"/>
      <c r="AP46" s="165"/>
      <c r="AQ46" s="1588"/>
      <c r="AR46" s="166"/>
      <c r="AS46" s="94"/>
      <c r="AT46" s="1547"/>
    </row>
    <row r="47" ht="13.5" customHeight="1">
      <c r="A47" s="1684"/>
      <c r="B47" s="1599"/>
      <c r="C47" s="166"/>
      <c r="F47" s="1607"/>
      <c r="G47" s="1680" t="s">
        <v>2674</v>
      </c>
      <c r="H47" s="1654"/>
      <c r="I47" s="1680" t="s">
        <v>2674</v>
      </c>
      <c r="J47" s="1654"/>
      <c r="K47" s="1680" t="s">
        <v>2674</v>
      </c>
      <c r="L47" s="1654"/>
      <c r="M47" s="1680" t="s">
        <v>2674</v>
      </c>
      <c r="N47" s="1643"/>
      <c r="O47" s="1680" t="s">
        <v>2674</v>
      </c>
      <c r="P47" s="1654"/>
      <c r="Q47" s="1680" t="s">
        <v>2674</v>
      </c>
      <c r="R47" s="1643"/>
      <c r="S47" s="1680" t="s">
        <v>2674</v>
      </c>
      <c r="T47" s="1654"/>
      <c r="U47" s="1680" t="s">
        <v>2674</v>
      </c>
      <c r="V47" s="1643"/>
      <c r="W47" s="107"/>
      <c r="Y47" s="166"/>
      <c r="AA47" s="166"/>
      <c r="AC47" s="107"/>
      <c r="AE47" s="166"/>
      <c r="AG47" s="166"/>
      <c r="AI47" s="166"/>
      <c r="AK47" s="107"/>
      <c r="AM47" s="166"/>
      <c r="AO47" s="166"/>
      <c r="AQ47" s="1599"/>
      <c r="AR47" s="1600"/>
      <c r="AS47" s="161"/>
      <c r="AT47" s="1607"/>
    </row>
    <row r="48" ht="13.5" customHeight="1">
      <c r="A48" s="1609"/>
      <c r="B48" s="1611"/>
      <c r="C48" s="1554"/>
      <c r="D48" s="84"/>
      <c r="E48" s="84"/>
      <c r="F48" s="1675" t="s">
        <v>2673</v>
      </c>
      <c r="G48" s="1563"/>
      <c r="H48" s="1676" t="s">
        <v>2674</v>
      </c>
      <c r="I48" s="1563"/>
      <c r="J48" s="1676" t="s">
        <v>2674</v>
      </c>
      <c r="K48" s="1563"/>
      <c r="L48" s="1676" t="s">
        <v>2674</v>
      </c>
      <c r="M48" s="1563"/>
      <c r="N48" s="1677" t="s">
        <v>2674</v>
      </c>
      <c r="O48" s="1563"/>
      <c r="P48" s="1676" t="s">
        <v>2674</v>
      </c>
      <c r="Q48" s="1563"/>
      <c r="R48" s="1677" t="s">
        <v>2674</v>
      </c>
      <c r="S48" s="1563"/>
      <c r="T48" s="1676" t="s">
        <v>2674</v>
      </c>
      <c r="U48" s="1563"/>
      <c r="V48" s="1677" t="s">
        <v>2674</v>
      </c>
      <c r="W48" s="1564"/>
      <c r="X48" s="1055"/>
      <c r="Y48" s="1563"/>
      <c r="Z48" s="1055"/>
      <c r="AA48" s="1563"/>
      <c r="AB48" s="86"/>
      <c r="AC48" s="1564"/>
      <c r="AD48" s="1055"/>
      <c r="AE48" s="1563"/>
      <c r="AF48" s="1055"/>
      <c r="AG48" s="1563"/>
      <c r="AH48" s="1055"/>
      <c r="AI48" s="1563"/>
      <c r="AJ48" s="86"/>
      <c r="AK48" s="1564"/>
      <c r="AL48" s="1055"/>
      <c r="AM48" s="1563"/>
      <c r="AN48" s="1055"/>
      <c r="AO48" s="1563"/>
      <c r="AP48" s="86"/>
      <c r="AQ48" s="1565"/>
      <c r="AR48" s="1566"/>
      <c r="AS48" s="1055"/>
      <c r="AT48" s="1567"/>
    </row>
    <row r="49" ht="13.5" customHeight="1">
      <c r="A49" s="1678"/>
      <c r="B49" s="1569"/>
      <c r="C49" s="166"/>
      <c r="F49" s="1679"/>
      <c r="G49" s="1680" t="s">
        <v>2674</v>
      </c>
      <c r="H49" s="1654"/>
      <c r="I49" s="1680" t="s">
        <v>2674</v>
      </c>
      <c r="J49" s="1654"/>
      <c r="K49" s="1680" t="s">
        <v>2674</v>
      </c>
      <c r="L49" s="1654"/>
      <c r="M49" s="1680" t="s">
        <v>2674</v>
      </c>
      <c r="N49" s="1643"/>
      <c r="O49" s="1680" t="s">
        <v>2674</v>
      </c>
      <c r="P49" s="1654"/>
      <c r="Q49" s="1680" t="s">
        <v>2674</v>
      </c>
      <c r="R49" s="1643"/>
      <c r="S49" s="1680" t="s">
        <v>2674</v>
      </c>
      <c r="T49" s="1654"/>
      <c r="U49" s="1680" t="s">
        <v>2674</v>
      </c>
      <c r="V49" s="1643"/>
      <c r="W49" s="1192"/>
      <c r="X49" s="55"/>
      <c r="Y49" s="104"/>
      <c r="Z49" s="55"/>
      <c r="AA49" s="104"/>
      <c r="AB49" s="78"/>
      <c r="AC49" s="1192"/>
      <c r="AD49" s="55"/>
      <c r="AE49" s="104"/>
      <c r="AF49" s="55"/>
      <c r="AG49" s="104"/>
      <c r="AH49" s="55"/>
      <c r="AI49" s="104"/>
      <c r="AJ49" s="78"/>
      <c r="AK49" s="1192"/>
      <c r="AL49" s="55"/>
      <c r="AM49" s="104"/>
      <c r="AN49" s="55"/>
      <c r="AO49" s="104"/>
      <c r="AP49" s="78"/>
      <c r="AQ49" s="1576"/>
      <c r="AR49" s="166"/>
      <c r="AS49" s="94"/>
      <c r="AT49" s="1547"/>
    </row>
    <row r="50" ht="13.5" customHeight="1">
      <c r="A50" s="1678"/>
      <c r="B50" s="1569"/>
      <c r="C50" s="1577"/>
      <c r="F50" s="1681" t="s">
        <v>2676</v>
      </c>
      <c r="G50" s="1586"/>
      <c r="H50" s="1682" t="s">
        <v>2674</v>
      </c>
      <c r="I50" s="1586"/>
      <c r="J50" s="1682" t="s">
        <v>2674</v>
      </c>
      <c r="K50" s="1586"/>
      <c r="L50" s="1682" t="s">
        <v>2674</v>
      </c>
      <c r="M50" s="1586"/>
      <c r="N50" s="1683" t="s">
        <v>2674</v>
      </c>
      <c r="O50" s="1586"/>
      <c r="P50" s="1682" t="s">
        <v>2674</v>
      </c>
      <c r="Q50" s="1586"/>
      <c r="R50" s="1683" t="s">
        <v>2674</v>
      </c>
      <c r="S50" s="1586"/>
      <c r="T50" s="1682" t="s">
        <v>2674</v>
      </c>
      <c r="U50" s="1586"/>
      <c r="V50" s="1683" t="s">
        <v>2674</v>
      </c>
      <c r="W50" s="1587"/>
      <c r="X50" s="165"/>
      <c r="Y50" s="1586"/>
      <c r="Z50" s="165"/>
      <c r="AA50" s="1586"/>
      <c r="AB50" s="165"/>
      <c r="AC50" s="1587"/>
      <c r="AD50" s="165"/>
      <c r="AE50" s="1586"/>
      <c r="AF50" s="165"/>
      <c r="AG50" s="1586"/>
      <c r="AH50" s="165"/>
      <c r="AI50" s="1586"/>
      <c r="AJ50" s="165"/>
      <c r="AK50" s="1587"/>
      <c r="AL50" s="165"/>
      <c r="AM50" s="1586"/>
      <c r="AN50" s="165"/>
      <c r="AO50" s="1586"/>
      <c r="AP50" s="165"/>
      <c r="AQ50" s="1588"/>
      <c r="AR50" s="166"/>
      <c r="AS50" s="94"/>
      <c r="AT50" s="1547"/>
    </row>
    <row r="51" ht="13.5" customHeight="1">
      <c r="A51" s="1678"/>
      <c r="B51" s="1569"/>
      <c r="C51" s="166"/>
      <c r="F51" s="1679"/>
      <c r="G51" s="1680" t="s">
        <v>2674</v>
      </c>
      <c r="H51" s="1654"/>
      <c r="I51" s="1680" t="s">
        <v>2674</v>
      </c>
      <c r="J51" s="1654"/>
      <c r="K51" s="1680" t="s">
        <v>2674</v>
      </c>
      <c r="L51" s="1654"/>
      <c r="M51" s="1680" t="s">
        <v>2674</v>
      </c>
      <c r="N51" s="1643"/>
      <c r="O51" s="1680" t="s">
        <v>2674</v>
      </c>
      <c r="P51" s="1654"/>
      <c r="Q51" s="1680" t="s">
        <v>2674</v>
      </c>
      <c r="R51" s="1643"/>
      <c r="S51" s="1680" t="s">
        <v>2674</v>
      </c>
      <c r="T51" s="1654"/>
      <c r="U51" s="1680" t="s">
        <v>2674</v>
      </c>
      <c r="V51" s="1643"/>
      <c r="W51" s="107"/>
      <c r="Y51" s="166"/>
      <c r="AA51" s="166"/>
      <c r="AC51" s="107"/>
      <c r="AE51" s="166"/>
      <c r="AG51" s="166"/>
      <c r="AI51" s="166"/>
      <c r="AK51" s="107"/>
      <c r="AM51" s="166"/>
      <c r="AO51" s="166"/>
      <c r="AQ51" s="1576"/>
      <c r="AR51" s="166"/>
      <c r="AS51" s="94"/>
      <c r="AT51" s="1547"/>
    </row>
    <row r="52" ht="13.5" customHeight="1">
      <c r="A52" s="1678"/>
      <c r="B52" s="1569"/>
      <c r="C52" s="1577"/>
      <c r="F52" s="1681" t="s">
        <v>2677</v>
      </c>
      <c r="G52" s="1586"/>
      <c r="H52" s="1682" t="s">
        <v>2674</v>
      </c>
      <c r="I52" s="1586"/>
      <c r="J52" s="1682" t="s">
        <v>2674</v>
      </c>
      <c r="K52" s="852"/>
      <c r="L52" s="1682" t="s">
        <v>2674</v>
      </c>
      <c r="M52" s="1586"/>
      <c r="N52" s="1683" t="s">
        <v>2674</v>
      </c>
      <c r="O52" s="1586"/>
      <c r="P52" s="1682" t="s">
        <v>2674</v>
      </c>
      <c r="Q52" s="1586"/>
      <c r="R52" s="1683" t="s">
        <v>2674</v>
      </c>
      <c r="S52" s="1586"/>
      <c r="T52" s="1682" t="s">
        <v>2674</v>
      </c>
      <c r="U52" s="1586"/>
      <c r="V52" s="1683" t="s">
        <v>2674</v>
      </c>
      <c r="W52" s="1587"/>
      <c r="X52" s="165"/>
      <c r="Y52" s="1586"/>
      <c r="Z52" s="165"/>
      <c r="AA52" s="1586"/>
      <c r="AB52" s="165"/>
      <c r="AC52" s="1587"/>
      <c r="AD52" s="165"/>
      <c r="AE52" s="1586"/>
      <c r="AF52" s="165"/>
      <c r="AG52" s="1586"/>
      <c r="AH52" s="165"/>
      <c r="AI52" s="1586"/>
      <c r="AJ52" s="165"/>
      <c r="AK52" s="1587"/>
      <c r="AL52" s="165"/>
      <c r="AM52" s="1586"/>
      <c r="AN52" s="165"/>
      <c r="AO52" s="1586"/>
      <c r="AP52" s="165"/>
      <c r="AQ52" s="1588"/>
      <c r="AR52" s="166"/>
      <c r="AS52" s="94"/>
      <c r="AT52" s="1547"/>
    </row>
    <row r="53" ht="13.5" customHeight="1">
      <c r="A53" s="1684"/>
      <c r="B53" s="1599"/>
      <c r="C53" s="166"/>
      <c r="F53" s="1607"/>
      <c r="G53" s="1685" t="s">
        <v>2674</v>
      </c>
      <c r="H53" s="1635"/>
      <c r="I53" s="1680" t="s">
        <v>2674</v>
      </c>
      <c r="J53" s="1654"/>
      <c r="K53" s="1680" t="s">
        <v>2674</v>
      </c>
      <c r="L53" s="1654"/>
      <c r="M53" s="1680" t="s">
        <v>2674</v>
      </c>
      <c r="N53" s="1643"/>
      <c r="O53" s="1680" t="s">
        <v>2674</v>
      </c>
      <c r="P53" s="1654"/>
      <c r="Q53" s="1680" t="s">
        <v>2674</v>
      </c>
      <c r="R53" s="1643"/>
      <c r="S53" s="1680" t="s">
        <v>2674</v>
      </c>
      <c r="T53" s="1654"/>
      <c r="U53" s="1680" t="s">
        <v>2674</v>
      </c>
      <c r="V53" s="1643"/>
      <c r="W53" s="107"/>
      <c r="Y53" s="166"/>
      <c r="AA53" s="166"/>
      <c r="AC53" s="107"/>
      <c r="AE53" s="166"/>
      <c r="AG53" s="166"/>
      <c r="AI53" s="166"/>
      <c r="AK53" s="107"/>
      <c r="AM53" s="166"/>
      <c r="AO53" s="166"/>
      <c r="AQ53" s="1599"/>
      <c r="AR53" s="1600"/>
      <c r="AS53" s="161"/>
      <c r="AT53" s="1607"/>
    </row>
    <row r="54" ht="13.5" customHeight="1">
      <c r="A54" s="1686"/>
      <c r="B54" s="84"/>
      <c r="C54" s="84"/>
      <c r="D54" s="1687"/>
      <c r="E54" s="1562" t="s">
        <v>2679</v>
      </c>
      <c r="F54" s="86"/>
      <c r="G54" s="1564">
        <f>G6+G12+G18+G24+G30+G36+G42+G48</f>
        <v>0</v>
      </c>
      <c r="H54" s="1676" t="s">
        <v>2674</v>
      </c>
      <c r="I54" s="1563">
        <f>I6+I12+I18+I24+I30+I36+I42+I48</f>
        <v>0</v>
      </c>
      <c r="J54" s="1676" t="s">
        <v>2674</v>
      </c>
      <c r="K54" s="1563">
        <f>K6+K12+K18+K24+K30+K36+K42+K48</f>
        <v>0</v>
      </c>
      <c r="L54" s="1676" t="s">
        <v>2674</v>
      </c>
      <c r="M54" s="1563">
        <f>M6+M12+M18+M24+M30+M36+M42+M48</f>
        <v>0</v>
      </c>
      <c r="N54" s="1677" t="s">
        <v>2674</v>
      </c>
      <c r="O54" s="1564">
        <f>O6+O12+O18+O24+O30+O36+O42+O48</f>
        <v>0</v>
      </c>
      <c r="P54" s="1676" t="s">
        <v>2674</v>
      </c>
      <c r="Q54" s="1563">
        <f>Q6+Q12+Q18+Q24+Q30+Q36+Q42+Q48</f>
        <v>0</v>
      </c>
      <c r="R54" s="1677" t="s">
        <v>2674</v>
      </c>
      <c r="S54" s="1562">
        <f>S6+S12+S18+S24+S30+S36+S42+S48</f>
        <v>0</v>
      </c>
      <c r="T54" s="1676" t="s">
        <v>2674</v>
      </c>
      <c r="U54" s="1563">
        <f>U6+U12+U18+U24+U30+U36+U42+U48</f>
        <v>0</v>
      </c>
      <c r="V54" s="1688" t="s">
        <v>2674</v>
      </c>
      <c r="W54" s="1564">
        <f>W6+W12+W18+W24+W30+W36+W42+W48</f>
        <v>0</v>
      </c>
      <c r="X54" s="84"/>
      <c r="Y54" s="1563">
        <f>Y6+Y12+Y18+Y24+Y30+Y36+Y42+Y48</f>
        <v>0</v>
      </c>
      <c r="Z54" s="84"/>
      <c r="AA54" s="1563">
        <f>AA6+AA12+AA18+AA24+AA30+AA36+AA42+AA48</f>
        <v>0</v>
      </c>
      <c r="AB54" s="86"/>
      <c r="AC54" s="1562">
        <f>AC6+AC12+AC18+AC24+AC30+AC36+AC42+AC48</f>
        <v>0</v>
      </c>
      <c r="AD54" s="84"/>
      <c r="AE54" s="1563">
        <f>AE6+AE12+AE18+AE24+AE30+AE36+AE42+AE48</f>
        <v>0</v>
      </c>
      <c r="AF54" s="84"/>
      <c r="AG54" s="1563">
        <f>AG6+AG12+AG18+AG24+AG30+AG36+AG42+AG48</f>
        <v>0</v>
      </c>
      <c r="AH54" s="84"/>
      <c r="AI54" s="1563">
        <f>AI6+AI12+AI18+AI24+AI30+AI36+AI42+AI48</f>
        <v>0</v>
      </c>
      <c r="AJ54" s="84"/>
      <c r="AK54" s="1564">
        <f>AK6+AK12+AK18+AK24+AK30+AK36+AK42+AK48</f>
        <v>0</v>
      </c>
      <c r="AL54" s="84"/>
      <c r="AM54" s="1563">
        <f>AM6+AM12+AM18+AM24+AM30+AM36+AM42+AM48</f>
        <v>0</v>
      </c>
      <c r="AN54" s="84"/>
      <c r="AO54" s="1563">
        <f>AO6+AO12+AO18+AO24+AO30+AO36+AO42+AO48</f>
        <v>0</v>
      </c>
      <c r="AP54" s="86"/>
      <c r="AQ54" s="1562"/>
      <c r="AR54" s="1639" t="s">
        <v>2681</v>
      </c>
      <c r="AS54" s="84"/>
      <c r="AT54" s="86"/>
    </row>
    <row r="55" ht="13.5" customHeight="1">
      <c r="A55" s="107"/>
      <c r="D55" s="108"/>
      <c r="E55" s="113"/>
      <c r="F55" s="115"/>
      <c r="G55" s="1680" t="s">
        <v>2674</v>
      </c>
      <c r="H55" s="1641">
        <f>H7+H13+H19+H25+H31+H37+H43+H49</f>
        <v>0</v>
      </c>
      <c r="I55" s="1680" t="s">
        <v>2674</v>
      </c>
      <c r="J55" s="1641">
        <f>J7+J13+J19+J25+J31+J37+J43+J49</f>
        <v>0</v>
      </c>
      <c r="K55" s="1689" t="s">
        <v>2674</v>
      </c>
      <c r="L55" s="1641">
        <f>L7+L13+L19+L25+L31+L37+L43+L49</f>
        <v>0</v>
      </c>
      <c r="M55" s="1689" t="s">
        <v>2674</v>
      </c>
      <c r="N55" s="1643">
        <f>N7+N13+N19+N25+N31+N37+N43+N49</f>
        <v>0</v>
      </c>
      <c r="O55" s="1690" t="s">
        <v>2674</v>
      </c>
      <c r="P55" s="1641">
        <f>P7+P13+P19+P25+P31+P37+P43+P49</f>
        <v>0</v>
      </c>
      <c r="Q55" s="1689" t="s">
        <v>2674</v>
      </c>
      <c r="R55" s="1643">
        <f>R7+R13+R19+R25+R31+R37+R43+R49</f>
        <v>0</v>
      </c>
      <c r="S55" s="1691" t="s">
        <v>2674</v>
      </c>
      <c r="T55" s="1641">
        <f>T7+T13+T19+T25+T31+T37+T43+T49</f>
        <v>0</v>
      </c>
      <c r="U55" s="1689" t="s">
        <v>2674</v>
      </c>
      <c r="V55" s="1641">
        <f>V7+V13+V19+V25+V31+V37+V43+V49</f>
        <v>0</v>
      </c>
      <c r="W55" s="107"/>
      <c r="Y55" s="166"/>
      <c r="AA55" s="166"/>
      <c r="AB55" s="108"/>
      <c r="AE55" s="166"/>
      <c r="AG55" s="166"/>
      <c r="AI55" s="166"/>
      <c r="AK55" s="107"/>
      <c r="AM55" s="166"/>
      <c r="AO55" s="166"/>
      <c r="AP55" s="108"/>
      <c r="AQ55" s="77"/>
      <c r="AR55" s="1644" t="s">
        <v>2682</v>
      </c>
      <c r="AT55" s="108"/>
    </row>
    <row r="56" ht="13.5" customHeight="1">
      <c r="A56" s="1548"/>
      <c r="D56" s="1692"/>
      <c r="E56" s="1638" t="s">
        <v>2683</v>
      </c>
      <c r="F56" s="94"/>
      <c r="G56" s="1587"/>
      <c r="H56" s="1682" t="s">
        <v>2674</v>
      </c>
      <c r="I56" s="1586"/>
      <c r="J56" s="1682" t="s">
        <v>2674</v>
      </c>
      <c r="K56" s="1586"/>
      <c r="L56" s="1682" t="s">
        <v>2674</v>
      </c>
      <c r="M56" s="1586"/>
      <c r="N56" s="1683" t="s">
        <v>2674</v>
      </c>
      <c r="O56" s="1586"/>
      <c r="P56" s="1682" t="s">
        <v>2674</v>
      </c>
      <c r="Q56" s="1586"/>
      <c r="R56" s="1683" t="s">
        <v>2674</v>
      </c>
      <c r="S56" s="1586"/>
      <c r="T56" s="1682" t="s">
        <v>2674</v>
      </c>
      <c r="U56" s="1586"/>
      <c r="V56" s="1683" t="s">
        <v>2674</v>
      </c>
      <c r="W56" s="1587"/>
      <c r="X56" s="165"/>
      <c r="Y56" s="1586"/>
      <c r="Z56" s="210"/>
      <c r="AA56" s="1586"/>
      <c r="AB56" s="517"/>
      <c r="AC56" s="1587"/>
      <c r="AD56" s="210"/>
      <c r="AE56" s="1586"/>
      <c r="AF56" s="210"/>
      <c r="AG56" s="1586"/>
      <c r="AH56" s="210"/>
      <c r="AI56" s="1586"/>
      <c r="AJ56" s="517"/>
      <c r="AK56" s="1587"/>
      <c r="AL56" s="210"/>
      <c r="AM56" s="1586"/>
      <c r="AN56" s="210"/>
      <c r="AO56" s="1586"/>
      <c r="AP56" s="517"/>
      <c r="AQ56" s="1585"/>
      <c r="AR56" s="107"/>
      <c r="AT56" s="108"/>
    </row>
    <row r="57" ht="13.5" customHeight="1">
      <c r="A57" s="107"/>
      <c r="D57" s="108"/>
      <c r="E57" s="77"/>
      <c r="F57" s="55"/>
      <c r="G57" s="1693" t="s">
        <v>2674</v>
      </c>
      <c r="H57" s="1654"/>
      <c r="I57" s="1680" t="s">
        <v>2674</v>
      </c>
      <c r="J57" s="1654"/>
      <c r="K57" s="1680" t="s">
        <v>2674</v>
      </c>
      <c r="L57" s="1654"/>
      <c r="M57" s="1680" t="s">
        <v>2674</v>
      </c>
      <c r="N57" s="1643"/>
      <c r="O57" s="1680" t="s">
        <v>2674</v>
      </c>
      <c r="P57" s="1654"/>
      <c r="Q57" s="1680" t="s">
        <v>2674</v>
      </c>
      <c r="R57" s="1643"/>
      <c r="S57" s="1680" t="s">
        <v>2674</v>
      </c>
      <c r="T57" s="1654"/>
      <c r="U57" s="1680" t="s">
        <v>2674</v>
      </c>
      <c r="V57" s="1643"/>
      <c r="W57" s="1192"/>
      <c r="X57" s="77"/>
      <c r="Y57" s="104"/>
      <c r="Z57" s="55"/>
      <c r="AA57" s="104"/>
      <c r="AB57" s="78"/>
      <c r="AC57" s="1192"/>
      <c r="AD57" s="55"/>
      <c r="AE57" s="104"/>
      <c r="AF57" s="55"/>
      <c r="AG57" s="104"/>
      <c r="AH57" s="55"/>
      <c r="AI57" s="104"/>
      <c r="AJ57" s="78"/>
      <c r="AK57" s="1192"/>
      <c r="AL57" s="55"/>
      <c r="AM57" s="104"/>
      <c r="AN57" s="55"/>
      <c r="AO57" s="104"/>
      <c r="AP57" s="78"/>
      <c r="AQ57" s="77"/>
      <c r="AR57" s="107"/>
      <c r="AT57" s="108"/>
    </row>
    <row r="58" ht="13.5" customHeight="1">
      <c r="A58" s="1548"/>
      <c r="D58" s="1692"/>
      <c r="E58" s="1585" t="s">
        <v>2684</v>
      </c>
      <c r="F58" s="210"/>
      <c r="G58" s="1587">
        <f>G54-G56</f>
        <v>0</v>
      </c>
      <c r="H58" s="1682" t="s">
        <v>2674</v>
      </c>
      <c r="I58" s="1586">
        <f>I54-I56</f>
        <v>0</v>
      </c>
      <c r="J58" s="1682" t="s">
        <v>2674</v>
      </c>
      <c r="K58" s="1586">
        <f>K54-K56</f>
        <v>0</v>
      </c>
      <c r="L58" s="1682" t="s">
        <v>2674</v>
      </c>
      <c r="M58" s="1586">
        <f>M54-M56</f>
        <v>0</v>
      </c>
      <c r="N58" s="1683" t="s">
        <v>2674</v>
      </c>
      <c r="O58" s="1587">
        <f>O54-O56</f>
        <v>0</v>
      </c>
      <c r="P58" s="1682" t="s">
        <v>2674</v>
      </c>
      <c r="Q58" s="1586">
        <f>Q54-Q56</f>
        <v>0</v>
      </c>
      <c r="R58" s="1683" t="s">
        <v>2674</v>
      </c>
      <c r="S58" s="1585">
        <f>S54-S56</f>
        <v>0</v>
      </c>
      <c r="T58" s="1682" t="s">
        <v>2674</v>
      </c>
      <c r="U58" s="1586">
        <f>U54-U56</f>
        <v>0</v>
      </c>
      <c r="V58" s="1683" t="s">
        <v>2674</v>
      </c>
      <c r="W58" s="1587">
        <f>W54-W56</f>
        <v>0</v>
      </c>
      <c r="X58" s="165"/>
      <c r="Y58" s="1586">
        <f>Y54-Y56</f>
        <v>0</v>
      </c>
      <c r="Z58" s="210"/>
      <c r="AA58" s="1585">
        <f>AA54-AA56</f>
        <v>0</v>
      </c>
      <c r="AB58" s="210"/>
      <c r="AC58" s="1587">
        <f>AC54-AC56</f>
        <v>0</v>
      </c>
      <c r="AD58" s="165"/>
      <c r="AE58" s="1586">
        <f>AE54-AE56</f>
        <v>0</v>
      </c>
      <c r="AF58" s="210"/>
      <c r="AG58" s="1585">
        <f>AG54-AG56</f>
        <v>0</v>
      </c>
      <c r="AH58" s="165"/>
      <c r="AI58" s="1586">
        <f>AI54-AI56</f>
        <v>0</v>
      </c>
      <c r="AJ58" s="517"/>
      <c r="AK58" s="1587">
        <f>AK54-AK56</f>
        <v>0</v>
      </c>
      <c r="AL58" s="165"/>
      <c r="AM58" s="1586">
        <f>AM54-AM56</f>
        <v>0</v>
      </c>
      <c r="AN58" s="210"/>
      <c r="AO58" s="1586">
        <f>AO54-AO56</f>
        <v>0</v>
      </c>
      <c r="AP58" s="517"/>
      <c r="AQ58" s="1585"/>
      <c r="AR58" s="107"/>
      <c r="AT58" s="108"/>
    </row>
    <row r="59" ht="13.5" customHeight="1">
      <c r="A59" s="79"/>
      <c r="B59" s="113"/>
      <c r="C59" s="113"/>
      <c r="D59" s="115"/>
      <c r="E59" s="113"/>
      <c r="F59" s="161"/>
      <c r="G59" s="1694" t="s">
        <v>2674</v>
      </c>
      <c r="H59" s="1658">
        <f>H55-H57</f>
        <v>0</v>
      </c>
      <c r="I59" s="1695" t="s">
        <v>2674</v>
      </c>
      <c r="J59" s="1658">
        <f>J55-J57</f>
        <v>0</v>
      </c>
      <c r="K59" s="1695" t="s">
        <v>2674</v>
      </c>
      <c r="L59" s="1658">
        <f>L55-L57</f>
        <v>0</v>
      </c>
      <c r="M59" s="1695" t="s">
        <v>2674</v>
      </c>
      <c r="N59" s="1660">
        <f>N55-N57</f>
        <v>0</v>
      </c>
      <c r="O59" s="1695" t="s">
        <v>2674</v>
      </c>
      <c r="P59" s="1658">
        <f>P55-P57</f>
        <v>0</v>
      </c>
      <c r="Q59" s="1695" t="s">
        <v>2674</v>
      </c>
      <c r="R59" s="1660">
        <f>R55-R57</f>
        <v>0</v>
      </c>
      <c r="S59" s="1695" t="s">
        <v>2674</v>
      </c>
      <c r="T59" s="1658">
        <f>T55-T57</f>
        <v>0</v>
      </c>
      <c r="U59" s="1695" t="s">
        <v>2674</v>
      </c>
      <c r="V59" s="1660">
        <f>V55-V57</f>
        <v>0</v>
      </c>
      <c r="W59" s="79"/>
      <c r="X59" s="113"/>
      <c r="Y59" s="1600"/>
      <c r="Z59" s="161"/>
      <c r="AA59" s="113"/>
      <c r="AB59" s="161"/>
      <c r="AC59" s="79"/>
      <c r="AD59" s="113"/>
      <c r="AE59" s="1600"/>
      <c r="AF59" s="161"/>
      <c r="AG59" s="113"/>
      <c r="AH59" s="113"/>
      <c r="AI59" s="1600"/>
      <c r="AJ59" s="115"/>
      <c r="AK59" s="79"/>
      <c r="AL59" s="113"/>
      <c r="AM59" s="1600"/>
      <c r="AN59" s="161"/>
      <c r="AO59" s="1600"/>
      <c r="AP59" s="115"/>
      <c r="AQ59" s="113"/>
      <c r="AR59" s="79"/>
      <c r="AS59" s="113"/>
      <c r="AT59" s="115"/>
    </row>
  </sheetData>
  <mergeCells count="419">
    <mergeCell ref="W26:X27"/>
    <mergeCell ref="Y26:Z27"/>
    <mergeCell ref="AA26:AB27"/>
    <mergeCell ref="AC26:AD27"/>
    <mergeCell ref="AE26:AF27"/>
    <mergeCell ref="AG26:AH27"/>
    <mergeCell ref="AI26:AJ27"/>
    <mergeCell ref="W28:X29"/>
    <mergeCell ref="Y28:Z29"/>
    <mergeCell ref="AA28:AB29"/>
    <mergeCell ref="AC28:AD29"/>
    <mergeCell ref="AE28:AF29"/>
    <mergeCell ref="AG28:AH29"/>
    <mergeCell ref="AI28:AJ29"/>
    <mergeCell ref="AK18:AL19"/>
    <mergeCell ref="AM18:AN19"/>
    <mergeCell ref="AO18:AP19"/>
    <mergeCell ref="AQ18:AQ19"/>
    <mergeCell ref="W18:X19"/>
    <mergeCell ref="Y18:Z19"/>
    <mergeCell ref="AA18:AB19"/>
    <mergeCell ref="AC18:AD19"/>
    <mergeCell ref="AE18:AF19"/>
    <mergeCell ref="AG18:AH19"/>
    <mergeCell ref="AI18:AJ19"/>
    <mergeCell ref="W20:X21"/>
    <mergeCell ref="Y20:Z21"/>
    <mergeCell ref="AA20:AB21"/>
    <mergeCell ref="AC20:AD21"/>
    <mergeCell ref="AE20:AF21"/>
    <mergeCell ref="AG20:AH21"/>
    <mergeCell ref="AI20:AJ21"/>
    <mergeCell ref="W22:X23"/>
    <mergeCell ref="Y22:Z23"/>
    <mergeCell ref="AA22:AB23"/>
    <mergeCell ref="AC22:AD23"/>
    <mergeCell ref="AE22:AF23"/>
    <mergeCell ref="AG22:AH23"/>
    <mergeCell ref="AI22:AJ23"/>
    <mergeCell ref="AK24:AL25"/>
    <mergeCell ref="AM24:AN25"/>
    <mergeCell ref="AO24:AP25"/>
    <mergeCell ref="AQ24:AQ25"/>
    <mergeCell ref="W24:X25"/>
    <mergeCell ref="Y24:Z25"/>
    <mergeCell ref="AA24:AB25"/>
    <mergeCell ref="AC24:AD25"/>
    <mergeCell ref="AE24:AF25"/>
    <mergeCell ref="AG24:AH25"/>
    <mergeCell ref="AI24:AJ25"/>
    <mergeCell ref="AK32:AL33"/>
    <mergeCell ref="AM32:AN33"/>
    <mergeCell ref="AO32:AP33"/>
    <mergeCell ref="AQ32:AQ33"/>
    <mergeCell ref="W32:X33"/>
    <mergeCell ref="Y32:Z33"/>
    <mergeCell ref="AA32:AB33"/>
    <mergeCell ref="AC32:AD33"/>
    <mergeCell ref="AE32:AF33"/>
    <mergeCell ref="AG32:AH33"/>
    <mergeCell ref="AI32:AJ33"/>
    <mergeCell ref="AK44:AL45"/>
    <mergeCell ref="AK46:AL47"/>
    <mergeCell ref="AK20:AL21"/>
    <mergeCell ref="AK22:AL23"/>
    <mergeCell ref="AK26:AL27"/>
    <mergeCell ref="AK28:AL29"/>
    <mergeCell ref="AK34:AL35"/>
    <mergeCell ref="AK38:AL39"/>
    <mergeCell ref="AK40:AL41"/>
    <mergeCell ref="AM58:AN59"/>
    <mergeCell ref="AO58:AP59"/>
    <mergeCell ref="AO46:AP47"/>
    <mergeCell ref="AQ46:AQ47"/>
    <mergeCell ref="AK56:AL57"/>
    <mergeCell ref="AM56:AN57"/>
    <mergeCell ref="AO56:AP57"/>
    <mergeCell ref="AQ56:AQ57"/>
    <mergeCell ref="AK58:AL59"/>
    <mergeCell ref="AQ58:AQ59"/>
    <mergeCell ref="AK12:AL13"/>
    <mergeCell ref="AM12:AN13"/>
    <mergeCell ref="AO12:AP13"/>
    <mergeCell ref="AQ12:AQ13"/>
    <mergeCell ref="AR12:AS17"/>
    <mergeCell ref="AT12:AT17"/>
    <mergeCell ref="AQ14:AQ15"/>
    <mergeCell ref="AQ16:AQ17"/>
    <mergeCell ref="AM16:AN17"/>
    <mergeCell ref="AO16:AP17"/>
    <mergeCell ref="AT18:AT23"/>
    <mergeCell ref="AM20:AN21"/>
    <mergeCell ref="AO20:AP21"/>
    <mergeCell ref="AQ20:AQ21"/>
    <mergeCell ref="AQ22:AQ23"/>
    <mergeCell ref="AM22:AN23"/>
    <mergeCell ref="AO22:AP23"/>
    <mergeCell ref="AM26:AN27"/>
    <mergeCell ref="AO26:AP27"/>
    <mergeCell ref="AQ26:AQ27"/>
    <mergeCell ref="AO28:AP29"/>
    <mergeCell ref="AQ28:AQ29"/>
    <mergeCell ref="AM28:AN29"/>
    <mergeCell ref="AM34:AN35"/>
    <mergeCell ref="AO34:AP35"/>
    <mergeCell ref="AQ34:AQ35"/>
    <mergeCell ref="AM38:AN39"/>
    <mergeCell ref="AO38:AP39"/>
    <mergeCell ref="AQ38:AQ39"/>
    <mergeCell ref="AR42:AS47"/>
    <mergeCell ref="AT42:AT47"/>
    <mergeCell ref="AR55:AT59"/>
    <mergeCell ref="AR18:AS23"/>
    <mergeCell ref="AR24:AS29"/>
    <mergeCell ref="AT24:AT29"/>
    <mergeCell ref="AR30:AS35"/>
    <mergeCell ref="AT30:AT35"/>
    <mergeCell ref="AR36:AS41"/>
    <mergeCell ref="AT36:AT41"/>
    <mergeCell ref="AM40:AN41"/>
    <mergeCell ref="AO40:AP41"/>
    <mergeCell ref="AQ40:AQ41"/>
    <mergeCell ref="AM44:AN45"/>
    <mergeCell ref="AO44:AP45"/>
    <mergeCell ref="AQ44:AQ45"/>
    <mergeCell ref="AM46:AN47"/>
    <mergeCell ref="W48:X49"/>
    <mergeCell ref="Y48:Z49"/>
    <mergeCell ref="AA48:AB49"/>
    <mergeCell ref="AC48:AD49"/>
    <mergeCell ref="AE48:AF49"/>
    <mergeCell ref="AG48:AH49"/>
    <mergeCell ref="AI48:AJ49"/>
    <mergeCell ref="W50:X51"/>
    <mergeCell ref="Y50:Z51"/>
    <mergeCell ref="AA50:AB51"/>
    <mergeCell ref="AC50:AD51"/>
    <mergeCell ref="AE50:AF51"/>
    <mergeCell ref="AG50:AH51"/>
    <mergeCell ref="AI50:AJ51"/>
    <mergeCell ref="AM52:AN53"/>
    <mergeCell ref="AO52:AP53"/>
    <mergeCell ref="AK48:AL49"/>
    <mergeCell ref="AM48:AN49"/>
    <mergeCell ref="AO48:AP49"/>
    <mergeCell ref="AQ48:AQ49"/>
    <mergeCell ref="AR48:AS53"/>
    <mergeCell ref="AT48:AT53"/>
    <mergeCell ref="AQ50:AQ51"/>
    <mergeCell ref="AQ52:AQ53"/>
    <mergeCell ref="AK42:AL43"/>
    <mergeCell ref="AM42:AN43"/>
    <mergeCell ref="AO42:AP43"/>
    <mergeCell ref="AQ42:AQ43"/>
    <mergeCell ref="W42:X43"/>
    <mergeCell ref="Y42:Z43"/>
    <mergeCell ref="AA42:AB43"/>
    <mergeCell ref="AC42:AD43"/>
    <mergeCell ref="AE42:AF43"/>
    <mergeCell ref="AG42:AH43"/>
    <mergeCell ref="AI42:AJ43"/>
    <mergeCell ref="W44:X45"/>
    <mergeCell ref="Y44:Z45"/>
    <mergeCell ref="AA44:AB45"/>
    <mergeCell ref="AC44:AD45"/>
    <mergeCell ref="AE44:AF45"/>
    <mergeCell ref="AG44:AH45"/>
    <mergeCell ref="AI44:AJ45"/>
    <mergeCell ref="W46:X47"/>
    <mergeCell ref="Y46:Z47"/>
    <mergeCell ref="AA46:AB47"/>
    <mergeCell ref="AC46:AD47"/>
    <mergeCell ref="AE46:AF47"/>
    <mergeCell ref="AG46:AH47"/>
    <mergeCell ref="AI46:AJ47"/>
    <mergeCell ref="AM50:AN51"/>
    <mergeCell ref="AO50:AP51"/>
    <mergeCell ref="W52:X53"/>
    <mergeCell ref="Y52:Z53"/>
    <mergeCell ref="AA52:AB53"/>
    <mergeCell ref="AC52:AD53"/>
    <mergeCell ref="AE52:AF53"/>
    <mergeCell ref="AG52:AH53"/>
    <mergeCell ref="AI52:AJ53"/>
    <mergeCell ref="AK50:AL51"/>
    <mergeCell ref="AK52:AL53"/>
    <mergeCell ref="C46:E47"/>
    <mergeCell ref="C48:E49"/>
    <mergeCell ref="F48:F49"/>
    <mergeCell ref="C40:E41"/>
    <mergeCell ref="F40:F41"/>
    <mergeCell ref="C42:E43"/>
    <mergeCell ref="F42:F43"/>
    <mergeCell ref="C44:E45"/>
    <mergeCell ref="F44:F45"/>
    <mergeCell ref="F46:F47"/>
    <mergeCell ref="B6:B11"/>
    <mergeCell ref="C6:E7"/>
    <mergeCell ref="F6:F7"/>
    <mergeCell ref="C8:E9"/>
    <mergeCell ref="F8:F9"/>
    <mergeCell ref="C10:E11"/>
    <mergeCell ref="F10:F11"/>
    <mergeCell ref="C12:E13"/>
    <mergeCell ref="F12:F13"/>
    <mergeCell ref="C14:E15"/>
    <mergeCell ref="F14:F15"/>
    <mergeCell ref="C16:E17"/>
    <mergeCell ref="F16:F17"/>
    <mergeCell ref="F18:F19"/>
    <mergeCell ref="C18:E19"/>
    <mergeCell ref="C20:E21"/>
    <mergeCell ref="F20:F21"/>
    <mergeCell ref="C22:E23"/>
    <mergeCell ref="F22:F23"/>
    <mergeCell ref="C24:E25"/>
    <mergeCell ref="F24:F25"/>
    <mergeCell ref="A6:A11"/>
    <mergeCell ref="A12:A17"/>
    <mergeCell ref="B12:B17"/>
    <mergeCell ref="A18:A23"/>
    <mergeCell ref="B18:B23"/>
    <mergeCell ref="A24:A29"/>
    <mergeCell ref="B24:B29"/>
    <mergeCell ref="C26:E27"/>
    <mergeCell ref="F26:F27"/>
    <mergeCell ref="C28:E29"/>
    <mergeCell ref="F28:F29"/>
    <mergeCell ref="C30:E31"/>
    <mergeCell ref="F30:F31"/>
    <mergeCell ref="F32:F33"/>
    <mergeCell ref="C32:E33"/>
    <mergeCell ref="C34:E35"/>
    <mergeCell ref="F34:F35"/>
    <mergeCell ref="C36:E37"/>
    <mergeCell ref="F36:F37"/>
    <mergeCell ref="C38:E39"/>
    <mergeCell ref="F38:F39"/>
    <mergeCell ref="B48:B53"/>
    <mergeCell ref="A58:C59"/>
    <mergeCell ref="D58:D59"/>
    <mergeCell ref="E58:F59"/>
    <mergeCell ref="A30:A35"/>
    <mergeCell ref="B30:B35"/>
    <mergeCell ref="A36:A41"/>
    <mergeCell ref="B36:B41"/>
    <mergeCell ref="A42:A47"/>
    <mergeCell ref="B42:B47"/>
    <mergeCell ref="A48:A53"/>
    <mergeCell ref="AK6:AL7"/>
    <mergeCell ref="AM6:AN7"/>
    <mergeCell ref="W6:X7"/>
    <mergeCell ref="Y6:Z7"/>
    <mergeCell ref="AA6:AB7"/>
    <mergeCell ref="AC6:AD7"/>
    <mergeCell ref="AE6:AF7"/>
    <mergeCell ref="AG6:AH7"/>
    <mergeCell ref="AI6:AJ7"/>
    <mergeCell ref="C5:E5"/>
    <mergeCell ref="G5:H5"/>
    <mergeCell ref="I5:J5"/>
    <mergeCell ref="K5:L5"/>
    <mergeCell ref="M5:N5"/>
    <mergeCell ref="O5:P5"/>
    <mergeCell ref="Q5:R5"/>
    <mergeCell ref="S5:T5"/>
    <mergeCell ref="U5:V5"/>
    <mergeCell ref="W5:X5"/>
    <mergeCell ref="Y5:Z5"/>
    <mergeCell ref="AA5:AB5"/>
    <mergeCell ref="AC5:AD5"/>
    <mergeCell ref="AE5:AF5"/>
    <mergeCell ref="AF3:AM3"/>
    <mergeCell ref="AN3:AT3"/>
    <mergeCell ref="AF4:AM4"/>
    <mergeCell ref="AN4:AQ4"/>
    <mergeCell ref="A1:R4"/>
    <mergeCell ref="S1:AE1"/>
    <mergeCell ref="AF1:AM1"/>
    <mergeCell ref="AN1:AT1"/>
    <mergeCell ref="S2:AE4"/>
    <mergeCell ref="AF2:AM2"/>
    <mergeCell ref="AN2:AQ2"/>
    <mergeCell ref="AR5:AS5"/>
    <mergeCell ref="AR6:AS11"/>
    <mergeCell ref="AT6:AT11"/>
    <mergeCell ref="AG5:AH5"/>
    <mergeCell ref="AI5:AJ5"/>
    <mergeCell ref="AK5:AL5"/>
    <mergeCell ref="AM5:AN5"/>
    <mergeCell ref="AO5:AP5"/>
    <mergeCell ref="AO6:AP7"/>
    <mergeCell ref="AQ6:AQ7"/>
    <mergeCell ref="AK10:AL11"/>
    <mergeCell ref="AM10:AN11"/>
    <mergeCell ref="AO10:AP11"/>
    <mergeCell ref="AQ10:AQ11"/>
    <mergeCell ref="W10:X11"/>
    <mergeCell ref="Y10:Z11"/>
    <mergeCell ref="AA10:AB11"/>
    <mergeCell ref="AC10:AD11"/>
    <mergeCell ref="AE10:AF11"/>
    <mergeCell ref="AG10:AH11"/>
    <mergeCell ref="AI10:AJ11"/>
    <mergeCell ref="AK8:AL9"/>
    <mergeCell ref="AM8:AN9"/>
    <mergeCell ref="AO8:AP9"/>
    <mergeCell ref="AQ8:AQ9"/>
    <mergeCell ref="W8:X9"/>
    <mergeCell ref="Y8:Z9"/>
    <mergeCell ref="AA8:AB9"/>
    <mergeCell ref="AC8:AD9"/>
    <mergeCell ref="AE8:AF9"/>
    <mergeCell ref="AG8:AH9"/>
    <mergeCell ref="AI8:AJ9"/>
    <mergeCell ref="W12:X13"/>
    <mergeCell ref="Y12:Z13"/>
    <mergeCell ref="AA12:AB13"/>
    <mergeCell ref="AC12:AD13"/>
    <mergeCell ref="AE12:AF13"/>
    <mergeCell ref="AG12:AH13"/>
    <mergeCell ref="AI12:AJ13"/>
    <mergeCell ref="AM14:AN15"/>
    <mergeCell ref="AO14:AP15"/>
    <mergeCell ref="W14:X15"/>
    <mergeCell ref="Y14:Z15"/>
    <mergeCell ref="AA14:AB15"/>
    <mergeCell ref="AC14:AD15"/>
    <mergeCell ref="AE14:AF15"/>
    <mergeCell ref="AG14:AH15"/>
    <mergeCell ref="AI14:AJ15"/>
    <mergeCell ref="AK14:AL15"/>
    <mergeCell ref="AK16:AL17"/>
    <mergeCell ref="W16:X17"/>
    <mergeCell ref="Y16:Z17"/>
    <mergeCell ref="AA16:AB17"/>
    <mergeCell ref="AC16:AD17"/>
    <mergeCell ref="AE16:AF17"/>
    <mergeCell ref="AG16:AH17"/>
    <mergeCell ref="AI16:AJ17"/>
    <mergeCell ref="AK54:AL55"/>
    <mergeCell ref="AM54:AN55"/>
    <mergeCell ref="AO54:AP55"/>
    <mergeCell ref="AQ54:AQ55"/>
    <mergeCell ref="AR54:AT54"/>
    <mergeCell ref="W54:X55"/>
    <mergeCell ref="Y54:Z55"/>
    <mergeCell ref="AA54:AB55"/>
    <mergeCell ref="AC54:AD55"/>
    <mergeCell ref="AE54:AF55"/>
    <mergeCell ref="AG54:AH55"/>
    <mergeCell ref="AI54:AJ55"/>
    <mergeCell ref="W58:X59"/>
    <mergeCell ref="Y58:Z59"/>
    <mergeCell ref="AA58:AB59"/>
    <mergeCell ref="AC58:AD59"/>
    <mergeCell ref="AE58:AF59"/>
    <mergeCell ref="AG58:AH59"/>
    <mergeCell ref="AI58:AJ59"/>
    <mergeCell ref="W56:X57"/>
    <mergeCell ref="Y56:Z57"/>
    <mergeCell ref="AA56:AB57"/>
    <mergeCell ref="AC56:AD57"/>
    <mergeCell ref="AE56:AF57"/>
    <mergeCell ref="AG56:AH57"/>
    <mergeCell ref="AI56:AJ57"/>
    <mergeCell ref="AK30:AL31"/>
    <mergeCell ref="AM30:AN31"/>
    <mergeCell ref="AO30:AP31"/>
    <mergeCell ref="AQ30:AQ31"/>
    <mergeCell ref="W30:X31"/>
    <mergeCell ref="Y30:Z31"/>
    <mergeCell ref="AA30:AB31"/>
    <mergeCell ref="AC30:AD31"/>
    <mergeCell ref="AE30:AF31"/>
    <mergeCell ref="AG30:AH31"/>
    <mergeCell ref="AI30:AJ31"/>
    <mergeCell ref="W34:X35"/>
    <mergeCell ref="Y34:Z35"/>
    <mergeCell ref="AA34:AB35"/>
    <mergeCell ref="AC34:AD35"/>
    <mergeCell ref="AE34:AF35"/>
    <mergeCell ref="AG34:AH35"/>
    <mergeCell ref="AI34:AJ35"/>
    <mergeCell ref="AK36:AL37"/>
    <mergeCell ref="AM36:AN37"/>
    <mergeCell ref="AO36:AP37"/>
    <mergeCell ref="AQ36:AQ37"/>
    <mergeCell ref="W36:X37"/>
    <mergeCell ref="Y36:Z37"/>
    <mergeCell ref="AA36:AB37"/>
    <mergeCell ref="AC36:AD37"/>
    <mergeCell ref="AE36:AF37"/>
    <mergeCell ref="AG36:AH37"/>
    <mergeCell ref="AI36:AJ37"/>
    <mergeCell ref="W38:X39"/>
    <mergeCell ref="Y38:Z39"/>
    <mergeCell ref="AA38:AB39"/>
    <mergeCell ref="AC38:AD39"/>
    <mergeCell ref="AE38:AF39"/>
    <mergeCell ref="AG38:AH39"/>
    <mergeCell ref="AI38:AJ39"/>
    <mergeCell ref="W40:X41"/>
    <mergeCell ref="Y40:Z41"/>
    <mergeCell ref="AA40:AB41"/>
    <mergeCell ref="AC40:AD41"/>
    <mergeCell ref="AE40:AF41"/>
    <mergeCell ref="AG40:AH41"/>
    <mergeCell ref="AI40:AJ41"/>
    <mergeCell ref="A56:C57"/>
    <mergeCell ref="D56:D57"/>
    <mergeCell ref="E56:F57"/>
    <mergeCell ref="C50:E51"/>
    <mergeCell ref="F50:F51"/>
    <mergeCell ref="C52:E53"/>
    <mergeCell ref="F52:F53"/>
    <mergeCell ref="A54:C55"/>
    <mergeCell ref="D54:D55"/>
    <mergeCell ref="E54:F55"/>
  </mergeCells>
  <conditionalFormatting sqref="H59 P59 T59">
    <cfRule type="cellIs" dxfId="15" priority="1" operator="greaterThan">
      <formula>0</formula>
    </cfRule>
  </conditionalFormatting>
  <conditionalFormatting sqref="H59 P59 T59">
    <cfRule type="cellIs" dxfId="16" priority="2" operator="lessThan">
      <formula>"0+$P$113"</formula>
    </cfRule>
  </conditionalFormatting>
  <conditionalFormatting sqref="L59">
    <cfRule type="cellIs" dxfId="15" priority="3" operator="greaterThan">
      <formula>0</formula>
    </cfRule>
  </conditionalFormatting>
  <conditionalFormatting sqref="L59">
    <cfRule type="cellIs" dxfId="16" priority="4" operator="lessThan">
      <formula>"0+$P$113"</formula>
    </cfRule>
  </conditionalFormatting>
  <conditionalFormatting sqref="K58">
    <cfRule type="cellIs" dxfId="15" priority="5" operator="greaterThan">
      <formula>0</formula>
    </cfRule>
  </conditionalFormatting>
  <conditionalFormatting sqref="K58">
    <cfRule type="cellIs" dxfId="16" priority="6" operator="lessThan">
      <formula>"0+$P$113"</formula>
    </cfRule>
  </conditionalFormatting>
  <conditionalFormatting sqref="G58 O58">
    <cfRule type="cellIs" dxfId="15" priority="7" operator="greaterThan">
      <formula>0</formula>
    </cfRule>
  </conditionalFormatting>
  <conditionalFormatting sqref="G58 O58">
    <cfRule type="cellIs" dxfId="16" priority="8" operator="lessThan">
      <formula>"0+$P$113"</formula>
    </cfRule>
  </conditionalFormatting>
  <conditionalFormatting sqref="S58">
    <cfRule type="cellIs" dxfId="15" priority="9" operator="greaterThan">
      <formula>0</formula>
    </cfRule>
  </conditionalFormatting>
  <conditionalFormatting sqref="S58">
    <cfRule type="cellIs" dxfId="16" priority="10" operator="lessThan">
      <formula>"0+$P$113"</formula>
    </cfRule>
  </conditionalFormatting>
  <conditionalFormatting sqref="W58 Y58 AA58 AC58 AE58 AG58 AI58 AK58 AM58 AO58">
    <cfRule type="cellIs" dxfId="15" priority="11" operator="greaterThan">
      <formula>0</formula>
    </cfRule>
  </conditionalFormatting>
  <conditionalFormatting sqref="W58 Y58 AA58 AC58 AE58 AG58 AI58 AK58 AM58 AO58">
    <cfRule type="cellIs" dxfId="16" priority="12" operator="lessThan">
      <formula>"0+$P$113"</formula>
    </cfRule>
  </conditionalFormatting>
  <conditionalFormatting sqref="J59">
    <cfRule type="cellIs" dxfId="15" priority="13" operator="greaterThan">
      <formula>0</formula>
    </cfRule>
  </conditionalFormatting>
  <conditionalFormatting sqref="J59">
    <cfRule type="cellIs" dxfId="16" priority="14" operator="lessThan">
      <formula>"0+$P$113"</formula>
    </cfRule>
  </conditionalFormatting>
  <conditionalFormatting sqref="I58">
    <cfRule type="cellIs" dxfId="15" priority="15" operator="greaterThan">
      <formula>0</formula>
    </cfRule>
  </conditionalFormatting>
  <conditionalFormatting sqref="I58">
    <cfRule type="cellIs" dxfId="16" priority="16" operator="lessThan">
      <formula>"0+$P$113"</formula>
    </cfRule>
  </conditionalFormatting>
  <conditionalFormatting sqref="N59">
    <cfRule type="cellIs" dxfId="15" priority="17" operator="greaterThan">
      <formula>0</formula>
    </cfRule>
  </conditionalFormatting>
  <conditionalFormatting sqref="N59">
    <cfRule type="cellIs" dxfId="16" priority="18" operator="lessThan">
      <formula>"0+$P$113"</formula>
    </cfRule>
  </conditionalFormatting>
  <conditionalFormatting sqref="M58">
    <cfRule type="cellIs" dxfId="15" priority="19" operator="greaterThan">
      <formula>0</formula>
    </cfRule>
  </conditionalFormatting>
  <conditionalFormatting sqref="M58">
    <cfRule type="cellIs" dxfId="16" priority="20" operator="lessThan">
      <formula>"0+$P$113"</formula>
    </cfRule>
  </conditionalFormatting>
  <conditionalFormatting sqref="R59">
    <cfRule type="cellIs" dxfId="15" priority="21" operator="greaterThan">
      <formula>0</formula>
    </cfRule>
  </conditionalFormatting>
  <conditionalFormatting sqref="R59">
    <cfRule type="cellIs" dxfId="16" priority="22" operator="lessThan">
      <formula>"0+$P$113"</formula>
    </cfRule>
  </conditionalFormatting>
  <conditionalFormatting sqref="Q58">
    <cfRule type="cellIs" dxfId="15" priority="23" operator="greaterThan">
      <formula>0</formula>
    </cfRule>
  </conditionalFormatting>
  <conditionalFormatting sqref="Q58">
    <cfRule type="cellIs" dxfId="16" priority="24" operator="lessThan">
      <formula>"0+$P$113"</formula>
    </cfRule>
  </conditionalFormatting>
  <conditionalFormatting sqref="V59">
    <cfRule type="cellIs" dxfId="15" priority="25" operator="greaterThan">
      <formula>0</formula>
    </cfRule>
  </conditionalFormatting>
  <conditionalFormatting sqref="V59">
    <cfRule type="cellIs" dxfId="16" priority="26" operator="lessThan">
      <formula>"0+$P$113"</formula>
    </cfRule>
  </conditionalFormatting>
  <conditionalFormatting sqref="U58">
    <cfRule type="cellIs" dxfId="15" priority="27" operator="greaterThan">
      <formula>0</formula>
    </cfRule>
  </conditionalFormatting>
  <conditionalFormatting sqref="U58">
    <cfRule type="cellIs" dxfId="16" priority="28" operator="lessThan">
      <formula>"0+$P$113"</formula>
    </cfRule>
  </conditionalFormatting>
  <dataValidations>
    <dataValidation type="list" allowBlank="1" sqref="C6 C8 C10 C12 C14 C16 C18 C20 C22 C24 C26 C28 C30 C32 C34 C36 C38 C40 C42 C44 C46 C48 C50 C52">
      <formula1>WorkAssignments</formula1>
    </dataValidation>
  </dataValidations>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96" t="s">
        <v>2700</v>
      </c>
      <c r="B1" s="1696" t="s">
        <v>2701</v>
      </c>
      <c r="C1" s="1696" t="s">
        <v>2255</v>
      </c>
      <c r="D1" s="1696" t="s">
        <v>352</v>
      </c>
    </row>
    <row r="2">
      <c r="A2" s="1696">
        <v>1000.0</v>
      </c>
      <c r="B2" s="1696">
        <v>1074.0</v>
      </c>
      <c r="C2" s="1696" t="s">
        <v>2702</v>
      </c>
      <c r="D2" s="1696" t="s">
        <v>2703</v>
      </c>
      <c r="G2" s="41">
        <v>1100.0</v>
      </c>
      <c r="H2" s="41" t="s">
        <v>2704</v>
      </c>
      <c r="I2" s="41" t="s">
        <v>2705</v>
      </c>
      <c r="J2" s="41" t="s">
        <v>2706</v>
      </c>
    </row>
    <row r="3">
      <c r="A3" s="1696">
        <v>1075.0</v>
      </c>
      <c r="B3" s="1696">
        <v>1099.0</v>
      </c>
      <c r="C3" s="1696" t="s">
        <v>2707</v>
      </c>
      <c r="D3" s="1696" t="s">
        <v>2708</v>
      </c>
      <c r="G3" s="41">
        <v>1200.0</v>
      </c>
      <c r="H3" s="41" t="s">
        <v>2709</v>
      </c>
      <c r="I3" s="41" t="s">
        <v>2705</v>
      </c>
      <c r="J3" s="41" t="s">
        <v>2710</v>
      </c>
    </row>
    <row r="4">
      <c r="A4" s="1696">
        <v>1100.0</v>
      </c>
      <c r="B4" s="1696">
        <v>1199.0</v>
      </c>
      <c r="C4" s="1696" t="s">
        <v>2711</v>
      </c>
      <c r="D4" s="1696" t="s">
        <v>2712</v>
      </c>
      <c r="G4" s="41">
        <v>1400.0</v>
      </c>
      <c r="H4" s="41" t="s">
        <v>2713</v>
      </c>
      <c r="I4" s="41" t="s">
        <v>2705</v>
      </c>
      <c r="J4" s="41" t="s">
        <v>2714</v>
      </c>
    </row>
    <row r="5">
      <c r="A5" s="1696">
        <v>1200.0</v>
      </c>
      <c r="B5" s="1696">
        <v>1239.0</v>
      </c>
      <c r="C5" s="1696" t="s">
        <v>2715</v>
      </c>
      <c r="D5" s="1696" t="s">
        <v>2716</v>
      </c>
      <c r="G5" s="41">
        <v>1600.0</v>
      </c>
      <c r="H5" s="41" t="s">
        <v>2717</v>
      </c>
      <c r="I5" s="41" t="s">
        <v>2705</v>
      </c>
      <c r="J5" s="41" t="s">
        <v>2718</v>
      </c>
    </row>
    <row r="6">
      <c r="A6" s="1696">
        <v>1240.0</v>
      </c>
      <c r="B6" s="1696">
        <v>1279.0</v>
      </c>
      <c r="C6" s="1696" t="s">
        <v>2719</v>
      </c>
      <c r="D6" s="1696" t="s">
        <v>2720</v>
      </c>
      <c r="G6" s="41">
        <v>1700.0</v>
      </c>
      <c r="H6" s="41" t="s">
        <v>2721</v>
      </c>
      <c r="I6" s="41" t="s">
        <v>2705</v>
      </c>
      <c r="J6" s="41" t="s">
        <v>2722</v>
      </c>
    </row>
    <row r="7">
      <c r="A7" s="1696">
        <v>1280.0</v>
      </c>
      <c r="B7" s="1696">
        <v>1319.0</v>
      </c>
      <c r="C7" s="1696" t="s">
        <v>2723</v>
      </c>
      <c r="D7" s="1696" t="s">
        <v>2724</v>
      </c>
      <c r="G7" s="41">
        <v>2100.0</v>
      </c>
      <c r="H7" s="41" t="s">
        <v>2725</v>
      </c>
      <c r="I7" s="41" t="s">
        <v>2705</v>
      </c>
      <c r="J7" s="41" t="s">
        <v>2726</v>
      </c>
    </row>
    <row r="8">
      <c r="A8" s="1696">
        <v>1320.0</v>
      </c>
      <c r="B8" s="1696">
        <v>1359.0</v>
      </c>
      <c r="C8" s="1696" t="s">
        <v>2727</v>
      </c>
      <c r="D8" s="1696" t="s">
        <v>2728</v>
      </c>
      <c r="G8" s="41">
        <v>2200.0</v>
      </c>
      <c r="H8" s="41" t="s">
        <v>2729</v>
      </c>
      <c r="I8" s="41" t="s">
        <v>2705</v>
      </c>
      <c r="J8" s="41" t="s">
        <v>2730</v>
      </c>
    </row>
    <row r="9">
      <c r="A9" s="1696">
        <v>1360.0</v>
      </c>
      <c r="B9" s="1696">
        <v>1399.0</v>
      </c>
      <c r="C9" s="1696" t="s">
        <v>2731</v>
      </c>
      <c r="D9" s="1696" t="s">
        <v>2732</v>
      </c>
      <c r="G9" s="41">
        <v>2300.0</v>
      </c>
      <c r="H9" s="41" t="s">
        <v>2733</v>
      </c>
      <c r="I9" s="41" t="s">
        <v>2705</v>
      </c>
      <c r="J9" s="41" t="s">
        <v>2734</v>
      </c>
    </row>
    <row r="10">
      <c r="A10" s="1696">
        <v>1400.0</v>
      </c>
      <c r="B10" s="1696">
        <v>1449.0</v>
      </c>
      <c r="C10" s="1696" t="s">
        <v>2735</v>
      </c>
      <c r="D10" s="1696" t="s">
        <v>2736</v>
      </c>
      <c r="G10" s="41">
        <v>2400.0</v>
      </c>
      <c r="H10" s="41" t="s">
        <v>2737</v>
      </c>
      <c r="I10" s="41" t="s">
        <v>2705</v>
      </c>
      <c r="J10" s="41" t="s">
        <v>2738</v>
      </c>
    </row>
    <row r="11">
      <c r="A11" s="1696">
        <v>1450.0</v>
      </c>
      <c r="B11" s="1696">
        <v>1499.0</v>
      </c>
      <c r="C11" s="1696" t="s">
        <v>2739</v>
      </c>
      <c r="D11" s="1696" t="s">
        <v>2740</v>
      </c>
      <c r="G11" s="41">
        <v>2500.0</v>
      </c>
      <c r="H11" s="41" t="s">
        <v>2741</v>
      </c>
      <c r="I11" s="41" t="s">
        <v>2705</v>
      </c>
      <c r="J11" s="41" t="s">
        <v>2742</v>
      </c>
    </row>
    <row r="12">
      <c r="A12" s="1696">
        <v>1500.0</v>
      </c>
      <c r="B12" s="1696">
        <v>1529.0</v>
      </c>
      <c r="C12" s="1696" t="s">
        <v>2743</v>
      </c>
      <c r="D12" s="1696" t="s">
        <v>2744</v>
      </c>
      <c r="G12" s="41">
        <v>2600.0</v>
      </c>
      <c r="H12" s="41" t="s">
        <v>2745</v>
      </c>
      <c r="I12" s="41" t="s">
        <v>2705</v>
      </c>
      <c r="J12" s="41" t="s">
        <v>2746</v>
      </c>
    </row>
    <row r="13">
      <c r="A13" s="1696">
        <v>1530.0</v>
      </c>
      <c r="B13" s="1696">
        <v>1549.0</v>
      </c>
      <c r="C13" s="1696" t="s">
        <v>2747</v>
      </c>
      <c r="D13" s="1696" t="s">
        <v>2748</v>
      </c>
      <c r="G13" s="41">
        <v>3100.0</v>
      </c>
      <c r="H13" s="41" t="s">
        <v>2749</v>
      </c>
      <c r="I13" s="41" t="s">
        <v>2750</v>
      </c>
      <c r="J13" s="41" t="s">
        <v>2751</v>
      </c>
    </row>
    <row r="14">
      <c r="A14" s="1696">
        <v>1550.0</v>
      </c>
      <c r="B14" s="1696">
        <v>1565.0</v>
      </c>
      <c r="C14" s="1696" t="s">
        <v>2752</v>
      </c>
      <c r="D14" s="1696" t="s">
        <v>2753</v>
      </c>
      <c r="G14" s="41">
        <v>3300.0</v>
      </c>
      <c r="H14" s="41" t="s">
        <v>2754</v>
      </c>
      <c r="I14" s="41" t="s">
        <v>2750</v>
      </c>
      <c r="J14" s="41" t="s">
        <v>2755</v>
      </c>
    </row>
    <row r="15">
      <c r="A15" s="1696">
        <v>1566.0</v>
      </c>
      <c r="B15" s="1696">
        <v>1599.0</v>
      </c>
      <c r="C15" s="1696" t="s">
        <v>2756</v>
      </c>
      <c r="D15" s="1696" t="s">
        <v>2757</v>
      </c>
      <c r="G15" s="41">
        <v>3400.0</v>
      </c>
      <c r="H15" s="41" t="s">
        <v>2758</v>
      </c>
      <c r="I15" s="41" t="s">
        <v>2750</v>
      </c>
      <c r="J15" s="41" t="s">
        <v>2740</v>
      </c>
    </row>
    <row r="16">
      <c r="A16" s="1696">
        <v>1600.0</v>
      </c>
      <c r="B16" s="1696">
        <v>1699.0</v>
      </c>
      <c r="C16" s="1696" t="s">
        <v>2759</v>
      </c>
      <c r="D16" s="1696" t="s">
        <v>2760</v>
      </c>
      <c r="G16" s="41">
        <v>3500.0</v>
      </c>
      <c r="H16" s="41" t="s">
        <v>2761</v>
      </c>
      <c r="I16" s="41" t="s">
        <v>2750</v>
      </c>
      <c r="J16" s="41" t="s">
        <v>2762</v>
      </c>
    </row>
    <row r="17">
      <c r="A17" s="1696">
        <v>1600.0</v>
      </c>
      <c r="B17" s="1696">
        <v>1649.0</v>
      </c>
      <c r="C17" s="1696" t="s">
        <v>2763</v>
      </c>
      <c r="D17" s="1696" t="s">
        <v>2764</v>
      </c>
      <c r="G17" s="41">
        <v>4100.0</v>
      </c>
      <c r="H17" s="41" t="s">
        <v>2765</v>
      </c>
      <c r="I17" s="41" t="s">
        <v>2750</v>
      </c>
      <c r="J17" s="41" t="s">
        <v>2766</v>
      </c>
    </row>
    <row r="18">
      <c r="A18" s="1696">
        <v>1650.0</v>
      </c>
      <c r="B18" s="1696">
        <v>1699.0</v>
      </c>
      <c r="C18" s="1696" t="s">
        <v>2767</v>
      </c>
      <c r="D18" s="1696" t="s">
        <v>2768</v>
      </c>
      <c r="G18" s="41">
        <v>4200.0</v>
      </c>
      <c r="H18" s="41" t="s">
        <v>2769</v>
      </c>
      <c r="I18" s="41" t="s">
        <v>2750</v>
      </c>
      <c r="J18" s="41" t="s">
        <v>2770</v>
      </c>
    </row>
    <row r="19">
      <c r="A19" s="1696">
        <v>1700.0</v>
      </c>
      <c r="B19" s="1696">
        <v>1799.0</v>
      </c>
      <c r="C19" s="1696" t="s">
        <v>2771</v>
      </c>
      <c r="D19" s="1696" t="s">
        <v>2772</v>
      </c>
      <c r="G19" s="41">
        <v>4300.0</v>
      </c>
      <c r="H19" s="41" t="s">
        <v>2773</v>
      </c>
      <c r="I19" s="41" t="s">
        <v>2750</v>
      </c>
      <c r="J19" s="41" t="s">
        <v>2774</v>
      </c>
    </row>
    <row r="20">
      <c r="A20" s="1696">
        <v>1800.0</v>
      </c>
      <c r="B20" s="1696">
        <v>1899.0</v>
      </c>
      <c r="C20" s="1696" t="s">
        <v>2775</v>
      </c>
      <c r="D20" s="1696" t="s">
        <v>2776</v>
      </c>
      <c r="G20" s="41">
        <v>4400.0</v>
      </c>
      <c r="H20" s="41" t="s">
        <v>2777</v>
      </c>
      <c r="I20" s="41" t="s">
        <v>2750</v>
      </c>
      <c r="J20" s="41" t="s">
        <v>2778</v>
      </c>
    </row>
    <row r="21">
      <c r="A21" s="1696">
        <v>1900.0</v>
      </c>
      <c r="B21" s="1696">
        <v>1999.0</v>
      </c>
      <c r="C21" s="1696" t="s">
        <v>2779</v>
      </c>
      <c r="D21" s="1696" t="s">
        <v>2780</v>
      </c>
      <c r="G21" s="41">
        <v>4500.0</v>
      </c>
      <c r="H21" s="41" t="s">
        <v>2781</v>
      </c>
      <c r="I21" s="41" t="s">
        <v>2750</v>
      </c>
      <c r="J21" s="41" t="s">
        <v>2782</v>
      </c>
    </row>
    <row r="22">
      <c r="A22" s="1696">
        <v>2000.0</v>
      </c>
      <c r="B22" s="1696">
        <v>2024.0</v>
      </c>
      <c r="C22" s="1696" t="s">
        <v>2783</v>
      </c>
      <c r="D22" s="1696" t="s">
        <v>2784</v>
      </c>
      <c r="G22" s="41">
        <v>4600.0</v>
      </c>
      <c r="H22" s="41" t="s">
        <v>2785</v>
      </c>
      <c r="I22" s="41" t="s">
        <v>2750</v>
      </c>
      <c r="J22" s="41" t="s">
        <v>2786</v>
      </c>
    </row>
    <row r="23">
      <c r="A23" s="1696">
        <v>2025.0</v>
      </c>
      <c r="B23" s="1696">
        <v>2049.0</v>
      </c>
      <c r="C23" s="1696" t="s">
        <v>2787</v>
      </c>
      <c r="D23" s="1696" t="s">
        <v>2788</v>
      </c>
      <c r="G23" s="41">
        <v>1500.0</v>
      </c>
      <c r="H23" s="41" t="s">
        <v>942</v>
      </c>
      <c r="I23" s="41" t="s">
        <v>2705</v>
      </c>
      <c r="J23" s="41" t="s">
        <v>2789</v>
      </c>
    </row>
    <row r="24">
      <c r="A24" s="1696">
        <v>2050.0</v>
      </c>
      <c r="B24" s="1696">
        <v>2074.0</v>
      </c>
      <c r="C24" s="1696" t="s">
        <v>2790</v>
      </c>
      <c r="D24" s="1696" t="s">
        <v>2791</v>
      </c>
    </row>
    <row r="25">
      <c r="A25" s="1696">
        <v>2075.0</v>
      </c>
      <c r="B25" s="1696">
        <v>2099.0</v>
      </c>
      <c r="C25" s="1696" t="s">
        <v>2792</v>
      </c>
      <c r="D25" s="1696" t="s">
        <v>2793</v>
      </c>
    </row>
    <row r="26">
      <c r="A26" s="1696">
        <v>2100.0</v>
      </c>
      <c r="B26" s="1696">
        <v>2124.0</v>
      </c>
      <c r="C26" s="1696" t="s">
        <v>2794</v>
      </c>
      <c r="D26" s="1696" t="s">
        <v>2795</v>
      </c>
    </row>
    <row r="27">
      <c r="A27" s="1696">
        <v>2125.0</v>
      </c>
      <c r="B27" s="1696">
        <v>2149.0</v>
      </c>
      <c r="C27" s="1696" t="s">
        <v>2796</v>
      </c>
      <c r="D27" s="1696" t="s">
        <v>2789</v>
      </c>
    </row>
    <row r="28">
      <c r="A28" s="1696">
        <v>2150.0</v>
      </c>
      <c r="B28" s="1696">
        <v>2174.0</v>
      </c>
      <c r="C28" s="1696" t="s">
        <v>2797</v>
      </c>
      <c r="D28" s="1696" t="s">
        <v>2706</v>
      </c>
    </row>
    <row r="29">
      <c r="A29" s="1696">
        <v>2175.0</v>
      </c>
      <c r="B29" s="1696">
        <v>2199.0</v>
      </c>
      <c r="C29" s="1696" t="s">
        <v>2798</v>
      </c>
      <c r="D29" s="1696" t="s">
        <v>2799</v>
      </c>
    </row>
    <row r="30">
      <c r="A30" s="1696">
        <v>2200.0</v>
      </c>
      <c r="B30" s="1696">
        <v>2224.0</v>
      </c>
      <c r="C30" s="1696" t="s">
        <v>2800</v>
      </c>
      <c r="D30" s="1696" t="s">
        <v>2801</v>
      </c>
    </row>
    <row r="31">
      <c r="A31" s="1696">
        <v>2225.0</v>
      </c>
      <c r="B31" s="1696">
        <v>2249.0</v>
      </c>
      <c r="C31" s="1696" t="s">
        <v>2802</v>
      </c>
      <c r="D31" s="1696" t="s">
        <v>2803</v>
      </c>
    </row>
    <row r="32">
      <c r="A32" s="1696">
        <v>2250.0</v>
      </c>
      <c r="B32" s="1696">
        <v>2274.0</v>
      </c>
      <c r="C32" s="1696" t="s">
        <v>2804</v>
      </c>
      <c r="D32" s="1696" t="s">
        <v>2805</v>
      </c>
    </row>
    <row r="33">
      <c r="A33" s="1696">
        <v>2275.0</v>
      </c>
      <c r="B33" s="1696">
        <v>2299.0</v>
      </c>
      <c r="C33" s="1696" t="s">
        <v>2806</v>
      </c>
      <c r="D33" s="1696" t="s">
        <v>2807</v>
      </c>
    </row>
    <row r="34">
      <c r="A34" s="1696">
        <v>2300.0</v>
      </c>
      <c r="B34" s="1696">
        <v>2324.0</v>
      </c>
      <c r="C34" s="1696" t="s">
        <v>2808</v>
      </c>
      <c r="D34" s="1696" t="s">
        <v>2718</v>
      </c>
    </row>
    <row r="35">
      <c r="A35" s="1696">
        <v>2325.0</v>
      </c>
      <c r="B35" s="1696">
        <v>2349.0</v>
      </c>
      <c r="C35" s="1696" t="s">
        <v>2809</v>
      </c>
      <c r="D35" s="1696" t="s">
        <v>2810</v>
      </c>
    </row>
    <row r="36">
      <c r="A36" s="1696">
        <v>2350.0</v>
      </c>
      <c r="B36" s="1696">
        <v>2374.0</v>
      </c>
      <c r="C36" s="1696" t="s">
        <v>2811</v>
      </c>
      <c r="D36" s="1696" t="s">
        <v>2812</v>
      </c>
    </row>
    <row r="37">
      <c r="A37" s="1696">
        <v>2375.0</v>
      </c>
      <c r="B37" s="1696">
        <v>2399.0</v>
      </c>
      <c r="C37" s="1696" t="s">
        <v>2813</v>
      </c>
      <c r="D37" s="1696" t="s">
        <v>2814</v>
      </c>
    </row>
    <row r="38">
      <c r="A38" s="1696">
        <v>2400.0</v>
      </c>
      <c r="B38" s="1696">
        <v>2599.0</v>
      </c>
      <c r="C38" s="1696" t="s">
        <v>2779</v>
      </c>
      <c r="D38" s="1696" t="s">
        <v>2815</v>
      </c>
    </row>
    <row r="39">
      <c r="A39" s="1696">
        <v>2600.0</v>
      </c>
      <c r="B39" s="1696">
        <v>2699.0</v>
      </c>
      <c r="C39" s="1696" t="s">
        <v>2759</v>
      </c>
      <c r="D39" s="1696" t="s">
        <v>2760</v>
      </c>
    </row>
    <row r="40">
      <c r="A40" s="1696">
        <v>2600.0</v>
      </c>
      <c r="B40" s="1696">
        <v>2649.0</v>
      </c>
      <c r="C40" s="1696" t="s">
        <v>2816</v>
      </c>
      <c r="D40" s="1696" t="s">
        <v>2817</v>
      </c>
    </row>
    <row r="41">
      <c r="A41" s="1696">
        <v>2650.0</v>
      </c>
      <c r="B41" s="1696">
        <v>2699.0</v>
      </c>
      <c r="C41" s="1696" t="s">
        <v>2767</v>
      </c>
      <c r="D41" s="1696" t="s">
        <v>2815</v>
      </c>
    </row>
    <row r="42">
      <c r="A42" s="1696">
        <v>2700.0</v>
      </c>
      <c r="B42" s="1696">
        <v>2799.0</v>
      </c>
      <c r="C42" s="1696" t="s">
        <v>2771</v>
      </c>
      <c r="D42" s="1696" t="s">
        <v>2772</v>
      </c>
    </row>
    <row r="43">
      <c r="A43" s="1696">
        <v>2800.0</v>
      </c>
      <c r="B43" s="1696">
        <v>2899.0</v>
      </c>
      <c r="C43" s="1696" t="s">
        <v>2775</v>
      </c>
      <c r="D43" s="1696" t="s">
        <v>2776</v>
      </c>
    </row>
    <row r="44">
      <c r="A44" s="1696">
        <v>2900.0</v>
      </c>
      <c r="B44" s="1696">
        <v>2999.0</v>
      </c>
      <c r="C44" s="1696" t="s">
        <v>2779</v>
      </c>
      <c r="D44" s="1696" t="s">
        <v>2815</v>
      </c>
    </row>
    <row r="45">
      <c r="A45" s="1696">
        <v>3000.0</v>
      </c>
      <c r="B45" s="1696">
        <v>3024.0</v>
      </c>
      <c r="C45" s="1696" t="s">
        <v>2818</v>
      </c>
      <c r="D45" s="1696" t="s">
        <v>2726</v>
      </c>
    </row>
    <row r="46">
      <c r="A46" s="1696">
        <v>3025.0</v>
      </c>
      <c r="B46" s="1696">
        <v>3049.0</v>
      </c>
      <c r="C46" s="1696" t="s">
        <v>2819</v>
      </c>
      <c r="D46" s="1696" t="s">
        <v>2820</v>
      </c>
    </row>
    <row r="47">
      <c r="A47" s="1696">
        <v>3050.0</v>
      </c>
      <c r="B47" s="1696">
        <v>3074.0</v>
      </c>
      <c r="C47" s="1696" t="s">
        <v>2821</v>
      </c>
      <c r="D47" s="1696" t="s">
        <v>2822</v>
      </c>
    </row>
    <row r="48">
      <c r="A48" s="1696">
        <v>3075.0</v>
      </c>
      <c r="B48" s="1696">
        <v>3099.0</v>
      </c>
      <c r="C48" s="1696" t="s">
        <v>2823</v>
      </c>
      <c r="D48" s="1696" t="s">
        <v>2824</v>
      </c>
    </row>
    <row r="49">
      <c r="A49" s="1696">
        <v>3100.0</v>
      </c>
      <c r="B49" s="1696">
        <v>3124.0</v>
      </c>
      <c r="C49" s="1696" t="s">
        <v>2825</v>
      </c>
      <c r="D49" s="1696" t="s">
        <v>2826</v>
      </c>
    </row>
    <row r="50">
      <c r="A50" s="1696">
        <v>3125.0</v>
      </c>
      <c r="B50" s="1696">
        <v>3149.0</v>
      </c>
      <c r="C50" s="1696" t="s">
        <v>2827</v>
      </c>
      <c r="D50" s="1696" t="s">
        <v>2828</v>
      </c>
    </row>
    <row r="51">
      <c r="A51" s="1696">
        <v>3150.0</v>
      </c>
      <c r="B51" s="1696">
        <v>3174.0</v>
      </c>
      <c r="C51" s="1696" t="s">
        <v>2829</v>
      </c>
      <c r="D51" s="1696" t="s">
        <v>2830</v>
      </c>
    </row>
    <row r="52">
      <c r="A52" s="1696">
        <v>3175.0</v>
      </c>
      <c r="B52" s="1696">
        <v>3199.0</v>
      </c>
      <c r="C52" s="1696" t="s">
        <v>2831</v>
      </c>
      <c r="D52" s="1696" t="s">
        <v>2832</v>
      </c>
    </row>
    <row r="53">
      <c r="A53" s="1696">
        <v>3200.0</v>
      </c>
      <c r="B53" s="1696">
        <v>3224.0</v>
      </c>
      <c r="C53" s="1696" t="s">
        <v>2833</v>
      </c>
      <c r="D53" s="1696" t="s">
        <v>2746</v>
      </c>
    </row>
    <row r="54">
      <c r="A54" s="1696">
        <v>3225.0</v>
      </c>
      <c r="B54" s="1696">
        <v>3249.0</v>
      </c>
      <c r="C54" s="1696" t="s">
        <v>2834</v>
      </c>
      <c r="D54" s="1696" t="s">
        <v>2835</v>
      </c>
    </row>
    <row r="55">
      <c r="A55" s="1696">
        <v>3250.0</v>
      </c>
      <c r="B55" s="1696">
        <v>3274.0</v>
      </c>
      <c r="C55" s="1696" t="s">
        <v>2836</v>
      </c>
      <c r="D55" s="1696" t="s">
        <v>2837</v>
      </c>
    </row>
    <row r="56">
      <c r="A56" s="1696">
        <v>3275.0</v>
      </c>
      <c r="B56" s="1696">
        <v>3299.0</v>
      </c>
      <c r="C56" s="1696" t="s">
        <v>2838</v>
      </c>
      <c r="D56" s="1696" t="s">
        <v>2839</v>
      </c>
    </row>
    <row r="57">
      <c r="A57" s="1696">
        <v>3300.0</v>
      </c>
      <c r="B57" s="1696">
        <v>3324.0</v>
      </c>
      <c r="C57" s="1696" t="s">
        <v>2840</v>
      </c>
      <c r="D57" s="1696" t="s">
        <v>2841</v>
      </c>
    </row>
    <row r="58">
      <c r="A58" s="1696">
        <v>3325.0</v>
      </c>
      <c r="B58" s="1696">
        <v>3599.0</v>
      </c>
      <c r="C58" s="1696" t="s">
        <v>2779</v>
      </c>
      <c r="D58" s="1696" t="s">
        <v>2815</v>
      </c>
    </row>
    <row r="59">
      <c r="A59" s="1696">
        <v>3600.0</v>
      </c>
      <c r="B59" s="1696">
        <v>3699.0</v>
      </c>
      <c r="C59" s="1696" t="s">
        <v>2759</v>
      </c>
      <c r="D59" s="1696" t="s">
        <v>2760</v>
      </c>
    </row>
    <row r="60">
      <c r="A60" s="1696">
        <v>3600.0</v>
      </c>
      <c r="B60" s="1696">
        <v>3614.0</v>
      </c>
      <c r="C60" s="1696" t="s">
        <v>2842</v>
      </c>
      <c r="D60" s="1696" t="s">
        <v>2843</v>
      </c>
    </row>
    <row r="61">
      <c r="A61" s="1696">
        <v>3615.0</v>
      </c>
      <c r="B61" s="1696">
        <v>3629.0</v>
      </c>
      <c r="C61" s="1696" t="s">
        <v>2844</v>
      </c>
      <c r="D61" s="1696" t="s">
        <v>2845</v>
      </c>
    </row>
    <row r="62">
      <c r="A62" s="1696">
        <v>3630.0</v>
      </c>
      <c r="B62" s="1696">
        <v>3644.0</v>
      </c>
      <c r="C62" s="1696" t="s">
        <v>2846</v>
      </c>
      <c r="D62" s="1696" t="s">
        <v>2847</v>
      </c>
    </row>
    <row r="63">
      <c r="A63" s="1696">
        <v>3645.0</v>
      </c>
      <c r="B63" s="1696">
        <v>3659.0</v>
      </c>
      <c r="C63" s="1696" t="s">
        <v>2848</v>
      </c>
      <c r="D63" s="1696" t="s">
        <v>2849</v>
      </c>
    </row>
    <row r="64">
      <c r="A64" s="1696">
        <v>3660.0</v>
      </c>
      <c r="B64" s="1696">
        <v>3674.0</v>
      </c>
      <c r="C64" s="1696" t="s">
        <v>2850</v>
      </c>
      <c r="D64" s="1696" t="s">
        <v>2851</v>
      </c>
    </row>
    <row r="65">
      <c r="A65" s="1696">
        <v>3675.0</v>
      </c>
      <c r="B65" s="1696">
        <v>3689.0</v>
      </c>
      <c r="C65" s="1696" t="s">
        <v>2852</v>
      </c>
      <c r="D65" s="1696" t="s">
        <v>2853</v>
      </c>
    </row>
    <row r="66">
      <c r="A66" s="1696">
        <v>3690.0</v>
      </c>
      <c r="B66" s="1696">
        <v>3699.0</v>
      </c>
      <c r="C66" s="1696" t="s">
        <v>2779</v>
      </c>
      <c r="D66" s="1696" t="s">
        <v>2815</v>
      </c>
    </row>
    <row r="67">
      <c r="A67" s="1696">
        <v>3700.0</v>
      </c>
      <c r="B67" s="1696">
        <v>3719.0</v>
      </c>
      <c r="C67" s="1696" t="s">
        <v>2854</v>
      </c>
      <c r="D67" s="1696" t="s">
        <v>2855</v>
      </c>
    </row>
    <row r="68">
      <c r="A68" s="1696">
        <v>3700.0</v>
      </c>
      <c r="B68" s="1696">
        <v>3719.0</v>
      </c>
      <c r="C68" s="1696" t="s">
        <v>2856</v>
      </c>
      <c r="D68" s="1696" t="s">
        <v>2857</v>
      </c>
    </row>
    <row r="69">
      <c r="A69" s="1696">
        <v>3720.0</v>
      </c>
      <c r="B69" s="1696">
        <v>3739.0</v>
      </c>
      <c r="C69" s="1696" t="s">
        <v>2858</v>
      </c>
      <c r="D69" s="1696" t="s">
        <v>2859</v>
      </c>
    </row>
    <row r="70">
      <c r="A70" s="1696">
        <v>3740.0</v>
      </c>
      <c r="B70" s="1696">
        <v>3759.0</v>
      </c>
      <c r="C70" s="1696" t="s">
        <v>2860</v>
      </c>
      <c r="D70" s="1696" t="s">
        <v>2861</v>
      </c>
    </row>
    <row r="71">
      <c r="A71" s="1696">
        <v>3740.0</v>
      </c>
      <c r="B71" s="1696">
        <v>3759.0</v>
      </c>
      <c r="C71" s="1696" t="s">
        <v>2862</v>
      </c>
      <c r="D71" s="1696" t="s">
        <v>2863</v>
      </c>
    </row>
    <row r="72">
      <c r="A72" s="1696">
        <v>3760.0</v>
      </c>
      <c r="B72" s="1696">
        <v>3779.0</v>
      </c>
      <c r="C72" s="1696" t="s">
        <v>2864</v>
      </c>
      <c r="D72" s="1696" t="s">
        <v>2865</v>
      </c>
    </row>
    <row r="73">
      <c r="A73" s="1696">
        <v>3780.0</v>
      </c>
      <c r="B73" s="1696">
        <v>3799.0</v>
      </c>
      <c r="C73" s="1696" t="s">
        <v>2771</v>
      </c>
      <c r="D73" s="1696" t="s">
        <v>2866</v>
      </c>
    </row>
    <row r="74">
      <c r="A74" s="1696">
        <v>3800.0</v>
      </c>
      <c r="B74" s="1696">
        <v>3899.0</v>
      </c>
      <c r="C74" s="1696" t="s">
        <v>2775</v>
      </c>
      <c r="D74" s="1696" t="s">
        <v>2776</v>
      </c>
    </row>
    <row r="75">
      <c r="A75" s="1696">
        <v>3900.0</v>
      </c>
      <c r="B75" s="1696">
        <v>3999.0</v>
      </c>
      <c r="C75" s="1696" t="s">
        <v>2779</v>
      </c>
      <c r="D75" s="1696" t="s">
        <v>2815</v>
      </c>
    </row>
    <row r="76">
      <c r="A76" s="1696">
        <v>4000.0</v>
      </c>
      <c r="B76" s="1696">
        <v>4024.0</v>
      </c>
      <c r="C76" s="1696" t="s">
        <v>2867</v>
      </c>
      <c r="D76" s="1696" t="s">
        <v>2868</v>
      </c>
    </row>
    <row r="77">
      <c r="A77" s="1696">
        <v>4025.0</v>
      </c>
      <c r="B77" s="1696">
        <v>4049.0</v>
      </c>
      <c r="C77" s="1696" t="s">
        <v>2869</v>
      </c>
      <c r="D77" s="1696" t="s">
        <v>2870</v>
      </c>
    </row>
    <row r="78">
      <c r="A78" s="1696">
        <v>4050.0</v>
      </c>
      <c r="B78" s="1696">
        <v>4074.0</v>
      </c>
      <c r="C78" s="1696" t="s">
        <v>2871</v>
      </c>
      <c r="D78" s="1696" t="s">
        <v>2872</v>
      </c>
    </row>
    <row r="79">
      <c r="A79" s="1696">
        <v>4075.0</v>
      </c>
      <c r="B79" s="1696">
        <v>4099.0</v>
      </c>
      <c r="C79" s="1696" t="s">
        <v>2873</v>
      </c>
      <c r="D79" s="1696" t="s">
        <v>2874</v>
      </c>
    </row>
    <row r="80">
      <c r="A80" s="1696">
        <v>4100.0</v>
      </c>
      <c r="B80" s="1696">
        <v>4124.0</v>
      </c>
      <c r="C80" s="1696" t="s">
        <v>2875</v>
      </c>
      <c r="D80" s="1696" t="s">
        <v>2876</v>
      </c>
    </row>
    <row r="81">
      <c r="A81" s="1696">
        <v>4125.0</v>
      </c>
      <c r="B81" s="1696">
        <v>4149.0</v>
      </c>
      <c r="C81" s="1696" t="s">
        <v>2877</v>
      </c>
      <c r="D81" s="1696" t="s">
        <v>2878</v>
      </c>
    </row>
    <row r="82">
      <c r="A82" s="1696">
        <v>4150.0</v>
      </c>
      <c r="B82" s="1696">
        <v>4174.0</v>
      </c>
      <c r="C82" s="1696" t="s">
        <v>2879</v>
      </c>
      <c r="D82" s="1696" t="s">
        <v>2880</v>
      </c>
    </row>
    <row r="83">
      <c r="A83" s="1696">
        <v>4175.0</v>
      </c>
      <c r="B83" s="1696">
        <v>4199.0</v>
      </c>
      <c r="C83" s="1696" t="s">
        <v>2881</v>
      </c>
      <c r="D83" s="1696" t="s">
        <v>2882</v>
      </c>
    </row>
    <row r="84">
      <c r="A84" s="1696">
        <v>4200.0</v>
      </c>
      <c r="B84" s="1696">
        <v>4224.0</v>
      </c>
      <c r="C84" s="1696" t="s">
        <v>2883</v>
      </c>
      <c r="D84" s="1696" t="s">
        <v>2884</v>
      </c>
    </row>
    <row r="85">
      <c r="A85" s="1696">
        <v>4225.0</v>
      </c>
      <c r="B85" s="1696">
        <v>4249.0</v>
      </c>
      <c r="C85" s="1696" t="s">
        <v>2885</v>
      </c>
      <c r="D85" s="1696" t="s">
        <v>2886</v>
      </c>
    </row>
    <row r="86">
      <c r="A86" s="1696">
        <v>4250.0</v>
      </c>
      <c r="B86" s="1696">
        <v>4274.0</v>
      </c>
      <c r="C86" s="1696" t="s">
        <v>2887</v>
      </c>
      <c r="D86" s="1696" t="s">
        <v>2888</v>
      </c>
    </row>
    <row r="87">
      <c r="A87" s="1696">
        <v>4275.0</v>
      </c>
      <c r="B87" s="1696">
        <v>4299.0</v>
      </c>
      <c r="C87" s="1696" t="s">
        <v>2889</v>
      </c>
      <c r="D87" s="1696" t="s">
        <v>2890</v>
      </c>
    </row>
    <row r="88">
      <c r="A88" s="1696">
        <v>4300.0</v>
      </c>
      <c r="B88" s="1696">
        <v>4599.0</v>
      </c>
      <c r="C88" s="1696" t="s">
        <v>2779</v>
      </c>
      <c r="D88" s="1696" t="s">
        <v>2815</v>
      </c>
    </row>
    <row r="89">
      <c r="A89" s="1696">
        <v>4600.0</v>
      </c>
      <c r="B89" s="1696">
        <v>4699.0</v>
      </c>
      <c r="C89" s="1696" t="s">
        <v>2759</v>
      </c>
      <c r="D89" s="1696" t="s">
        <v>2760</v>
      </c>
    </row>
    <row r="90">
      <c r="A90" s="1696">
        <v>4600.0</v>
      </c>
      <c r="B90" s="1696">
        <v>4629.0</v>
      </c>
      <c r="C90" s="1696" t="s">
        <v>2891</v>
      </c>
      <c r="D90" s="1696" t="s">
        <v>2892</v>
      </c>
    </row>
    <row r="91">
      <c r="A91" s="1696">
        <v>4630.0</v>
      </c>
      <c r="B91" s="1696">
        <v>4659.0</v>
      </c>
      <c r="C91" s="1696" t="s">
        <v>214</v>
      </c>
      <c r="D91" s="1696" t="s">
        <v>2893</v>
      </c>
    </row>
    <row r="92">
      <c r="A92" s="1696">
        <v>4660.0</v>
      </c>
      <c r="B92" s="1696">
        <v>4689.0</v>
      </c>
      <c r="C92" s="1696" t="s">
        <v>2894</v>
      </c>
      <c r="D92" s="1696" t="s">
        <v>2895</v>
      </c>
    </row>
    <row r="93">
      <c r="A93" s="1696">
        <v>4690.0</v>
      </c>
      <c r="B93" s="1696">
        <v>4695.0</v>
      </c>
      <c r="C93" s="1696" t="s">
        <v>2896</v>
      </c>
      <c r="D93" s="1696" t="s">
        <v>2897</v>
      </c>
    </row>
    <row r="94">
      <c r="A94" s="1696">
        <v>4696.0</v>
      </c>
      <c r="B94" s="1696">
        <v>4699.0</v>
      </c>
      <c r="C94" s="1696" t="s">
        <v>2779</v>
      </c>
      <c r="D94" s="1696" t="s">
        <v>2815</v>
      </c>
    </row>
    <row r="95">
      <c r="A95" s="1696">
        <v>4700.0</v>
      </c>
      <c r="B95" s="1696">
        <v>4799.0</v>
      </c>
      <c r="C95" s="1696" t="s">
        <v>2771</v>
      </c>
      <c r="D95" s="1696" t="s">
        <v>2772</v>
      </c>
    </row>
    <row r="96">
      <c r="A96" s="1696">
        <v>4800.0</v>
      </c>
      <c r="B96" s="1696">
        <v>4899.0</v>
      </c>
      <c r="C96" s="1696" t="s">
        <v>2775</v>
      </c>
      <c r="D96" s="1696" t="s">
        <v>2776</v>
      </c>
    </row>
    <row r="97">
      <c r="A97" s="1696">
        <v>4900.0</v>
      </c>
      <c r="B97" s="1696">
        <v>4999.0</v>
      </c>
      <c r="C97" s="1696" t="s">
        <v>2779</v>
      </c>
      <c r="D97" s="1696" t="s">
        <v>2815</v>
      </c>
    </row>
    <row r="98">
      <c r="A98" s="1696">
        <v>5000.0</v>
      </c>
      <c r="B98" s="1696">
        <v>5024.0</v>
      </c>
      <c r="C98" s="1696" t="s">
        <v>2898</v>
      </c>
      <c r="D98" s="1696" t="s">
        <v>2899</v>
      </c>
    </row>
    <row r="99">
      <c r="A99" s="1696">
        <v>5025.0</v>
      </c>
      <c r="B99" s="1696">
        <v>5049.0</v>
      </c>
      <c r="C99" s="1696" t="s">
        <v>2900</v>
      </c>
      <c r="D99" s="1696" t="s">
        <v>2901</v>
      </c>
    </row>
    <row r="100">
      <c r="A100" s="1696">
        <v>5050.0</v>
      </c>
      <c r="B100" s="1696">
        <v>5074.0</v>
      </c>
      <c r="C100" s="1696" t="s">
        <v>2902</v>
      </c>
      <c r="D100" s="1696" t="s">
        <v>2903</v>
      </c>
    </row>
    <row r="101">
      <c r="A101" s="1696">
        <v>5075.0</v>
      </c>
      <c r="B101" s="1696">
        <v>5099.0</v>
      </c>
      <c r="C101" s="1696" t="s">
        <v>2904</v>
      </c>
      <c r="D101" s="1696" t="s">
        <v>2905</v>
      </c>
    </row>
    <row r="102">
      <c r="A102" s="1696">
        <v>5100.0</v>
      </c>
      <c r="B102" s="1696">
        <v>5124.0</v>
      </c>
      <c r="C102" s="1696" t="s">
        <v>2906</v>
      </c>
      <c r="D102" s="1696" t="s">
        <v>2907</v>
      </c>
    </row>
    <row r="103">
      <c r="A103" s="1696">
        <v>5125.0</v>
      </c>
      <c r="B103" s="1696">
        <v>5149.0</v>
      </c>
      <c r="C103" s="1696" t="s">
        <v>2908</v>
      </c>
      <c r="D103" s="1696" t="s">
        <v>2909</v>
      </c>
    </row>
    <row r="104">
      <c r="A104" s="1696">
        <v>5150.0</v>
      </c>
      <c r="B104" s="1696">
        <v>5174.0</v>
      </c>
      <c r="C104" s="1696" t="s">
        <v>2910</v>
      </c>
      <c r="D104" s="1696" t="s">
        <v>2766</v>
      </c>
    </row>
    <row r="105">
      <c r="A105" s="1696">
        <v>5175.0</v>
      </c>
      <c r="B105" s="1696">
        <v>5199.0</v>
      </c>
      <c r="C105" s="1696" t="s">
        <v>2910</v>
      </c>
      <c r="D105" s="1696" t="s">
        <v>2815</v>
      </c>
    </row>
    <row r="106">
      <c r="A106" s="1696">
        <v>5200.0</v>
      </c>
      <c r="B106" s="1696">
        <v>5299.0</v>
      </c>
      <c r="C106" s="1696" t="s">
        <v>2911</v>
      </c>
      <c r="D106" s="1696" t="s">
        <v>2912</v>
      </c>
    </row>
    <row r="107">
      <c r="A107" s="1696">
        <v>5300.0</v>
      </c>
      <c r="B107" s="1696">
        <v>5599.0</v>
      </c>
      <c r="C107" s="1696" t="s">
        <v>2779</v>
      </c>
      <c r="D107" s="1696" t="s">
        <v>2815</v>
      </c>
    </row>
    <row r="108">
      <c r="A108" s="1696">
        <v>5600.0</v>
      </c>
      <c r="B108" s="1696">
        <v>5699.0</v>
      </c>
      <c r="C108" s="1696" t="s">
        <v>2759</v>
      </c>
      <c r="D108" s="1696" t="s">
        <v>2760</v>
      </c>
    </row>
    <row r="109">
      <c r="A109" s="1696">
        <v>5600.0</v>
      </c>
      <c r="B109" s="1696">
        <v>5649.0</v>
      </c>
      <c r="C109" s="1696" t="s">
        <v>2913</v>
      </c>
      <c r="D109" s="1696" t="s">
        <v>2914</v>
      </c>
    </row>
    <row r="110">
      <c r="A110" s="1696">
        <v>5650.0</v>
      </c>
      <c r="B110" s="1696">
        <v>5699.0</v>
      </c>
      <c r="C110" s="1696" t="s">
        <v>2915</v>
      </c>
      <c r="D110" s="1696" t="s">
        <v>2916</v>
      </c>
    </row>
    <row r="111">
      <c r="A111" s="1696">
        <v>5700.0</v>
      </c>
      <c r="B111" s="1696">
        <v>5719.0</v>
      </c>
      <c r="C111" s="1696" t="s">
        <v>2854</v>
      </c>
      <c r="D111" s="1696" t="s">
        <v>2855</v>
      </c>
    </row>
    <row r="112">
      <c r="A112" s="1696">
        <v>5700.0</v>
      </c>
      <c r="B112" s="1696">
        <v>5719.0</v>
      </c>
      <c r="C112" s="1696" t="s">
        <v>2917</v>
      </c>
      <c r="D112" s="1696" t="s">
        <v>2918</v>
      </c>
    </row>
    <row r="113">
      <c r="A113" s="1696">
        <v>5720.0</v>
      </c>
      <c r="B113" s="1696">
        <v>5739.0</v>
      </c>
      <c r="C113" s="1696" t="s">
        <v>2858</v>
      </c>
      <c r="D113" s="1696" t="s">
        <v>2859</v>
      </c>
    </row>
    <row r="114">
      <c r="A114" s="1696">
        <v>5740.0</v>
      </c>
      <c r="B114" s="1696">
        <v>5759.0</v>
      </c>
      <c r="C114" s="1696" t="s">
        <v>2860</v>
      </c>
      <c r="D114" s="1696" t="s">
        <v>2861</v>
      </c>
    </row>
    <row r="115">
      <c r="A115" s="1696">
        <v>5740.0</v>
      </c>
      <c r="B115" s="1696">
        <v>5759.0</v>
      </c>
      <c r="C115" s="1696" t="s">
        <v>2919</v>
      </c>
      <c r="D115" s="1696" t="s">
        <v>2920</v>
      </c>
    </row>
    <row r="116">
      <c r="A116" s="1696">
        <v>5760.0</v>
      </c>
      <c r="B116" s="1696">
        <v>5779.0</v>
      </c>
      <c r="C116" s="1696" t="s">
        <v>2864</v>
      </c>
      <c r="D116" s="1696" t="s">
        <v>2865</v>
      </c>
    </row>
    <row r="117">
      <c r="A117" s="1696">
        <v>5780.0</v>
      </c>
      <c r="B117" s="1696">
        <v>5799.0</v>
      </c>
      <c r="C117" s="1696" t="s">
        <v>2771</v>
      </c>
      <c r="D117" s="1696" t="s">
        <v>2866</v>
      </c>
    </row>
    <row r="118">
      <c r="A118" s="1696">
        <v>5800.0</v>
      </c>
      <c r="B118" s="1696">
        <v>5899.0</v>
      </c>
      <c r="C118" s="1696" t="s">
        <v>2775</v>
      </c>
      <c r="D118" s="1696" t="s">
        <v>2776</v>
      </c>
    </row>
    <row r="119">
      <c r="A119" s="1696">
        <v>5900.0</v>
      </c>
      <c r="B119" s="1696">
        <v>5999.0</v>
      </c>
      <c r="C119" s="1696" t="s">
        <v>2779</v>
      </c>
      <c r="D119" s="1696" t="s">
        <v>2921</v>
      </c>
    </row>
    <row r="120">
      <c r="A120" s="1696">
        <v>6000.0</v>
      </c>
      <c r="B120" s="1696">
        <v>6099.0</v>
      </c>
      <c r="C120" s="1696" t="s">
        <v>2922</v>
      </c>
      <c r="D120" s="1696" t="s">
        <v>2751</v>
      </c>
    </row>
    <row r="121">
      <c r="A121" s="1696">
        <v>6100.0</v>
      </c>
      <c r="B121" s="1696">
        <v>6149.0</v>
      </c>
      <c r="C121" s="1696" t="s">
        <v>2923</v>
      </c>
      <c r="D121" s="1696" t="s">
        <v>2924</v>
      </c>
    </row>
    <row r="122">
      <c r="A122" s="1696">
        <v>6150.0</v>
      </c>
      <c r="B122" s="1696">
        <v>6174.0</v>
      </c>
      <c r="C122" s="1696" t="s">
        <v>2925</v>
      </c>
      <c r="D122" s="1696" t="s">
        <v>2926</v>
      </c>
    </row>
    <row r="123">
      <c r="A123" s="1696">
        <v>6175.0</v>
      </c>
      <c r="B123" s="1696">
        <v>6199.0</v>
      </c>
      <c r="C123" s="1696" t="s">
        <v>2927</v>
      </c>
      <c r="D123" s="1696" t="s">
        <v>2928</v>
      </c>
    </row>
    <row r="124">
      <c r="A124" s="1696">
        <v>6200.0</v>
      </c>
      <c r="B124" s="1696">
        <v>6299.0</v>
      </c>
      <c r="C124" s="1696" t="s">
        <v>2929</v>
      </c>
      <c r="D124" s="1696" t="s">
        <v>2762</v>
      </c>
    </row>
    <row r="125">
      <c r="A125" s="1696">
        <v>6300.0</v>
      </c>
      <c r="B125" s="1696">
        <v>6399.0</v>
      </c>
      <c r="C125" s="1696" t="s">
        <v>2779</v>
      </c>
      <c r="D125" s="1696" t="s">
        <v>2815</v>
      </c>
    </row>
    <row r="126">
      <c r="A126" s="1696">
        <v>6400.0</v>
      </c>
      <c r="B126" s="1696">
        <v>6499.0</v>
      </c>
      <c r="C126" s="1696" t="s">
        <v>2930</v>
      </c>
      <c r="D126" s="1696" t="s">
        <v>2755</v>
      </c>
    </row>
    <row r="127">
      <c r="A127" s="1696">
        <v>6600.0</v>
      </c>
      <c r="B127" s="1696">
        <v>6699.0</v>
      </c>
      <c r="C127" s="1696" t="s">
        <v>2759</v>
      </c>
      <c r="D127" s="1696" t="s">
        <v>2760</v>
      </c>
    </row>
    <row r="128">
      <c r="A128" s="1696">
        <v>6600.0</v>
      </c>
      <c r="B128" s="1696">
        <v>6630.0</v>
      </c>
      <c r="C128" s="1696" t="s">
        <v>2931</v>
      </c>
      <c r="D128" s="1696" t="s">
        <v>2932</v>
      </c>
    </row>
    <row r="129">
      <c r="A129" s="1696">
        <v>6631.0</v>
      </c>
      <c r="B129" s="1696">
        <v>6659.0</v>
      </c>
      <c r="C129" s="1696" t="s">
        <v>2933</v>
      </c>
      <c r="D129" s="1696" t="s">
        <v>2934</v>
      </c>
    </row>
    <row r="130">
      <c r="A130" s="1696">
        <v>6660.0</v>
      </c>
      <c r="B130" s="1696">
        <v>6689.0</v>
      </c>
      <c r="C130" s="1696" t="s">
        <v>2935</v>
      </c>
      <c r="D130" s="1696" t="s">
        <v>2936</v>
      </c>
    </row>
    <row r="131">
      <c r="A131" s="1696">
        <v>6690.0</v>
      </c>
      <c r="B131" s="1696">
        <v>6699.0</v>
      </c>
      <c r="C131" s="1696" t="s">
        <v>2779</v>
      </c>
      <c r="D131" s="1696" t="s">
        <v>2815</v>
      </c>
    </row>
    <row r="132">
      <c r="A132" s="1696">
        <v>6700.0</v>
      </c>
      <c r="B132" s="1696">
        <v>6719.0</v>
      </c>
      <c r="C132" s="1696" t="s">
        <v>2854</v>
      </c>
      <c r="D132" s="1696" t="s">
        <v>2855</v>
      </c>
    </row>
    <row r="133">
      <c r="A133" s="1696">
        <v>6700.0</v>
      </c>
      <c r="B133" s="1696">
        <v>6719.0</v>
      </c>
      <c r="C133" s="1696" t="s">
        <v>2937</v>
      </c>
      <c r="D133" s="1696" t="s">
        <v>2938</v>
      </c>
    </row>
    <row r="134">
      <c r="A134" s="1696">
        <v>6715.0</v>
      </c>
      <c r="B134" s="1696">
        <v>6799.0</v>
      </c>
      <c r="C134" s="1696" t="s">
        <v>2939</v>
      </c>
      <c r="D134" s="1696" t="s">
        <v>2671</v>
      </c>
    </row>
    <row r="135">
      <c r="A135" s="1696">
        <v>6720.0</v>
      </c>
      <c r="B135" s="1696">
        <v>6739.0</v>
      </c>
      <c r="C135" s="1696" t="s">
        <v>2858</v>
      </c>
      <c r="D135" s="1696" t="s">
        <v>2859</v>
      </c>
    </row>
    <row r="136">
      <c r="A136" s="1696">
        <v>6740.0</v>
      </c>
      <c r="B136" s="1696">
        <v>6759.0</v>
      </c>
      <c r="C136" s="1696" t="s">
        <v>2860</v>
      </c>
      <c r="D136" s="1696" t="s">
        <v>2861</v>
      </c>
    </row>
    <row r="137">
      <c r="A137" s="1696">
        <v>6740.0</v>
      </c>
      <c r="B137" s="1696">
        <v>6759.0</v>
      </c>
      <c r="C137" s="1696" t="s">
        <v>2940</v>
      </c>
      <c r="D137" s="1696" t="s">
        <v>2941</v>
      </c>
    </row>
    <row r="138">
      <c r="A138" s="1696">
        <v>6760.0</v>
      </c>
      <c r="B138" s="1696">
        <v>6779.0</v>
      </c>
      <c r="C138" s="1696" t="s">
        <v>2864</v>
      </c>
      <c r="D138" s="1696" t="s">
        <v>2865</v>
      </c>
    </row>
    <row r="139">
      <c r="A139" s="1696">
        <v>6780.0</v>
      </c>
      <c r="B139" s="1696">
        <v>6799.0</v>
      </c>
      <c r="C139" s="1696" t="s">
        <v>2771</v>
      </c>
      <c r="D139" s="1696" t="s">
        <v>2772</v>
      </c>
    </row>
    <row r="140">
      <c r="A140" s="1696">
        <v>6800.0</v>
      </c>
      <c r="B140" s="1696">
        <v>6899.0</v>
      </c>
      <c r="C140" s="1696" t="s">
        <v>2775</v>
      </c>
      <c r="D140" s="1696" t="s">
        <v>2776</v>
      </c>
    </row>
    <row r="141">
      <c r="A141" s="1696">
        <v>6800.0</v>
      </c>
      <c r="B141" s="1696">
        <v>6809.0</v>
      </c>
      <c r="C141" s="1696" t="s">
        <v>2775</v>
      </c>
      <c r="D141" s="1696" t="s">
        <v>2942</v>
      </c>
    </row>
    <row r="142">
      <c r="A142" s="1696">
        <v>6810.0</v>
      </c>
      <c r="B142" s="1696">
        <v>6814.0</v>
      </c>
      <c r="C142" s="1696" t="s">
        <v>2775</v>
      </c>
      <c r="D142" s="1696" t="s">
        <v>2943</v>
      </c>
    </row>
    <row r="143">
      <c r="A143" s="1696">
        <v>6815.0</v>
      </c>
      <c r="B143" s="1696">
        <v>6816.0</v>
      </c>
      <c r="C143" s="1696" t="s">
        <v>2775</v>
      </c>
      <c r="D143" s="1696" t="s">
        <v>2944</v>
      </c>
    </row>
    <row r="144">
      <c r="A144" s="1696">
        <v>6817.0</v>
      </c>
      <c r="B144" s="1696">
        <v>6819.0</v>
      </c>
      <c r="C144" s="1696" t="s">
        <v>2775</v>
      </c>
      <c r="D144" s="1696" t="s">
        <v>2945</v>
      </c>
    </row>
    <row r="145">
      <c r="A145" s="1696">
        <v>6820.0</v>
      </c>
      <c r="B145" s="1696">
        <v>6829.0</v>
      </c>
      <c r="C145" s="1696" t="s">
        <v>2775</v>
      </c>
      <c r="D145" s="1696" t="s">
        <v>2946</v>
      </c>
    </row>
    <row r="146">
      <c r="A146" s="1696">
        <v>6840.0</v>
      </c>
      <c r="B146" s="1696">
        <v>6849.0</v>
      </c>
      <c r="C146" s="1696" t="s">
        <v>2775</v>
      </c>
      <c r="D146" s="1696" t="s">
        <v>2947</v>
      </c>
    </row>
    <row r="147">
      <c r="A147" s="1696">
        <v>6860.0</v>
      </c>
      <c r="B147" s="1696">
        <v>6899.0</v>
      </c>
      <c r="C147" s="1696" t="s">
        <v>2775</v>
      </c>
      <c r="D147" s="1696" t="s">
        <v>2948</v>
      </c>
    </row>
    <row r="148">
      <c r="A148" s="1696">
        <v>6900.0</v>
      </c>
      <c r="B148" s="1696">
        <v>6999.0</v>
      </c>
      <c r="C148" s="1696" t="s">
        <v>2779</v>
      </c>
      <c r="D148" s="1696" t="s">
        <v>2815</v>
      </c>
    </row>
    <row r="149">
      <c r="A149" s="1696">
        <v>9100.0</v>
      </c>
      <c r="B149" s="1696">
        <v>9109.0</v>
      </c>
      <c r="C149" s="1696" t="s">
        <v>2949</v>
      </c>
      <c r="D149" s="1696" t="s">
        <v>2950</v>
      </c>
    </row>
    <row r="150">
      <c r="A150" s="1696">
        <v>9110.0</v>
      </c>
      <c r="B150" s="1696">
        <v>9117.0</v>
      </c>
      <c r="C150" s="1696" t="s">
        <v>2704</v>
      </c>
      <c r="D150" s="1696" t="s">
        <v>2951</v>
      </c>
    </row>
    <row r="151">
      <c r="A151" s="1696">
        <v>9118.0</v>
      </c>
      <c r="B151" s="1696">
        <v>9119.0</v>
      </c>
      <c r="C151" s="1696" t="s">
        <v>2704</v>
      </c>
      <c r="D151" s="1696" t="s">
        <v>2952</v>
      </c>
    </row>
    <row r="152">
      <c r="A152" s="1696">
        <v>9120.0</v>
      </c>
      <c r="B152" s="1696">
        <v>9127.0</v>
      </c>
      <c r="C152" s="1696" t="s">
        <v>2709</v>
      </c>
      <c r="D152" s="1696" t="s">
        <v>2953</v>
      </c>
    </row>
    <row r="153">
      <c r="A153" s="1696">
        <v>9128.0</v>
      </c>
      <c r="B153" s="1696">
        <v>9129.0</v>
      </c>
      <c r="C153" s="1696" t="s">
        <v>2709</v>
      </c>
      <c r="D153" s="1696" t="s">
        <v>2954</v>
      </c>
    </row>
    <row r="154">
      <c r="A154" s="1696">
        <v>9130.0</v>
      </c>
      <c r="B154" s="1696">
        <v>9137.0</v>
      </c>
      <c r="C154" s="1696" t="s">
        <v>2713</v>
      </c>
      <c r="D154" s="1696" t="s">
        <v>2955</v>
      </c>
    </row>
    <row r="155">
      <c r="A155" s="1696">
        <v>9138.0</v>
      </c>
      <c r="B155" s="1696">
        <v>9139.0</v>
      </c>
      <c r="C155" s="1696" t="s">
        <v>2713</v>
      </c>
      <c r="D155" s="1696" t="s">
        <v>2956</v>
      </c>
    </row>
    <row r="156">
      <c r="A156" s="1696">
        <v>9140.0</v>
      </c>
      <c r="B156" s="1696">
        <v>9147.0</v>
      </c>
      <c r="C156" s="1696" t="s">
        <v>2713</v>
      </c>
      <c r="D156" s="1696" t="s">
        <v>2957</v>
      </c>
    </row>
    <row r="157">
      <c r="A157" s="1696">
        <v>9148.0</v>
      </c>
      <c r="B157" s="1696">
        <v>9149.0</v>
      </c>
      <c r="C157" s="1696" t="s">
        <v>2713</v>
      </c>
      <c r="D157" s="1696" t="s">
        <v>2957</v>
      </c>
    </row>
    <row r="158">
      <c r="A158" s="1696">
        <v>9150.0</v>
      </c>
      <c r="B158" s="1696">
        <v>9151.0</v>
      </c>
      <c r="C158" s="1696" t="s">
        <v>942</v>
      </c>
      <c r="D158" s="1696" t="s">
        <v>2958</v>
      </c>
    </row>
    <row r="159">
      <c r="A159" s="1696">
        <v>9152.0</v>
      </c>
      <c r="B159" s="1696">
        <v>9159.0</v>
      </c>
      <c r="C159" s="1696" t="s">
        <v>2779</v>
      </c>
      <c r="D159" s="1696" t="s">
        <v>2959</v>
      </c>
    </row>
    <row r="160">
      <c r="A160" s="1696">
        <v>9160.0</v>
      </c>
      <c r="B160" s="1696">
        <v>9167.0</v>
      </c>
      <c r="C160" s="1696" t="s">
        <v>2717</v>
      </c>
      <c r="D160" s="1696" t="s">
        <v>2960</v>
      </c>
    </row>
    <row r="161">
      <c r="A161" s="1696">
        <v>9168.0</v>
      </c>
      <c r="B161" s="1696">
        <v>9169.0</v>
      </c>
      <c r="C161" s="1696" t="s">
        <v>2717</v>
      </c>
      <c r="D161" s="1696" t="s">
        <v>2961</v>
      </c>
    </row>
    <row r="162">
      <c r="A162" s="1696">
        <v>9170.0</v>
      </c>
      <c r="B162" s="1696">
        <v>9171.0</v>
      </c>
      <c r="C162" s="1696" t="s">
        <v>2704</v>
      </c>
      <c r="D162" s="1696" t="s">
        <v>2962</v>
      </c>
    </row>
    <row r="163">
      <c r="A163" s="1696">
        <v>9170.0</v>
      </c>
      <c r="B163" s="1696">
        <v>9177.0</v>
      </c>
      <c r="C163" s="1696" t="s">
        <v>2721</v>
      </c>
      <c r="D163" s="1696" t="s">
        <v>2963</v>
      </c>
    </row>
    <row r="164">
      <c r="A164" s="1696">
        <v>9178.0</v>
      </c>
      <c r="B164" s="1696">
        <v>9179.0</v>
      </c>
      <c r="C164" s="1696" t="s">
        <v>2721</v>
      </c>
      <c r="D164" s="1696" t="s">
        <v>2964</v>
      </c>
    </row>
    <row r="165">
      <c r="A165" s="1696">
        <v>9180.0</v>
      </c>
      <c r="B165" s="1696">
        <v>9183.0</v>
      </c>
      <c r="C165" s="1696" t="s">
        <v>2713</v>
      </c>
      <c r="D165" s="1696" t="s">
        <v>2965</v>
      </c>
    </row>
    <row r="166">
      <c r="A166" s="1696">
        <v>9184.0</v>
      </c>
      <c r="B166" s="1696">
        <v>9187.0</v>
      </c>
      <c r="C166" s="1696" t="s">
        <v>2709</v>
      </c>
      <c r="D166" s="1696" t="s">
        <v>2966</v>
      </c>
    </row>
    <row r="167">
      <c r="A167" s="1696">
        <v>9188.0</v>
      </c>
      <c r="B167" s="1696">
        <v>9199.0</v>
      </c>
      <c r="C167" s="1696" t="s">
        <v>2721</v>
      </c>
      <c r="D167" s="1696" t="s">
        <v>2967</v>
      </c>
    </row>
    <row r="168">
      <c r="A168" s="1696">
        <v>9192.0</v>
      </c>
      <c r="B168" s="1696">
        <v>9193.0</v>
      </c>
      <c r="C168" s="1696" t="s">
        <v>2709</v>
      </c>
      <c r="D168" s="1696" t="s">
        <v>2968</v>
      </c>
    </row>
    <row r="169">
      <c r="A169" s="1696">
        <v>9194.0</v>
      </c>
      <c r="B169" s="1696">
        <v>9195.0</v>
      </c>
      <c r="C169" s="1696" t="s">
        <v>2704</v>
      </c>
      <c r="D169" s="1696" t="s">
        <v>2706</v>
      </c>
    </row>
    <row r="170">
      <c r="A170" s="1696">
        <v>9196.0</v>
      </c>
      <c r="B170" s="1696">
        <v>9199.0</v>
      </c>
      <c r="C170" s="1696" t="s">
        <v>2949</v>
      </c>
      <c r="D170" s="1696" t="s">
        <v>2969</v>
      </c>
    </row>
    <row r="171">
      <c r="A171" s="1696">
        <v>9200.0</v>
      </c>
      <c r="B171" s="1696">
        <v>9209.0</v>
      </c>
      <c r="C171" s="1696" t="s">
        <v>2949</v>
      </c>
      <c r="D171" s="1696" t="s">
        <v>2751</v>
      </c>
    </row>
    <row r="172">
      <c r="A172" s="1696">
        <v>9210.0</v>
      </c>
      <c r="B172" s="1696">
        <v>9217.0</v>
      </c>
      <c r="C172" s="1696" t="s">
        <v>2725</v>
      </c>
      <c r="D172" s="1696" t="s">
        <v>2970</v>
      </c>
    </row>
    <row r="173">
      <c r="A173" s="1696">
        <v>9218.0</v>
      </c>
      <c r="B173" s="1696">
        <v>9219.0</v>
      </c>
      <c r="C173" s="1696" t="s">
        <v>2725</v>
      </c>
      <c r="D173" s="1696" t="s">
        <v>2971</v>
      </c>
    </row>
    <row r="174">
      <c r="A174" s="1696">
        <v>9220.0</v>
      </c>
      <c r="B174" s="1696">
        <v>9227.0</v>
      </c>
      <c r="C174" s="1696" t="s">
        <v>2729</v>
      </c>
      <c r="D174" s="1696" t="s">
        <v>2972</v>
      </c>
    </row>
    <row r="175">
      <c r="A175" s="1696">
        <v>9228.0</v>
      </c>
      <c r="B175" s="1696">
        <v>9229.0</v>
      </c>
      <c r="C175" s="1696" t="s">
        <v>2729</v>
      </c>
      <c r="D175" s="1696" t="s">
        <v>2973</v>
      </c>
    </row>
    <row r="176">
      <c r="A176" s="1696">
        <v>9230.0</v>
      </c>
      <c r="B176" s="1696">
        <v>9237.0</v>
      </c>
      <c r="C176" s="1696" t="s">
        <v>2733</v>
      </c>
      <c r="D176" s="1696" t="s">
        <v>2974</v>
      </c>
    </row>
    <row r="177">
      <c r="A177" s="1696">
        <v>9238.0</v>
      </c>
      <c r="B177" s="1696">
        <v>9239.0</v>
      </c>
      <c r="C177" s="1696" t="s">
        <v>2733</v>
      </c>
      <c r="D177" s="1696" t="s">
        <v>2975</v>
      </c>
    </row>
    <row r="178">
      <c r="A178" s="1696">
        <v>9240.0</v>
      </c>
      <c r="B178" s="1696">
        <v>9247.0</v>
      </c>
      <c r="C178" s="1696" t="s">
        <v>2737</v>
      </c>
      <c r="D178" s="1696" t="s">
        <v>2976</v>
      </c>
    </row>
    <row r="179">
      <c r="A179" s="1696">
        <v>9248.0</v>
      </c>
      <c r="B179" s="1696">
        <v>9249.0</v>
      </c>
      <c r="C179" s="1696" t="s">
        <v>2737</v>
      </c>
      <c r="D179" s="1696" t="s">
        <v>2977</v>
      </c>
    </row>
    <row r="180">
      <c r="A180" s="1696">
        <v>9250.0</v>
      </c>
      <c r="B180" s="1696">
        <v>9257.0</v>
      </c>
      <c r="C180" s="1696" t="s">
        <v>2741</v>
      </c>
      <c r="D180" s="1696" t="s">
        <v>2978</v>
      </c>
    </row>
    <row r="181">
      <c r="A181" s="1696">
        <v>9258.0</v>
      </c>
      <c r="B181" s="1696">
        <v>9259.0</v>
      </c>
      <c r="C181" s="1696" t="s">
        <v>2741</v>
      </c>
      <c r="D181" s="1696" t="s">
        <v>2979</v>
      </c>
    </row>
    <row r="182">
      <c r="A182" s="1696">
        <v>9260.0</v>
      </c>
      <c r="B182" s="1696">
        <v>9267.0</v>
      </c>
      <c r="C182" s="1696" t="s">
        <v>2745</v>
      </c>
      <c r="D182" s="1696" t="s">
        <v>2980</v>
      </c>
    </row>
    <row r="183">
      <c r="A183" s="1696">
        <v>9268.0</v>
      </c>
      <c r="B183" s="1696">
        <v>9269.0</v>
      </c>
      <c r="C183" s="1696" t="s">
        <v>2745</v>
      </c>
      <c r="D183" s="1696" t="s">
        <v>2981</v>
      </c>
    </row>
    <row r="184">
      <c r="A184" s="1696">
        <v>9270.0</v>
      </c>
      <c r="B184" s="1696">
        <v>9271.0</v>
      </c>
      <c r="C184" s="1696" t="s">
        <v>2725</v>
      </c>
      <c r="D184" s="1696" t="s">
        <v>2982</v>
      </c>
    </row>
    <row r="185">
      <c r="A185" s="1696">
        <v>9272.0</v>
      </c>
      <c r="B185" s="1696">
        <v>9273.0</v>
      </c>
      <c r="C185" s="1696" t="s">
        <v>2949</v>
      </c>
      <c r="D185" s="1696" t="s">
        <v>2751</v>
      </c>
    </row>
    <row r="186">
      <c r="A186" s="1696">
        <v>9274.0</v>
      </c>
      <c r="B186" s="1696">
        <v>9275.0</v>
      </c>
      <c r="C186" s="1696" t="s">
        <v>2741</v>
      </c>
      <c r="D186" s="1696" t="s">
        <v>2983</v>
      </c>
    </row>
    <row r="187">
      <c r="A187" s="1696">
        <v>9276.0</v>
      </c>
      <c r="B187" s="1696">
        <v>9277.0</v>
      </c>
      <c r="C187" s="1696" t="s">
        <v>2729</v>
      </c>
      <c r="D187" s="1696" t="s">
        <v>2984</v>
      </c>
    </row>
    <row r="188">
      <c r="A188" s="1696">
        <v>9278.0</v>
      </c>
      <c r="B188" s="1696">
        <v>9279.0</v>
      </c>
      <c r="C188" s="1696" t="s">
        <v>2733</v>
      </c>
      <c r="D188" s="1696" t="s">
        <v>2985</v>
      </c>
    </row>
    <row r="189">
      <c r="A189" s="1696">
        <v>9280.0</v>
      </c>
      <c r="B189" s="1696">
        <v>9281.0</v>
      </c>
      <c r="C189" s="1696" t="s">
        <v>2745</v>
      </c>
      <c r="D189" s="1696" t="s">
        <v>2986</v>
      </c>
    </row>
    <row r="190">
      <c r="A190" s="1696">
        <v>9282.0</v>
      </c>
      <c r="B190" s="1696">
        <v>9283.0</v>
      </c>
      <c r="C190" s="1696" t="s">
        <v>2729</v>
      </c>
      <c r="D190" s="1696" t="s">
        <v>2987</v>
      </c>
    </row>
    <row r="191">
      <c r="A191" s="1696">
        <v>9284.0</v>
      </c>
      <c r="B191" s="1696">
        <v>9285.0</v>
      </c>
      <c r="C191" s="1696" t="s">
        <v>2741</v>
      </c>
      <c r="D191" s="1696" t="s">
        <v>2988</v>
      </c>
    </row>
    <row r="192">
      <c r="A192" s="1696">
        <v>9286.0</v>
      </c>
      <c r="B192" s="1696">
        <v>9289.0</v>
      </c>
      <c r="C192" s="1696" t="s">
        <v>2737</v>
      </c>
      <c r="D192" s="1696" t="s">
        <v>2989</v>
      </c>
    </row>
    <row r="193">
      <c r="A193" s="1696">
        <v>9290.0</v>
      </c>
      <c r="B193" s="1696">
        <v>9291.0</v>
      </c>
      <c r="C193" s="1696" t="s">
        <v>2741</v>
      </c>
      <c r="D193" s="1696" t="s">
        <v>2988</v>
      </c>
    </row>
    <row r="194">
      <c r="A194" s="1696">
        <v>9292.0</v>
      </c>
      <c r="B194" s="1696">
        <v>9293.0</v>
      </c>
      <c r="C194" s="1696" t="s">
        <v>2729</v>
      </c>
      <c r="D194" s="1696" t="s">
        <v>2987</v>
      </c>
    </row>
    <row r="195">
      <c r="A195" s="1696">
        <v>9294.0</v>
      </c>
      <c r="B195" s="1696">
        <v>9297.0</v>
      </c>
      <c r="C195" s="1696" t="s">
        <v>2949</v>
      </c>
      <c r="D195" s="1696" t="s">
        <v>2751</v>
      </c>
    </row>
    <row r="196">
      <c r="A196" s="1696">
        <v>9300.0</v>
      </c>
      <c r="B196" s="1696">
        <v>9309.0</v>
      </c>
      <c r="C196" s="1696" t="s">
        <v>2990</v>
      </c>
      <c r="D196" s="1696" t="s">
        <v>2991</v>
      </c>
    </row>
    <row r="197">
      <c r="A197" s="1696">
        <v>9310.0</v>
      </c>
      <c r="B197" s="1696">
        <v>9317.0</v>
      </c>
      <c r="C197" s="1696" t="s">
        <v>2749</v>
      </c>
      <c r="D197" s="1696" t="s">
        <v>2992</v>
      </c>
    </row>
    <row r="198">
      <c r="A198" s="1696">
        <v>9318.0</v>
      </c>
      <c r="B198" s="1696">
        <v>9319.0</v>
      </c>
      <c r="C198" s="1696" t="s">
        <v>2749</v>
      </c>
      <c r="D198" s="1696" t="s">
        <v>2993</v>
      </c>
    </row>
    <row r="199">
      <c r="A199" s="1696">
        <v>9320.0</v>
      </c>
      <c r="B199" s="1696">
        <v>9322.0</v>
      </c>
      <c r="C199" s="1696" t="s">
        <v>2747</v>
      </c>
      <c r="D199" s="1696" t="s">
        <v>2748</v>
      </c>
    </row>
    <row r="200">
      <c r="A200" s="1696">
        <v>9323.0</v>
      </c>
      <c r="B200" s="1696">
        <v>9329.0</v>
      </c>
      <c r="C200" s="1696" t="s">
        <v>2756</v>
      </c>
      <c r="D200" s="1696" t="s">
        <v>2994</v>
      </c>
    </row>
    <row r="201">
      <c r="A201" s="1696">
        <v>9330.0</v>
      </c>
      <c r="B201" s="1696">
        <v>9337.0</v>
      </c>
      <c r="C201" s="1696" t="s">
        <v>2754</v>
      </c>
      <c r="D201" s="1696" t="s">
        <v>2995</v>
      </c>
    </row>
    <row r="202">
      <c r="A202" s="1696">
        <v>9338.0</v>
      </c>
      <c r="B202" s="1696">
        <v>9339.0</v>
      </c>
      <c r="C202" s="1696" t="s">
        <v>2754</v>
      </c>
      <c r="D202" s="1696" t="s">
        <v>2996</v>
      </c>
    </row>
    <row r="203">
      <c r="A203" s="1696">
        <v>9340.0</v>
      </c>
      <c r="B203" s="1696">
        <v>9347.0</v>
      </c>
      <c r="C203" s="1696" t="s">
        <v>2758</v>
      </c>
      <c r="D203" s="1696" t="s">
        <v>2997</v>
      </c>
    </row>
    <row r="204">
      <c r="A204" s="1696">
        <v>9348.0</v>
      </c>
      <c r="B204" s="1696">
        <v>9349.0</v>
      </c>
      <c r="C204" s="1696" t="s">
        <v>2758</v>
      </c>
      <c r="D204" s="1696" t="s">
        <v>2998</v>
      </c>
    </row>
    <row r="205">
      <c r="A205" s="1696">
        <v>9350.0</v>
      </c>
      <c r="B205" s="1696">
        <v>9357.0</v>
      </c>
      <c r="C205" s="1696" t="s">
        <v>2761</v>
      </c>
      <c r="D205" s="1696" t="s">
        <v>2999</v>
      </c>
    </row>
    <row r="206">
      <c r="A206" s="1696">
        <v>9358.0</v>
      </c>
      <c r="B206" s="1696">
        <v>9359.0</v>
      </c>
      <c r="C206" s="1696" t="s">
        <v>2761</v>
      </c>
      <c r="D206" s="1696" t="s">
        <v>3000</v>
      </c>
    </row>
    <row r="207">
      <c r="A207" s="1696">
        <v>9360.0</v>
      </c>
      <c r="B207" s="1696">
        <v>9369.0</v>
      </c>
      <c r="C207" s="1696" t="s">
        <v>2990</v>
      </c>
      <c r="D207" s="1696" t="s">
        <v>3001</v>
      </c>
    </row>
    <row r="208">
      <c r="A208" s="1696">
        <v>9370.0</v>
      </c>
      <c r="B208" s="1696">
        <v>9373.0</v>
      </c>
      <c r="C208" s="1696" t="s">
        <v>2761</v>
      </c>
      <c r="D208" s="1696" t="s">
        <v>3002</v>
      </c>
    </row>
    <row r="209">
      <c r="A209" s="1696">
        <v>9374.0</v>
      </c>
      <c r="B209" s="1696">
        <v>9375.0</v>
      </c>
      <c r="C209" s="1696" t="s">
        <v>2749</v>
      </c>
      <c r="D209" s="1696" t="s">
        <v>2969</v>
      </c>
    </row>
    <row r="210">
      <c r="A210" s="1696">
        <v>9376.0</v>
      </c>
      <c r="B210" s="1696">
        <v>9379.0</v>
      </c>
      <c r="C210" s="1696" t="s">
        <v>2754</v>
      </c>
      <c r="D210" s="1696" t="s">
        <v>3003</v>
      </c>
    </row>
    <row r="211">
      <c r="A211" s="1696">
        <v>9380.0</v>
      </c>
      <c r="B211" s="1696">
        <v>9381.0</v>
      </c>
      <c r="C211" s="1696" t="s">
        <v>2990</v>
      </c>
      <c r="D211" s="1696" t="s">
        <v>3004</v>
      </c>
    </row>
    <row r="212">
      <c r="A212" s="1696">
        <v>9382.0</v>
      </c>
      <c r="B212" s="1696">
        <v>9383.0</v>
      </c>
      <c r="C212" s="1696" t="s">
        <v>2749</v>
      </c>
      <c r="D212" s="1696" t="s">
        <v>2751</v>
      </c>
    </row>
    <row r="213">
      <c r="A213" s="1696">
        <v>9384.0</v>
      </c>
      <c r="B213" s="1696">
        <v>9385.0</v>
      </c>
      <c r="C213" s="1696" t="s">
        <v>2761</v>
      </c>
      <c r="D213" s="1696" t="s">
        <v>2762</v>
      </c>
    </row>
    <row r="214">
      <c r="A214" s="1696">
        <v>9386.0</v>
      </c>
      <c r="B214" s="1696">
        <v>9387.0</v>
      </c>
      <c r="C214" s="1696" t="s">
        <v>2754</v>
      </c>
      <c r="D214" s="1696" t="s">
        <v>2755</v>
      </c>
    </row>
    <row r="215">
      <c r="A215" s="1696">
        <v>9388.0</v>
      </c>
      <c r="B215" s="1696">
        <v>9389.0</v>
      </c>
      <c r="C215" s="1696" t="s">
        <v>2761</v>
      </c>
      <c r="D215" s="1696" t="s">
        <v>2762</v>
      </c>
    </row>
    <row r="216">
      <c r="A216" s="1696">
        <v>9390.0</v>
      </c>
      <c r="B216" s="1696">
        <v>9391.0</v>
      </c>
      <c r="C216" s="1696" t="s">
        <v>2749</v>
      </c>
      <c r="D216" s="1696" t="s">
        <v>2751</v>
      </c>
    </row>
    <row r="217">
      <c r="A217" s="1696">
        <v>9392.0</v>
      </c>
      <c r="B217" s="1696">
        <v>9393.0</v>
      </c>
      <c r="C217" s="1696" t="s">
        <v>2754</v>
      </c>
      <c r="D217" s="1696" t="s">
        <v>2755</v>
      </c>
    </row>
    <row r="218">
      <c r="A218" s="1696">
        <v>9394.0</v>
      </c>
      <c r="B218" s="1696">
        <v>9399.0</v>
      </c>
      <c r="C218" s="1696" t="s">
        <v>2758</v>
      </c>
      <c r="D218" s="1696" t="s">
        <v>3005</v>
      </c>
    </row>
    <row r="219">
      <c r="A219" s="1696">
        <v>9400.0</v>
      </c>
      <c r="B219" s="1696">
        <v>9409.0</v>
      </c>
      <c r="C219" s="1696" t="s">
        <v>2765</v>
      </c>
      <c r="D219" s="1696" t="s">
        <v>3006</v>
      </c>
    </row>
    <row r="220">
      <c r="A220" s="1696">
        <v>9410.0</v>
      </c>
      <c r="B220" s="1696">
        <v>9447.0</v>
      </c>
      <c r="C220" s="1696" t="s">
        <v>2765</v>
      </c>
      <c r="D220" s="1696" t="s">
        <v>3007</v>
      </c>
    </row>
    <row r="221">
      <c r="A221" s="1696">
        <v>9418.0</v>
      </c>
      <c r="B221" s="1696">
        <v>9419.0</v>
      </c>
      <c r="C221" s="1696" t="s">
        <v>2765</v>
      </c>
      <c r="D221" s="1696" t="s">
        <v>3008</v>
      </c>
    </row>
    <row r="222">
      <c r="A222" s="1696">
        <v>9420.0</v>
      </c>
      <c r="B222" s="1696">
        <v>9427.0</v>
      </c>
      <c r="C222" s="1696" t="s">
        <v>2769</v>
      </c>
      <c r="D222" s="1696" t="s">
        <v>3009</v>
      </c>
    </row>
    <row r="223">
      <c r="A223" s="1696">
        <v>9428.0</v>
      </c>
      <c r="B223" s="1696">
        <v>9429.0</v>
      </c>
      <c r="C223" s="1696" t="s">
        <v>2769</v>
      </c>
      <c r="D223" s="1696" t="s">
        <v>3010</v>
      </c>
    </row>
    <row r="224">
      <c r="A224" s="1696">
        <v>9430.0</v>
      </c>
      <c r="B224" s="1696">
        <v>9437.0</v>
      </c>
      <c r="C224" s="1696" t="s">
        <v>2773</v>
      </c>
      <c r="D224" s="1696" t="s">
        <v>3011</v>
      </c>
    </row>
    <row r="225">
      <c r="A225" s="1696">
        <v>9438.0</v>
      </c>
      <c r="B225" s="1696">
        <v>9439.0</v>
      </c>
      <c r="C225" s="1696" t="s">
        <v>2773</v>
      </c>
      <c r="D225" s="1696" t="s">
        <v>3012</v>
      </c>
    </row>
    <row r="226">
      <c r="A226" s="1696">
        <v>9440.0</v>
      </c>
      <c r="B226" s="1696">
        <v>9447.0</v>
      </c>
      <c r="C226" s="1696" t="s">
        <v>2777</v>
      </c>
      <c r="D226" s="1696" t="s">
        <v>3013</v>
      </c>
    </row>
    <row r="227">
      <c r="A227" s="1696">
        <v>9448.0</v>
      </c>
      <c r="B227" s="1696">
        <v>9449.0</v>
      </c>
      <c r="C227" s="1696" t="s">
        <v>2777</v>
      </c>
      <c r="D227" s="1696" t="s">
        <v>3014</v>
      </c>
    </row>
    <row r="228">
      <c r="A228" s="1696">
        <v>9450.0</v>
      </c>
      <c r="B228" s="1696">
        <v>9457.0</v>
      </c>
      <c r="C228" s="1696" t="s">
        <v>2781</v>
      </c>
      <c r="D228" s="1696" t="s">
        <v>3015</v>
      </c>
    </row>
    <row r="229">
      <c r="A229" s="1696">
        <v>9458.0</v>
      </c>
      <c r="B229" s="1696">
        <v>9459.0</v>
      </c>
      <c r="C229" s="1696" t="s">
        <v>2781</v>
      </c>
      <c r="D229" s="1696" t="s">
        <v>3016</v>
      </c>
    </row>
    <row r="230">
      <c r="A230" s="1696">
        <v>9460.0</v>
      </c>
      <c r="B230" s="1696">
        <v>9467.0</v>
      </c>
      <c r="C230" s="1696" t="s">
        <v>2785</v>
      </c>
      <c r="D230" s="1696" t="s">
        <v>3017</v>
      </c>
    </row>
    <row r="231">
      <c r="A231" s="1696">
        <v>9468.0</v>
      </c>
      <c r="B231" s="1696">
        <v>9469.0</v>
      </c>
      <c r="C231" s="1696" t="s">
        <v>2785</v>
      </c>
      <c r="D231" s="1696" t="s">
        <v>3018</v>
      </c>
    </row>
    <row r="232">
      <c r="A232" s="1696">
        <v>9470.0</v>
      </c>
      <c r="B232" s="1696">
        <v>9471.0</v>
      </c>
      <c r="C232" s="1696" t="s">
        <v>2769</v>
      </c>
      <c r="D232" s="1696" t="s">
        <v>3019</v>
      </c>
    </row>
    <row r="233">
      <c r="A233" s="1696">
        <v>9472.0</v>
      </c>
      <c r="B233" s="1696">
        <v>9473.0</v>
      </c>
      <c r="C233" s="1696" t="s">
        <v>2765</v>
      </c>
      <c r="D233" s="1696" t="s">
        <v>3006</v>
      </c>
    </row>
    <row r="234">
      <c r="A234" s="1696">
        <v>9474.0</v>
      </c>
      <c r="B234" s="1696">
        <v>9475.0</v>
      </c>
      <c r="C234" s="1696" t="s">
        <v>2773</v>
      </c>
      <c r="D234" s="1696" t="s">
        <v>3020</v>
      </c>
    </row>
    <row r="235">
      <c r="A235" s="1696">
        <v>9476.0</v>
      </c>
      <c r="B235" s="1696">
        <v>9477.0</v>
      </c>
      <c r="C235" s="1696" t="s">
        <v>2777</v>
      </c>
      <c r="D235" s="1696" t="s">
        <v>3021</v>
      </c>
    </row>
    <row r="236">
      <c r="A236" s="1696">
        <v>9478.0</v>
      </c>
      <c r="B236" s="1696">
        <v>9479.0</v>
      </c>
      <c r="C236" s="1696" t="s">
        <v>2990</v>
      </c>
      <c r="D236" s="1696" t="s">
        <v>3004</v>
      </c>
    </row>
    <row r="237">
      <c r="A237" s="1696">
        <v>9480.0</v>
      </c>
      <c r="B237" s="1696">
        <v>9481.0</v>
      </c>
      <c r="C237" s="1696" t="s">
        <v>2777</v>
      </c>
      <c r="D237" s="1696" t="s">
        <v>3022</v>
      </c>
    </row>
    <row r="238">
      <c r="A238" s="1696">
        <v>9482.0</v>
      </c>
      <c r="B238" s="1696">
        <v>9485.0</v>
      </c>
      <c r="C238" s="1696" t="s">
        <v>2781</v>
      </c>
      <c r="D238" s="1696" t="s">
        <v>3023</v>
      </c>
    </row>
    <row r="239">
      <c r="A239" s="1696">
        <v>9486.0</v>
      </c>
      <c r="B239" s="1696">
        <v>9487.0</v>
      </c>
      <c r="C239" s="1696" t="s">
        <v>2990</v>
      </c>
      <c r="D239" s="1696" t="s">
        <v>3004</v>
      </c>
    </row>
    <row r="240">
      <c r="A240" s="1696">
        <v>9488.0</v>
      </c>
      <c r="B240" s="1696">
        <v>9489.0</v>
      </c>
      <c r="C240" s="1696" t="s">
        <v>2785</v>
      </c>
      <c r="D240" s="1696" t="s">
        <v>3024</v>
      </c>
    </row>
    <row r="241">
      <c r="A241" s="41">
        <v>9999.0</v>
      </c>
      <c r="B241" s="41">
        <v>9999.0</v>
      </c>
      <c r="C241" s="41" t="s">
        <v>2779</v>
      </c>
      <c r="D241" s="41" t="s">
        <v>3025</v>
      </c>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97" t="s">
        <v>3026</v>
      </c>
      <c r="B1" s="165"/>
      <c r="C1" s="165"/>
      <c r="D1" s="165"/>
      <c r="E1" s="165"/>
      <c r="F1" s="165"/>
      <c r="G1" s="165"/>
      <c r="H1" s="165"/>
      <c r="I1" s="165"/>
      <c r="J1" s="210"/>
    </row>
    <row r="2">
      <c r="A2" s="104"/>
      <c r="B2" s="77"/>
      <c r="C2" s="77"/>
      <c r="D2" s="77"/>
      <c r="E2" s="77"/>
      <c r="F2" s="77"/>
      <c r="G2" s="77"/>
      <c r="H2" s="77"/>
      <c r="I2" s="77"/>
      <c r="J2" s="55"/>
    </row>
    <row r="3">
      <c r="A3" s="1698" t="s">
        <v>3027</v>
      </c>
      <c r="B3" s="74"/>
      <c r="C3" s="74"/>
      <c r="D3" s="74"/>
      <c r="E3" s="74"/>
      <c r="F3" s="74"/>
      <c r="G3" s="74"/>
      <c r="H3" s="74"/>
      <c r="I3" s="74"/>
      <c r="J3" s="45"/>
    </row>
    <row r="4">
      <c r="A4" s="1699" t="s">
        <v>3028</v>
      </c>
    </row>
    <row r="5">
      <c r="A5" s="1699" t="s">
        <v>3029</v>
      </c>
    </row>
    <row r="6">
      <c r="A6" s="1700"/>
      <c r="B6" s="1700"/>
      <c r="C6" s="1700"/>
      <c r="D6" s="1700"/>
      <c r="E6" s="1700"/>
      <c r="F6" s="1700"/>
      <c r="G6" s="1700"/>
      <c r="H6" s="1700"/>
      <c r="I6" s="1700"/>
      <c r="J6" s="1700"/>
    </row>
    <row r="7">
      <c r="A7" s="1701" t="s">
        <v>3030</v>
      </c>
    </row>
    <row r="8">
      <c r="A8" s="1699" t="s">
        <v>3031</v>
      </c>
    </row>
    <row r="9">
      <c r="A9" s="1702" t="s">
        <v>3032</v>
      </c>
    </row>
    <row r="10">
      <c r="A10" s="1702" t="s">
        <v>3033</v>
      </c>
    </row>
    <row r="11">
      <c r="A11" s="1703" t="s">
        <v>3034</v>
      </c>
    </row>
    <row r="12">
      <c r="A12" s="1702" t="s">
        <v>3035</v>
      </c>
    </row>
    <row r="13">
      <c r="A13" s="1701" t="s">
        <v>3036</v>
      </c>
    </row>
    <row r="14">
      <c r="A14" s="1702" t="s">
        <v>3037</v>
      </c>
    </row>
    <row r="15">
      <c r="A15" s="1702" t="s">
        <v>3038</v>
      </c>
    </row>
    <row r="16">
      <c r="A16" s="1702" t="s">
        <v>3039</v>
      </c>
    </row>
    <row r="17">
      <c r="A17" s="1702" t="s">
        <v>3040</v>
      </c>
    </row>
    <row r="18">
      <c r="A18" s="1704" t="s">
        <v>3041</v>
      </c>
    </row>
    <row r="19">
      <c r="A19" s="1704" t="s">
        <v>3042</v>
      </c>
    </row>
    <row r="20">
      <c r="A20" s="1704" t="s">
        <v>3043</v>
      </c>
    </row>
    <row r="21">
      <c r="A21" s="1701" t="s">
        <v>3044</v>
      </c>
    </row>
    <row r="22">
      <c r="A22" s="1702" t="s">
        <v>3045</v>
      </c>
    </row>
    <row r="23">
      <c r="A23" s="1702" t="s">
        <v>3046</v>
      </c>
    </row>
    <row r="24">
      <c r="A24" s="1702" t="s">
        <v>3047</v>
      </c>
    </row>
    <row r="25">
      <c r="A25" s="1701" t="s">
        <v>3048</v>
      </c>
    </row>
    <row r="26">
      <c r="A26" s="1702" t="s">
        <v>3049</v>
      </c>
    </row>
    <row r="27">
      <c r="A27" s="1702" t="s">
        <v>3050</v>
      </c>
    </row>
    <row r="28">
      <c r="A28" s="1702" t="s">
        <v>3051</v>
      </c>
    </row>
    <row r="29">
      <c r="A29" s="1702" t="s">
        <v>3052</v>
      </c>
    </row>
    <row r="30">
      <c r="A30" s="1702" t="s">
        <v>3053</v>
      </c>
    </row>
    <row r="31">
      <c r="A31" s="1702" t="s">
        <v>3054</v>
      </c>
    </row>
    <row r="32">
      <c r="A32" s="1702" t="s">
        <v>3055</v>
      </c>
    </row>
    <row r="33">
      <c r="A33" s="1705" t="s">
        <v>3056</v>
      </c>
    </row>
    <row r="34">
      <c r="A34" s="1702" t="s">
        <v>3057</v>
      </c>
    </row>
    <row r="35">
      <c r="A35" s="1702" t="s">
        <v>3058</v>
      </c>
    </row>
    <row r="36">
      <c r="A36" s="1699" t="s">
        <v>3059</v>
      </c>
    </row>
    <row r="37">
      <c r="A37" s="1702" t="s">
        <v>3060</v>
      </c>
    </row>
    <row r="38">
      <c r="A38" s="1702" t="s">
        <v>3061</v>
      </c>
    </row>
    <row r="39">
      <c r="A39" s="1705" t="s">
        <v>3062</v>
      </c>
    </row>
    <row r="40">
      <c r="A40" s="1702" t="s">
        <v>3063</v>
      </c>
    </row>
    <row r="41">
      <c r="A41" s="1702" t="s">
        <v>3064</v>
      </c>
    </row>
    <row r="42">
      <c r="A42" s="1702" t="s">
        <v>3065</v>
      </c>
    </row>
    <row r="43">
      <c r="A43" s="1701" t="s">
        <v>3066</v>
      </c>
    </row>
    <row r="44">
      <c r="A44" s="1699" t="s">
        <v>3067</v>
      </c>
    </row>
    <row r="45">
      <c r="A45" s="1699" t="s">
        <v>3068</v>
      </c>
    </row>
    <row r="46">
      <c r="A46" s="1699" t="s">
        <v>3069</v>
      </c>
    </row>
    <row r="47">
      <c r="A47" s="1699" t="s">
        <v>3070</v>
      </c>
    </row>
    <row r="48">
      <c r="A48" s="1699" t="s">
        <v>3071</v>
      </c>
    </row>
    <row r="49">
      <c r="A49" s="1701" t="s">
        <v>3072</v>
      </c>
    </row>
    <row r="50">
      <c r="A50" s="1702" t="s">
        <v>3073</v>
      </c>
    </row>
    <row r="51">
      <c r="A51" s="1702" t="s">
        <v>3059</v>
      </c>
    </row>
    <row r="52">
      <c r="A52" s="1702" t="s">
        <v>3058</v>
      </c>
    </row>
    <row r="53">
      <c r="A53" s="1702" t="s">
        <v>3046</v>
      </c>
    </row>
    <row r="54">
      <c r="A54" s="1702" t="s">
        <v>3074</v>
      </c>
    </row>
    <row r="55">
      <c r="A55" s="1705" t="s">
        <v>3075</v>
      </c>
    </row>
    <row r="56">
      <c r="A56" s="1702" t="s">
        <v>3076</v>
      </c>
    </row>
    <row r="57">
      <c r="A57" s="1701" t="s">
        <v>3077</v>
      </c>
    </row>
    <row r="58">
      <c r="A58" s="1699" t="s">
        <v>3078</v>
      </c>
    </row>
    <row r="59">
      <c r="A59" s="1699" t="s">
        <v>3079</v>
      </c>
    </row>
    <row r="60">
      <c r="A60" s="1699" t="s">
        <v>3080</v>
      </c>
    </row>
    <row r="61">
      <c r="A61" s="1699" t="s">
        <v>3081</v>
      </c>
    </row>
    <row r="62">
      <c r="A62" s="1699" t="s">
        <v>3082</v>
      </c>
    </row>
    <row r="63">
      <c r="A63" s="1699" t="s">
        <v>3083</v>
      </c>
    </row>
    <row r="64">
      <c r="A64" s="1699" t="s">
        <v>3084</v>
      </c>
    </row>
    <row r="65">
      <c r="A65" s="1699" t="s">
        <v>3085</v>
      </c>
    </row>
    <row r="66">
      <c r="A66" s="1699" t="s">
        <v>3086</v>
      </c>
    </row>
    <row r="67">
      <c r="A67" s="1699" t="s">
        <v>3087</v>
      </c>
    </row>
    <row r="68">
      <c r="A68" s="1701" t="s">
        <v>3088</v>
      </c>
    </row>
    <row r="69">
      <c r="A69" s="1702" t="s">
        <v>3089</v>
      </c>
    </row>
    <row r="70">
      <c r="A70" s="1702" t="s">
        <v>3090</v>
      </c>
    </row>
    <row r="71">
      <c r="A71" s="1702" t="s">
        <v>3091</v>
      </c>
    </row>
    <row r="72">
      <c r="A72" s="1702" t="s">
        <v>3092</v>
      </c>
    </row>
    <row r="73">
      <c r="A73" s="1702" t="s">
        <v>3093</v>
      </c>
    </row>
    <row r="74">
      <c r="A74" s="1702" t="s">
        <v>3094</v>
      </c>
    </row>
    <row r="75">
      <c r="A75" s="1702" t="s">
        <v>3095</v>
      </c>
    </row>
    <row r="76">
      <c r="A76" s="1702" t="s">
        <v>3096</v>
      </c>
    </row>
    <row r="77">
      <c r="A77" s="1702" t="s">
        <v>3097</v>
      </c>
    </row>
    <row r="78">
      <c r="A78" s="1702" t="s">
        <v>3098</v>
      </c>
    </row>
    <row r="79">
      <c r="A79" s="1702" t="s">
        <v>3099</v>
      </c>
    </row>
    <row r="80">
      <c r="A80" s="1701" t="s">
        <v>3100</v>
      </c>
    </row>
    <row r="81">
      <c r="A81" s="1702" t="s">
        <v>3101</v>
      </c>
    </row>
    <row r="82">
      <c r="A82" s="1702" t="s">
        <v>3102</v>
      </c>
    </row>
    <row r="83">
      <c r="A83" s="1702" t="s">
        <v>3103</v>
      </c>
    </row>
    <row r="84">
      <c r="A84" s="1706" t="s">
        <v>3104</v>
      </c>
    </row>
    <row r="85">
      <c r="A85" s="1702" t="s">
        <v>3105</v>
      </c>
    </row>
    <row r="86">
      <c r="A86" s="1702" t="s">
        <v>3106</v>
      </c>
    </row>
    <row r="87">
      <c r="A87" s="1701" t="s">
        <v>3107</v>
      </c>
    </row>
    <row r="88">
      <c r="A88" s="1702" t="s">
        <v>3108</v>
      </c>
    </row>
    <row r="89">
      <c r="A89" s="1701" t="s">
        <v>3109</v>
      </c>
    </row>
    <row r="90">
      <c r="A90" s="1702" t="s">
        <v>3110</v>
      </c>
    </row>
    <row r="91">
      <c r="A91" s="1702" t="s">
        <v>3111</v>
      </c>
    </row>
    <row r="92">
      <c r="A92" s="1701" t="s">
        <v>3112</v>
      </c>
    </row>
    <row r="93">
      <c r="A93" s="1702" t="s">
        <v>3113</v>
      </c>
    </row>
    <row r="94">
      <c r="A94" s="1702" t="s">
        <v>3114</v>
      </c>
    </row>
    <row r="95">
      <c r="A95" s="1702" t="s">
        <v>3115</v>
      </c>
    </row>
    <row r="96">
      <c r="A96" s="1701" t="s">
        <v>3116</v>
      </c>
    </row>
    <row r="97">
      <c r="A97" s="1702" t="s">
        <v>3117</v>
      </c>
    </row>
    <row r="98">
      <c r="A98" s="1705" t="s">
        <v>3118</v>
      </c>
    </row>
    <row r="99">
      <c r="A99" s="1702" t="s">
        <v>3119</v>
      </c>
    </row>
    <row r="100">
      <c r="A100" s="1702" t="s">
        <v>3120</v>
      </c>
    </row>
    <row r="101">
      <c r="A101" s="1702" t="s">
        <v>3121</v>
      </c>
    </row>
    <row r="102">
      <c r="A102" s="1702" t="s">
        <v>3122</v>
      </c>
    </row>
    <row r="103">
      <c r="A103" s="1703" t="s">
        <v>3123</v>
      </c>
    </row>
    <row r="104">
      <c r="A104" s="1701" t="s">
        <v>3124</v>
      </c>
    </row>
    <row r="105">
      <c r="A105" s="1702" t="s">
        <v>3125</v>
      </c>
    </row>
    <row r="106">
      <c r="A106" s="1701" t="s">
        <v>3126</v>
      </c>
    </row>
    <row r="107">
      <c r="A107" s="1707" t="s">
        <v>3127</v>
      </c>
    </row>
    <row r="108">
      <c r="A108" s="1707" t="s">
        <v>3128</v>
      </c>
    </row>
    <row r="109">
      <c r="A109" s="1708" t="s">
        <v>3129</v>
      </c>
    </row>
    <row r="110">
      <c r="A110" s="1709" t="s">
        <v>3130</v>
      </c>
    </row>
    <row r="111">
      <c r="A111" s="1710" t="s">
        <v>3131</v>
      </c>
    </row>
    <row r="112">
      <c r="A112" s="1709" t="s">
        <v>3132</v>
      </c>
    </row>
    <row r="113">
      <c r="A113" s="1709" t="s">
        <v>3133</v>
      </c>
    </row>
    <row r="114">
      <c r="A114" s="1709" t="s">
        <v>3134</v>
      </c>
    </row>
    <row r="115">
      <c r="A115" s="1711" t="s">
        <v>3135</v>
      </c>
    </row>
    <row r="116">
      <c r="A116" s="1711" t="s">
        <v>3136</v>
      </c>
    </row>
    <row r="117">
      <c r="A117" s="1711" t="s">
        <v>3137</v>
      </c>
    </row>
    <row r="118">
      <c r="A118" s="1711" t="s">
        <v>3138</v>
      </c>
    </row>
    <row r="119">
      <c r="A119" s="1711" t="s">
        <v>3139</v>
      </c>
    </row>
    <row r="120">
      <c r="A120" s="1711" t="s">
        <v>3140</v>
      </c>
    </row>
    <row r="121">
      <c r="A121" s="1711" t="s">
        <v>3141</v>
      </c>
    </row>
    <row r="122">
      <c r="A122" s="1710" t="s">
        <v>3142</v>
      </c>
    </row>
    <row r="123">
      <c r="A123" s="1711" t="s">
        <v>3143</v>
      </c>
    </row>
    <row r="124">
      <c r="A124" s="1711" t="s">
        <v>3144</v>
      </c>
    </row>
    <row r="125">
      <c r="A125" s="1711" t="s">
        <v>3145</v>
      </c>
    </row>
    <row r="126">
      <c r="A126" s="1711" t="s">
        <v>3146</v>
      </c>
    </row>
    <row r="127">
      <c r="A127" s="1711" t="s">
        <v>3147</v>
      </c>
    </row>
    <row r="128">
      <c r="A128" s="1711" t="s">
        <v>3148</v>
      </c>
    </row>
    <row r="129">
      <c r="A129" s="1711" t="s">
        <v>3149</v>
      </c>
    </row>
    <row r="130">
      <c r="A130" s="1711" t="s">
        <v>3150</v>
      </c>
    </row>
    <row r="131">
      <c r="A131" s="1711" t="s">
        <v>3151</v>
      </c>
    </row>
    <row r="132">
      <c r="A132" s="1711" t="s">
        <v>3152</v>
      </c>
    </row>
    <row r="133">
      <c r="A133" s="1711" t="s">
        <v>3153</v>
      </c>
    </row>
    <row r="134">
      <c r="A134" s="1711" t="s">
        <v>3154</v>
      </c>
    </row>
    <row r="135">
      <c r="A135" s="1711" t="s">
        <v>3155</v>
      </c>
    </row>
    <row r="137">
      <c r="A137" s="1708" t="s">
        <v>3156</v>
      </c>
    </row>
    <row r="138">
      <c r="A138" s="1711" t="s">
        <v>3157</v>
      </c>
    </row>
    <row r="139">
      <c r="A139" s="1711" t="s">
        <v>3158</v>
      </c>
    </row>
    <row r="140">
      <c r="A140" s="1711" t="s">
        <v>3159</v>
      </c>
    </row>
    <row r="141">
      <c r="A141" s="1711" t="s">
        <v>3160</v>
      </c>
    </row>
    <row r="144">
      <c r="A144" s="1712"/>
    </row>
    <row r="145">
      <c r="A145" s="1712"/>
    </row>
    <row r="146">
      <c r="A146" s="1712"/>
    </row>
    <row r="147">
      <c r="A147" s="1712"/>
    </row>
    <row r="148">
      <c r="A148" s="1712"/>
    </row>
    <row r="149">
      <c r="A149" s="1712"/>
    </row>
    <row r="150">
      <c r="A150" s="1712"/>
    </row>
    <row r="151">
      <c r="A151" s="1707"/>
    </row>
  </sheetData>
  <mergeCells count="149">
    <mergeCell ref="A1:J2"/>
    <mergeCell ref="A3:J3"/>
    <mergeCell ref="A4:J4"/>
    <mergeCell ref="A5:J5"/>
    <mergeCell ref="A7:J7"/>
    <mergeCell ref="A8:J8"/>
    <mergeCell ref="A9:J9"/>
    <mergeCell ref="A10:J10"/>
    <mergeCell ref="A11:J11"/>
    <mergeCell ref="A12:J12"/>
    <mergeCell ref="A13:J13"/>
    <mergeCell ref="A14:J14"/>
    <mergeCell ref="A15:J15"/>
    <mergeCell ref="A16:J16"/>
    <mergeCell ref="A17:J17"/>
    <mergeCell ref="A18:J18"/>
    <mergeCell ref="A19:J19"/>
    <mergeCell ref="A20:J20"/>
    <mergeCell ref="A21:J21"/>
    <mergeCell ref="A22:J22"/>
    <mergeCell ref="A23:J23"/>
    <mergeCell ref="A24:J24"/>
    <mergeCell ref="A25:J25"/>
    <mergeCell ref="A26:J26"/>
    <mergeCell ref="A27:J27"/>
    <mergeCell ref="A28:J28"/>
    <mergeCell ref="A29:J29"/>
    <mergeCell ref="A30:J30"/>
    <mergeCell ref="A31:J31"/>
    <mergeCell ref="A32:J32"/>
    <mergeCell ref="A33:J33"/>
    <mergeCell ref="A34:J34"/>
    <mergeCell ref="A35:J35"/>
    <mergeCell ref="A36:J36"/>
    <mergeCell ref="A37:J37"/>
    <mergeCell ref="A38:J38"/>
    <mergeCell ref="A39:J39"/>
    <mergeCell ref="A40:J40"/>
    <mergeCell ref="A41:J41"/>
    <mergeCell ref="A42:J42"/>
    <mergeCell ref="A43:J43"/>
    <mergeCell ref="A44:J44"/>
    <mergeCell ref="A45:J45"/>
    <mergeCell ref="A46:J46"/>
    <mergeCell ref="A47:J47"/>
    <mergeCell ref="A48:J48"/>
    <mergeCell ref="A49:J49"/>
    <mergeCell ref="A50:J50"/>
    <mergeCell ref="A51:J51"/>
    <mergeCell ref="A101:J101"/>
    <mergeCell ref="A102:J102"/>
    <mergeCell ref="A103:J103"/>
    <mergeCell ref="A104:J104"/>
    <mergeCell ref="A105:J105"/>
    <mergeCell ref="A106:J106"/>
    <mergeCell ref="A107:J107"/>
    <mergeCell ref="A108:J108"/>
    <mergeCell ref="A109:J109"/>
    <mergeCell ref="A110:J110"/>
    <mergeCell ref="A111:J111"/>
    <mergeCell ref="A112:J112"/>
    <mergeCell ref="A113:J113"/>
    <mergeCell ref="A114:J114"/>
    <mergeCell ref="A115:J115"/>
    <mergeCell ref="A116:J116"/>
    <mergeCell ref="A117:J117"/>
    <mergeCell ref="A118:J118"/>
    <mergeCell ref="A119:J119"/>
    <mergeCell ref="A120:J120"/>
    <mergeCell ref="A121:J121"/>
    <mergeCell ref="A122:J122"/>
    <mergeCell ref="A123:J123"/>
    <mergeCell ref="A124:J124"/>
    <mergeCell ref="A125:J125"/>
    <mergeCell ref="A126:J126"/>
    <mergeCell ref="A127:J127"/>
    <mergeCell ref="A128:J128"/>
    <mergeCell ref="A129:J129"/>
    <mergeCell ref="A130:J130"/>
    <mergeCell ref="A131:J131"/>
    <mergeCell ref="A132:J132"/>
    <mergeCell ref="A133:J133"/>
    <mergeCell ref="A134:J134"/>
    <mergeCell ref="A135:J135"/>
    <mergeCell ref="A136:J136"/>
    <mergeCell ref="A137:J137"/>
    <mergeCell ref="A138:J138"/>
    <mergeCell ref="A139:J139"/>
    <mergeCell ref="A140:J140"/>
    <mergeCell ref="A141:J141"/>
    <mergeCell ref="A142:J142"/>
    <mergeCell ref="A150:J150"/>
    <mergeCell ref="A151:J151"/>
    <mergeCell ref="A143:J143"/>
    <mergeCell ref="A144:J144"/>
    <mergeCell ref="A145:J145"/>
    <mergeCell ref="A146:J146"/>
    <mergeCell ref="A147:J147"/>
    <mergeCell ref="A148:J148"/>
    <mergeCell ref="A149:J149"/>
    <mergeCell ref="A52:J52"/>
    <mergeCell ref="A53:J53"/>
    <mergeCell ref="A54:J54"/>
    <mergeCell ref="A55:J55"/>
    <mergeCell ref="A56:J56"/>
    <mergeCell ref="A57:J57"/>
    <mergeCell ref="A58:J58"/>
    <mergeCell ref="A59:J59"/>
    <mergeCell ref="A60:J60"/>
    <mergeCell ref="A61:J61"/>
    <mergeCell ref="A62:J62"/>
    <mergeCell ref="A63:J63"/>
    <mergeCell ref="A64:J64"/>
    <mergeCell ref="A65:J65"/>
    <mergeCell ref="A66:J66"/>
    <mergeCell ref="A67:J67"/>
    <mergeCell ref="A68:J68"/>
    <mergeCell ref="A69:J69"/>
    <mergeCell ref="A70:J70"/>
    <mergeCell ref="A71:J71"/>
    <mergeCell ref="A72:J72"/>
    <mergeCell ref="A73:J73"/>
    <mergeCell ref="A74:J74"/>
    <mergeCell ref="A75:J75"/>
    <mergeCell ref="A76:J76"/>
    <mergeCell ref="A77:J77"/>
    <mergeCell ref="A78:J78"/>
    <mergeCell ref="A79:J79"/>
    <mergeCell ref="A80:J80"/>
    <mergeCell ref="A81:J81"/>
    <mergeCell ref="A82:J82"/>
    <mergeCell ref="A83:J83"/>
    <mergeCell ref="A84:J84"/>
    <mergeCell ref="A85:J85"/>
    <mergeCell ref="A86:J86"/>
    <mergeCell ref="A87:J87"/>
    <mergeCell ref="A88:J88"/>
    <mergeCell ref="A89:J89"/>
    <mergeCell ref="A90:J90"/>
    <mergeCell ref="A91:J91"/>
    <mergeCell ref="A92:J92"/>
    <mergeCell ref="A93:J93"/>
    <mergeCell ref="A94:J94"/>
    <mergeCell ref="A95:J95"/>
    <mergeCell ref="A96:J96"/>
    <mergeCell ref="A97:J97"/>
    <mergeCell ref="A98:J98"/>
    <mergeCell ref="A99:J99"/>
    <mergeCell ref="A100:J100"/>
  </mergeCells>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4.0"/>
    <col customWidth="1" min="2" max="2" width="28.75"/>
    <col customWidth="1" min="3" max="3" width="19.88"/>
    <col customWidth="1" min="4" max="4" width="7.63"/>
    <col customWidth="1" min="5" max="5" width="8.63"/>
    <col customWidth="1" min="6" max="6" width="7.13"/>
    <col customWidth="1" min="7" max="7" width="6.13"/>
    <col customWidth="1" min="8" max="8" width="10.0"/>
    <col customWidth="1" min="9" max="9" width="12.88"/>
    <col customWidth="1" min="10" max="10" width="15.25"/>
    <col customWidth="1" min="11" max="11" width="20.0"/>
    <col customWidth="1" min="12" max="12" width="34.25"/>
    <col customWidth="1" min="13" max="13" width="6.88"/>
    <col customWidth="1" min="14" max="14" width="9.0"/>
  </cols>
  <sheetData>
    <row r="1">
      <c r="A1" s="1713" t="s">
        <v>3161</v>
      </c>
      <c r="B1" s="312" t="s">
        <v>3162</v>
      </c>
      <c r="C1" s="425" t="s">
        <v>3163</v>
      </c>
      <c r="D1" s="1714" t="s">
        <v>3164</v>
      </c>
      <c r="E1" s="1715" t="s">
        <v>3165</v>
      </c>
      <c r="F1" s="1715" t="str">
        <f> "-" &amp;'101 General Info'!E38</f>
        <v>-ALS</v>
      </c>
      <c r="G1" s="1716" t="str">
        <f> "-" &amp;'101 General Info'!G38</f>
        <v>-LWD</v>
      </c>
      <c r="H1" s="1715" t="s">
        <v>3166</v>
      </c>
      <c r="I1" s="1715" t="s">
        <v>3167</v>
      </c>
      <c r="J1" s="1717" t="s">
        <v>3168</v>
      </c>
      <c r="K1" s="1715" t="s">
        <v>3169</v>
      </c>
      <c r="L1" s="1717" t="s">
        <v>3170</v>
      </c>
      <c r="M1" s="1717"/>
      <c r="N1" s="1718"/>
    </row>
    <row r="2">
      <c r="A2" s="1717"/>
      <c r="B2" s="1719"/>
      <c r="C2" s="1715"/>
      <c r="D2" s="1714"/>
      <c r="E2" s="1720"/>
      <c r="F2" s="1720"/>
      <c r="G2" s="1716"/>
      <c r="H2" s="1715"/>
      <c r="I2" s="1715"/>
      <c r="J2" s="1717"/>
      <c r="K2" s="1717"/>
      <c r="L2" s="1717"/>
      <c r="M2" s="1717"/>
      <c r="N2" s="1717"/>
    </row>
    <row r="3">
      <c r="A3" s="1721"/>
      <c r="B3" s="1722"/>
      <c r="C3" s="269"/>
      <c r="D3" s="1714"/>
      <c r="E3" s="1720"/>
      <c r="F3" s="1720"/>
      <c r="G3" s="1716"/>
      <c r="H3" s="1715"/>
      <c r="I3" s="1723"/>
      <c r="J3" s="1717"/>
      <c r="K3" s="1717"/>
      <c r="L3" s="1717"/>
      <c r="M3" s="1717"/>
      <c r="N3" s="1717"/>
    </row>
    <row r="4">
      <c r="A4" s="1721"/>
      <c r="B4" s="312"/>
      <c r="C4" s="425"/>
      <c r="D4" s="1714"/>
      <c r="E4" s="1720"/>
      <c r="F4" s="1720"/>
      <c r="G4" s="1716"/>
      <c r="H4" s="1715"/>
      <c r="I4" s="1723"/>
      <c r="J4" s="1717"/>
      <c r="K4" s="1717"/>
      <c r="L4" s="1717"/>
      <c r="M4" s="1717"/>
      <c r="N4" s="1717"/>
    </row>
    <row r="5">
      <c r="A5" s="1721"/>
      <c r="B5" s="308"/>
      <c r="C5" s="425"/>
      <c r="D5" s="1714"/>
      <c r="E5" s="1720"/>
      <c r="F5" s="1720"/>
      <c r="G5" s="1716"/>
      <c r="H5" s="1715"/>
      <c r="I5" s="1723"/>
      <c r="J5" s="1717"/>
      <c r="K5" s="1717"/>
      <c r="L5" s="1717"/>
      <c r="M5" s="1717"/>
      <c r="N5" s="1717"/>
    </row>
    <row r="6">
      <c r="A6" s="1721"/>
      <c r="B6" s="1724"/>
      <c r="C6" s="269"/>
      <c r="D6" s="1714"/>
      <c r="E6" s="1720"/>
      <c r="F6" s="1720"/>
      <c r="G6" s="1716"/>
      <c r="H6" s="1715"/>
      <c r="I6" s="1723"/>
      <c r="J6" s="1717"/>
      <c r="K6" s="1717"/>
      <c r="L6" s="1717"/>
      <c r="M6" s="1717"/>
      <c r="N6" s="1717"/>
    </row>
    <row r="7">
      <c r="A7" s="1725"/>
      <c r="B7" s="1725"/>
      <c r="C7" s="1715"/>
      <c r="D7" s="1714"/>
      <c r="E7" s="1720"/>
      <c r="F7" s="1720"/>
      <c r="G7" s="1716"/>
      <c r="H7" s="1715"/>
      <c r="I7" s="1723"/>
      <c r="J7" s="1717"/>
      <c r="K7" s="1717"/>
      <c r="L7" s="1717"/>
      <c r="M7" s="1717"/>
      <c r="N7" s="1717"/>
    </row>
    <row r="8">
      <c r="A8" s="1721"/>
      <c r="B8" s="312"/>
      <c r="C8" s="425"/>
      <c r="D8" s="1714"/>
      <c r="E8" s="1720"/>
      <c r="F8" s="1720"/>
      <c r="G8" s="1716"/>
      <c r="H8" s="1715"/>
      <c r="I8" s="1723"/>
      <c r="J8" s="1717"/>
      <c r="K8" s="1717"/>
      <c r="L8" s="1717"/>
      <c r="M8" s="1717"/>
      <c r="N8" s="1717"/>
    </row>
    <row r="9">
      <c r="A9" s="1721"/>
      <c r="B9" s="308"/>
      <c r="C9" s="425"/>
      <c r="D9" s="1714"/>
      <c r="E9" s="1720"/>
      <c r="F9" s="1720"/>
      <c r="G9" s="1716"/>
      <c r="H9" s="1715"/>
      <c r="I9" s="1723"/>
      <c r="J9" s="1717"/>
      <c r="K9" s="1717"/>
      <c r="L9" s="1717"/>
      <c r="M9" s="1717"/>
      <c r="N9" s="1717"/>
    </row>
    <row r="10">
      <c r="A10" s="1721"/>
      <c r="C10" s="269"/>
      <c r="D10" s="1714"/>
      <c r="E10" s="1720"/>
      <c r="F10" s="1720"/>
      <c r="G10" s="1716"/>
      <c r="H10" s="1715"/>
      <c r="I10" s="1723"/>
      <c r="J10" s="1717"/>
      <c r="K10" s="1717"/>
      <c r="L10" s="1717"/>
      <c r="M10" s="1717"/>
      <c r="N10" s="1717"/>
    </row>
    <row r="11">
      <c r="A11" s="1721"/>
      <c r="C11" s="1026"/>
      <c r="D11" s="1714"/>
      <c r="E11" s="1720"/>
      <c r="F11" s="1720"/>
      <c r="G11" s="1716"/>
      <c r="H11" s="1715"/>
      <c r="I11" s="1723"/>
      <c r="J11" s="1717"/>
      <c r="K11" s="1717"/>
      <c r="L11" s="1717"/>
      <c r="M11" s="1717"/>
      <c r="N11" s="1717"/>
    </row>
    <row r="12">
      <c r="A12" s="1725"/>
      <c r="B12" s="1725"/>
      <c r="C12" s="1026"/>
      <c r="D12" s="1714"/>
      <c r="E12" s="1720"/>
      <c r="F12" s="1720"/>
      <c r="G12" s="1716"/>
      <c r="H12" s="1715"/>
      <c r="I12" s="1723"/>
      <c r="J12" s="1717"/>
      <c r="K12" s="1717"/>
      <c r="L12" s="1717"/>
      <c r="M12" s="1717"/>
      <c r="N12" s="1717"/>
    </row>
    <row r="13">
      <c r="A13" s="1721"/>
      <c r="B13" s="1724"/>
      <c r="C13" s="269"/>
      <c r="D13" s="1714"/>
      <c r="E13" s="1720"/>
      <c r="F13" s="1720"/>
      <c r="G13" s="1716"/>
      <c r="H13" s="1715"/>
      <c r="I13" s="1723"/>
      <c r="J13" s="1717"/>
      <c r="K13" s="1717"/>
      <c r="L13" s="1717"/>
      <c r="M13" s="1717"/>
      <c r="N13" s="1717"/>
    </row>
    <row r="14">
      <c r="A14" s="1721"/>
      <c r="B14" s="1724"/>
      <c r="C14" s="1026"/>
      <c r="D14" s="1714"/>
      <c r="E14" s="1720"/>
      <c r="F14" s="1720"/>
      <c r="G14" s="1716"/>
      <c r="H14" s="1715"/>
      <c r="I14" s="1723"/>
      <c r="J14" s="1717"/>
      <c r="K14" s="1717"/>
      <c r="L14" s="1717"/>
      <c r="M14" s="1717"/>
      <c r="N14" s="1717"/>
    </row>
    <row r="15">
      <c r="A15" s="1721"/>
      <c r="B15" s="308"/>
      <c r="C15" s="1026"/>
      <c r="D15" s="1714"/>
      <c r="E15" s="1720"/>
      <c r="F15" s="1720"/>
      <c r="G15" s="1716"/>
      <c r="H15" s="1715"/>
      <c r="I15" s="1723"/>
      <c r="J15" s="1717"/>
      <c r="K15" s="1717"/>
      <c r="L15" s="1717"/>
      <c r="M15" s="1717"/>
      <c r="N15" s="1717"/>
    </row>
    <row r="16">
      <c r="A16" s="1721"/>
      <c r="B16" s="1726"/>
      <c r="C16" s="269"/>
      <c r="D16" s="1714"/>
      <c r="E16" s="1720"/>
      <c r="F16" s="1720"/>
      <c r="G16" s="1716"/>
      <c r="H16" s="1715"/>
      <c r="I16" s="1723"/>
      <c r="J16" s="1717"/>
      <c r="K16" s="1717"/>
      <c r="L16" s="1717"/>
      <c r="M16" s="1717"/>
      <c r="N16" s="1717"/>
    </row>
    <row r="17">
      <c r="A17" s="1721"/>
      <c r="B17" s="312"/>
      <c r="C17" s="425"/>
      <c r="D17" s="1714"/>
      <c r="E17" s="1720"/>
      <c r="F17" s="1720"/>
      <c r="G17" s="1716"/>
      <c r="H17" s="1715"/>
      <c r="I17" s="1723"/>
      <c r="J17" s="1717"/>
      <c r="K17" s="1717"/>
      <c r="L17" s="1717"/>
      <c r="M17" s="1717"/>
      <c r="N17" s="1717"/>
    </row>
    <row r="18">
      <c r="A18" s="1721"/>
      <c r="C18" s="1026"/>
      <c r="D18" s="1714"/>
      <c r="E18" s="1720"/>
      <c r="F18" s="1720"/>
      <c r="G18" s="1716"/>
      <c r="H18" s="1715"/>
      <c r="I18" s="1723"/>
      <c r="J18" s="1717"/>
      <c r="K18" s="1717"/>
      <c r="L18" s="1717"/>
      <c r="M18" s="1717"/>
      <c r="N18" s="1717"/>
    </row>
    <row r="19">
      <c r="A19" s="1721"/>
      <c r="B19" s="312"/>
      <c r="C19" s="425"/>
      <c r="D19" s="1714"/>
      <c r="E19" s="1720"/>
      <c r="F19" s="1720"/>
      <c r="G19" s="1716"/>
      <c r="H19" s="1715"/>
      <c r="I19" s="1715"/>
      <c r="J19" s="1717"/>
      <c r="K19" s="1717"/>
      <c r="L19" s="1717"/>
      <c r="M19" s="1717"/>
      <c r="N19" s="1717"/>
    </row>
    <row r="20">
      <c r="A20" s="1721"/>
      <c r="B20" s="312"/>
      <c r="C20" s="425"/>
      <c r="D20" s="1714"/>
      <c r="E20" s="1720"/>
      <c r="F20" s="1720"/>
      <c r="G20" s="1716"/>
      <c r="H20" s="1715"/>
      <c r="I20" s="1723"/>
      <c r="J20" s="1717"/>
      <c r="K20" s="1717"/>
      <c r="L20" s="1717"/>
      <c r="M20" s="1717"/>
      <c r="N20" s="1717"/>
    </row>
    <row r="21">
      <c r="A21" s="1721"/>
      <c r="C21" s="1715"/>
      <c r="D21" s="1714"/>
      <c r="E21" s="1720"/>
      <c r="F21" s="1720"/>
      <c r="G21" s="1716"/>
      <c r="H21" s="1715"/>
      <c r="I21" s="1723"/>
      <c r="J21" s="1717"/>
      <c r="K21" s="1717"/>
      <c r="L21" s="1717"/>
      <c r="M21" s="1717"/>
      <c r="N21" s="1717"/>
    </row>
    <row r="22">
      <c r="A22" s="1721"/>
      <c r="C22" s="1715"/>
      <c r="D22" s="1714"/>
      <c r="E22" s="1720"/>
      <c r="F22" s="1720"/>
      <c r="G22" s="1716"/>
      <c r="H22" s="1715"/>
      <c r="I22" s="1723"/>
      <c r="J22" s="1717"/>
      <c r="K22" s="1717"/>
      <c r="L22" s="1717"/>
      <c r="M22" s="1717"/>
      <c r="N22" s="1717"/>
    </row>
    <row r="23">
      <c r="A23" s="1721"/>
      <c r="B23" s="302"/>
      <c r="C23" s="1715"/>
      <c r="D23" s="1714"/>
      <c r="E23" s="1720"/>
      <c r="F23" s="1720"/>
      <c r="G23" s="1716"/>
      <c r="H23" s="1715"/>
      <c r="I23" s="1723"/>
      <c r="J23" s="1717"/>
      <c r="K23" s="1717"/>
      <c r="L23" s="1717"/>
      <c r="M23" s="1717"/>
      <c r="N23" s="1717"/>
    </row>
    <row r="24">
      <c r="A24" s="1721"/>
      <c r="C24" s="1715"/>
      <c r="D24" s="1714"/>
      <c r="E24" s="1720"/>
      <c r="F24" s="1720"/>
      <c r="G24" s="1716"/>
      <c r="H24" s="1715"/>
      <c r="I24" s="1723"/>
      <c r="J24" s="1717"/>
      <c r="K24" s="1717"/>
      <c r="L24" s="1717"/>
      <c r="M24" s="1717"/>
      <c r="N24" s="1717"/>
    </row>
    <row r="25">
      <c r="A25" s="1721"/>
      <c r="B25" s="312"/>
      <c r="C25" s="425"/>
      <c r="D25" s="1714"/>
      <c r="E25" s="1720"/>
      <c r="F25" s="1720"/>
      <c r="G25" s="1716"/>
      <c r="H25" s="1715"/>
      <c r="I25" s="1723"/>
      <c r="J25" s="1717"/>
      <c r="K25" s="1717"/>
      <c r="L25" s="1717"/>
      <c r="M25" s="1717"/>
      <c r="N25" s="1717"/>
    </row>
    <row r="26">
      <c r="A26" s="1721"/>
      <c r="B26" s="308"/>
      <c r="C26" s="1715"/>
      <c r="D26" s="1714"/>
      <c r="E26" s="1720"/>
      <c r="F26" s="1720"/>
      <c r="G26" s="1716"/>
      <c r="H26" s="1715"/>
      <c r="I26" s="1723"/>
      <c r="J26" s="1717"/>
      <c r="K26" s="1717"/>
      <c r="L26" s="1717"/>
      <c r="M26" s="1717"/>
      <c r="N26" s="1717"/>
    </row>
    <row r="27">
      <c r="A27" s="1721"/>
      <c r="B27" s="1717"/>
      <c r="C27" s="1715"/>
      <c r="D27" s="1714"/>
      <c r="E27" s="1720"/>
      <c r="F27" s="1720"/>
      <c r="G27" s="1716"/>
      <c r="H27" s="1715"/>
      <c r="I27" s="1723"/>
      <c r="J27" s="1717"/>
      <c r="K27" s="1717"/>
      <c r="L27" s="1717"/>
      <c r="M27" s="1717"/>
      <c r="N27" s="1717"/>
    </row>
    <row r="28">
      <c r="C28" s="1026"/>
      <c r="D28" s="1714"/>
      <c r="E28" s="1720"/>
      <c r="F28" s="1720"/>
      <c r="G28" s="1716"/>
      <c r="I28" s="1727"/>
      <c r="J28" s="1728"/>
      <c r="K28" s="1728"/>
      <c r="L28" s="1728"/>
      <c r="M28" s="1728"/>
      <c r="N28" s="1717"/>
    </row>
    <row r="29">
      <c r="A29" s="1721"/>
      <c r="B29" s="1721"/>
      <c r="C29" s="1026"/>
      <c r="D29" s="1714"/>
      <c r="E29" s="1720"/>
      <c r="F29" s="1720"/>
      <c r="G29" s="1716"/>
      <c r="H29" s="1715"/>
      <c r="I29" s="1723"/>
      <c r="J29" s="1717"/>
      <c r="K29" s="1717"/>
      <c r="L29" s="1717"/>
      <c r="M29" s="1717"/>
      <c r="N29" s="1717"/>
    </row>
    <row r="30">
      <c r="A30" s="1721"/>
      <c r="B30" s="1724"/>
      <c r="C30" s="269"/>
      <c r="D30" s="1714"/>
      <c r="E30" s="1720"/>
      <c r="F30" s="1720"/>
      <c r="G30" s="1716"/>
      <c r="H30" s="1715"/>
      <c r="I30" s="1715"/>
      <c r="J30" s="1717"/>
      <c r="K30" s="1717"/>
      <c r="L30" s="1717"/>
      <c r="M30" s="1717"/>
      <c r="N30" s="1717"/>
    </row>
    <row r="31">
      <c r="A31" s="1721"/>
      <c r="B31" s="312"/>
      <c r="C31" s="1026"/>
      <c r="D31" s="1714"/>
      <c r="E31" s="1720"/>
      <c r="F31" s="1720"/>
      <c r="G31" s="1716"/>
      <c r="H31" s="1715"/>
      <c r="I31" s="1723"/>
      <c r="J31" s="1717"/>
      <c r="K31" s="1717"/>
      <c r="L31" s="1717"/>
      <c r="M31" s="1717"/>
      <c r="N31" s="1717"/>
    </row>
    <row r="32">
      <c r="A32" s="1721"/>
      <c r="B32" s="308"/>
      <c r="C32" s="1026"/>
      <c r="D32" s="1714"/>
      <c r="E32" s="1720"/>
      <c r="F32" s="1720"/>
      <c r="G32" s="1716"/>
      <c r="H32" s="1715"/>
      <c r="I32" s="1715"/>
      <c r="J32" s="1717"/>
      <c r="K32" s="1717"/>
      <c r="L32" s="1717"/>
      <c r="M32" s="1717"/>
      <c r="N32" s="1717"/>
    </row>
    <row r="33">
      <c r="A33" s="1721"/>
      <c r="B33" s="312"/>
      <c r="C33" s="425"/>
      <c r="D33" s="1714"/>
      <c r="E33" s="1720"/>
      <c r="F33" s="1720"/>
      <c r="G33" s="1716"/>
      <c r="H33" s="1715"/>
      <c r="I33" s="1723"/>
      <c r="J33" s="1717"/>
      <c r="K33" s="1717"/>
      <c r="L33" s="1717"/>
      <c r="M33" s="1717"/>
      <c r="N33" s="1717"/>
    </row>
    <row r="34">
      <c r="A34" s="1721"/>
      <c r="B34" s="1722"/>
      <c r="C34" s="269"/>
      <c r="D34" s="1714"/>
      <c r="E34" s="1720"/>
      <c r="F34" s="1720"/>
      <c r="G34" s="1716"/>
      <c r="H34" s="1715"/>
      <c r="I34" s="1723"/>
      <c r="J34" s="1717"/>
      <c r="K34" s="1717"/>
      <c r="L34" s="1717"/>
      <c r="M34" s="1717"/>
      <c r="N34" s="1717"/>
    </row>
    <row r="35">
      <c r="A35" s="1721"/>
      <c r="B35" s="1717"/>
      <c r="C35" s="1715"/>
      <c r="D35" s="1714"/>
      <c r="E35" s="1720"/>
      <c r="F35" s="1720"/>
      <c r="G35" s="1716"/>
      <c r="H35" s="1715"/>
      <c r="I35" s="1723"/>
      <c r="J35" s="1717"/>
      <c r="K35" s="1717"/>
      <c r="L35" s="1717"/>
      <c r="M35" s="1717"/>
      <c r="N35" s="1717"/>
    </row>
    <row r="36">
      <c r="A36" s="1725"/>
      <c r="B36" s="1719"/>
      <c r="C36" s="1715"/>
      <c r="D36" s="1714"/>
      <c r="E36" s="1720"/>
      <c r="F36" s="1720"/>
      <c r="G36" s="1716"/>
      <c r="H36" s="1715"/>
      <c r="I36" s="1723"/>
      <c r="J36" s="1717"/>
      <c r="K36" s="1717"/>
      <c r="L36" s="1717"/>
      <c r="M36" s="1717"/>
      <c r="N36" s="1717"/>
    </row>
    <row r="37">
      <c r="A37" s="1725"/>
      <c r="B37" s="1725"/>
      <c r="C37" s="425"/>
      <c r="D37" s="1714"/>
      <c r="E37" s="1720"/>
      <c r="F37" s="1720"/>
      <c r="G37" s="1716"/>
      <c r="H37" s="425"/>
      <c r="I37" s="1729"/>
      <c r="J37" s="1721"/>
      <c r="K37" s="1721"/>
      <c r="L37" s="1721"/>
      <c r="M37" s="1721"/>
      <c r="N37" s="1717"/>
    </row>
    <row r="38">
      <c r="A38" s="1721"/>
      <c r="B38" s="1722"/>
      <c r="C38" s="269"/>
      <c r="D38" s="1714"/>
      <c r="E38" s="1720"/>
      <c r="F38" s="1720"/>
      <c r="G38" s="1716"/>
      <c r="H38" s="1715"/>
      <c r="I38" s="1723"/>
      <c r="J38" s="1717"/>
      <c r="K38" s="1717"/>
      <c r="L38" s="1717"/>
      <c r="M38" s="1717"/>
      <c r="N38" s="1717"/>
    </row>
    <row r="39">
      <c r="A39" s="1721"/>
      <c r="C39" s="1026"/>
      <c r="D39" s="1714"/>
      <c r="E39" s="1720"/>
      <c r="F39" s="1720"/>
      <c r="G39" s="1716"/>
      <c r="H39" s="1715"/>
      <c r="I39" s="1723"/>
      <c r="J39" s="1717"/>
      <c r="K39" s="1717"/>
      <c r="L39" s="1717"/>
      <c r="M39" s="1717"/>
      <c r="N39" s="1717"/>
    </row>
    <row r="40">
      <c r="A40" s="1721"/>
      <c r="C40" s="1026"/>
      <c r="D40" s="1714"/>
      <c r="E40" s="1720"/>
      <c r="F40" s="1720"/>
      <c r="G40" s="1716"/>
      <c r="H40" s="1715"/>
      <c r="I40" s="1723"/>
      <c r="J40" s="1717"/>
      <c r="K40" s="1717"/>
      <c r="L40" s="1717"/>
      <c r="M40" s="1717"/>
      <c r="N40" s="1717"/>
    </row>
    <row r="41">
      <c r="A41" s="1721"/>
      <c r="B41" s="435"/>
      <c r="C41" s="1715"/>
      <c r="D41" s="1714"/>
      <c r="E41" s="1720"/>
      <c r="F41" s="1720"/>
      <c r="G41" s="1716"/>
      <c r="H41" s="1715"/>
      <c r="I41" s="1723"/>
      <c r="J41" s="1717"/>
      <c r="K41" s="1717"/>
      <c r="L41" s="1717"/>
      <c r="M41" s="1717"/>
      <c r="N41" s="1717"/>
    </row>
    <row r="42">
      <c r="A42" s="1721"/>
      <c r="C42" s="1026"/>
      <c r="D42" s="1714"/>
      <c r="E42" s="1720"/>
      <c r="F42" s="1720"/>
      <c r="G42" s="1716"/>
      <c r="H42" s="1715"/>
      <c r="I42" s="1723"/>
      <c r="J42" s="1717"/>
      <c r="K42" s="1717"/>
      <c r="L42" s="1717"/>
      <c r="M42" s="1717"/>
      <c r="N42" s="1717"/>
    </row>
    <row r="43">
      <c r="A43" s="1721"/>
      <c r="B43" s="1726"/>
      <c r="C43" s="269"/>
      <c r="D43" s="1714"/>
      <c r="E43" s="1720"/>
      <c r="F43" s="1720"/>
      <c r="G43" s="1716"/>
      <c r="H43" s="1715"/>
      <c r="I43" s="1723"/>
      <c r="J43" s="1717"/>
      <c r="K43" s="1717"/>
      <c r="L43" s="1717"/>
      <c r="M43" s="1717"/>
      <c r="N43" s="1718"/>
    </row>
    <row r="44">
      <c r="A44" s="1721"/>
      <c r="B44" s="1717"/>
      <c r="C44" s="1715"/>
      <c r="D44" s="1714"/>
      <c r="E44" s="1720"/>
      <c r="F44" s="1720"/>
      <c r="G44" s="1716"/>
      <c r="H44" s="1715"/>
      <c r="I44" s="1723"/>
      <c r="J44" s="1717"/>
      <c r="K44" s="1717"/>
      <c r="L44" s="1717"/>
      <c r="M44" s="1717"/>
      <c r="N44" s="1718"/>
    </row>
    <row r="45">
      <c r="C45" s="269"/>
      <c r="D45" s="1714"/>
      <c r="E45" s="1720"/>
      <c r="F45" s="1720"/>
      <c r="G45" s="1716"/>
      <c r="H45" s="1715"/>
      <c r="I45" s="1723"/>
      <c r="J45" s="1717"/>
      <c r="K45" s="1717"/>
      <c r="L45" s="1717"/>
      <c r="M45" s="1717"/>
      <c r="N45" s="1718"/>
    </row>
    <row r="46">
      <c r="A46" s="1721"/>
      <c r="C46" s="1026"/>
      <c r="D46" s="1714"/>
      <c r="E46" s="1720"/>
      <c r="F46" s="1720"/>
      <c r="G46" s="1716"/>
      <c r="H46" s="1715"/>
      <c r="I46" s="1723"/>
      <c r="J46" s="1717"/>
      <c r="K46" s="1717"/>
      <c r="L46" s="1717"/>
      <c r="M46" s="1717"/>
      <c r="N46" s="1718"/>
    </row>
    <row r="47">
      <c r="A47" s="1721"/>
      <c r="B47" s="1724"/>
      <c r="C47" s="269"/>
      <c r="D47" s="1714"/>
      <c r="E47" s="1720"/>
      <c r="F47" s="1720"/>
      <c r="G47" s="1716"/>
      <c r="H47" s="1715"/>
      <c r="I47" s="1715"/>
      <c r="J47" s="1717"/>
      <c r="K47" s="1717"/>
      <c r="L47" s="1717"/>
      <c r="M47" s="1717"/>
      <c r="N47" s="1718"/>
    </row>
    <row r="48">
      <c r="A48" s="1721"/>
      <c r="B48" s="1721"/>
      <c r="C48" s="1026"/>
      <c r="D48" s="1714"/>
      <c r="E48" s="1720"/>
      <c r="F48" s="1720"/>
      <c r="G48" s="1716"/>
      <c r="H48" s="1715"/>
      <c r="I48" s="1715"/>
      <c r="J48" s="1717"/>
      <c r="K48" s="1717"/>
      <c r="L48" s="1717"/>
      <c r="M48" s="1717"/>
      <c r="N48" s="1718"/>
    </row>
    <row r="49">
      <c r="A49" s="1721"/>
      <c r="C49" s="1026"/>
      <c r="D49" s="1714"/>
      <c r="E49" s="1720"/>
      <c r="F49" s="1720"/>
      <c r="G49" s="1716"/>
      <c r="H49" s="1715"/>
      <c r="I49" s="1723"/>
      <c r="J49" s="1717"/>
      <c r="K49" s="1717"/>
      <c r="L49" s="1717"/>
      <c r="M49" s="1717"/>
      <c r="N49" s="1718"/>
    </row>
    <row r="50">
      <c r="A50" s="1721"/>
      <c r="B50" s="1726"/>
      <c r="C50" s="269"/>
      <c r="D50" s="1714"/>
      <c r="E50" s="1720"/>
      <c r="F50" s="1720"/>
      <c r="G50" s="1716"/>
      <c r="H50" s="1715"/>
      <c r="I50" s="1723"/>
      <c r="J50" s="1717"/>
      <c r="K50" s="1717"/>
      <c r="L50" s="1717"/>
      <c r="M50" s="1717"/>
      <c r="N50" s="1718"/>
    </row>
    <row r="51">
      <c r="A51" s="1721"/>
      <c r="B51" s="1726"/>
      <c r="C51" s="1715"/>
      <c r="D51" s="1714"/>
      <c r="E51" s="1720"/>
      <c r="F51" s="1720"/>
      <c r="G51" s="1716"/>
      <c r="H51" s="1715"/>
      <c r="I51" s="1723"/>
      <c r="J51" s="1717"/>
      <c r="K51" s="1717"/>
      <c r="L51" s="1717"/>
      <c r="M51" s="1717"/>
      <c r="N51" s="1718"/>
    </row>
    <row r="52">
      <c r="A52" s="1721"/>
      <c r="C52" s="1026"/>
      <c r="D52" s="1714"/>
      <c r="E52" s="1720"/>
      <c r="F52" s="1720"/>
      <c r="G52" s="1716"/>
      <c r="H52" s="1715"/>
      <c r="I52" s="1723"/>
      <c r="J52" s="1717"/>
      <c r="K52" s="1717"/>
      <c r="L52" s="1717"/>
      <c r="M52" s="1717"/>
      <c r="N52" s="1718"/>
    </row>
    <row r="53">
      <c r="A53" s="1721"/>
      <c r="C53" s="269"/>
      <c r="D53" s="1714"/>
      <c r="E53" s="1720"/>
      <c r="F53" s="1720"/>
      <c r="G53" s="1716"/>
      <c r="H53" s="1715"/>
      <c r="I53" s="1715"/>
      <c r="J53" s="1717"/>
      <c r="K53" s="1717"/>
      <c r="L53" s="1717"/>
      <c r="M53" s="1717"/>
      <c r="N53" s="1718"/>
    </row>
    <row r="54">
      <c r="A54" s="1721"/>
      <c r="B54" s="1717"/>
      <c r="C54" s="1715"/>
      <c r="D54" s="1714"/>
      <c r="E54" s="1720"/>
      <c r="F54" s="1720"/>
      <c r="G54" s="1716"/>
      <c r="H54" s="1715"/>
      <c r="I54" s="1715"/>
      <c r="J54" s="1717"/>
      <c r="K54" s="1717"/>
      <c r="L54" s="1717"/>
      <c r="M54" s="1717"/>
      <c r="N54" s="1718"/>
    </row>
    <row r="55">
      <c r="A55" s="1721"/>
      <c r="C55" s="269"/>
      <c r="D55" s="1714"/>
      <c r="E55" s="1720"/>
      <c r="F55" s="1720"/>
      <c r="G55" s="1716"/>
      <c r="H55" s="1715"/>
      <c r="I55" s="1723"/>
      <c r="J55" s="1717"/>
      <c r="K55" s="1717"/>
      <c r="L55" s="1717"/>
      <c r="M55" s="1717"/>
      <c r="N55" s="1718"/>
    </row>
    <row r="56">
      <c r="A56" s="1721"/>
      <c r="B56" s="1721"/>
      <c r="C56" s="425"/>
      <c r="D56" s="1714"/>
      <c r="E56" s="1720"/>
      <c r="F56" s="1720"/>
      <c r="G56" s="1716"/>
      <c r="H56" s="1715"/>
      <c r="I56" s="1723"/>
      <c r="J56" s="1717"/>
      <c r="K56" s="1717"/>
      <c r="L56" s="1717"/>
      <c r="M56" s="1717"/>
      <c r="N56" s="1718"/>
    </row>
    <row r="57">
      <c r="A57" s="1721"/>
      <c r="B57" s="312"/>
      <c r="C57" s="1026"/>
      <c r="D57" s="1714"/>
      <c r="E57" s="1720"/>
      <c r="F57" s="1720"/>
      <c r="G57" s="1716"/>
      <c r="H57" s="1715"/>
      <c r="I57" s="1723"/>
      <c r="J57" s="1717"/>
      <c r="K57" s="1717"/>
      <c r="L57" s="1717"/>
      <c r="M57" s="1717"/>
      <c r="N57" s="1718"/>
    </row>
    <row r="58">
      <c r="A58" s="1721"/>
      <c r="C58" s="269"/>
      <c r="D58" s="1714"/>
      <c r="E58" s="1720"/>
      <c r="F58" s="1720"/>
      <c r="G58" s="1716"/>
      <c r="H58" s="1715"/>
      <c r="I58" s="1723"/>
      <c r="J58" s="1717"/>
      <c r="K58" s="1717"/>
      <c r="L58" s="1717"/>
      <c r="M58" s="1717"/>
      <c r="N58" s="1718"/>
    </row>
    <row r="59">
      <c r="A59" s="1721"/>
      <c r="B59" s="1726"/>
      <c r="C59" s="269"/>
      <c r="D59" s="1714"/>
      <c r="E59" s="1720"/>
      <c r="F59" s="1720"/>
      <c r="G59" s="1716"/>
      <c r="H59" s="1715"/>
      <c r="I59" s="1723"/>
      <c r="J59" s="1717"/>
      <c r="K59" s="1717"/>
      <c r="L59" s="1717"/>
      <c r="M59" s="1717"/>
      <c r="N59" s="1718"/>
    </row>
    <row r="60">
      <c r="A60" s="1721"/>
      <c r="B60" s="312"/>
      <c r="C60" s="425"/>
      <c r="D60" s="1714"/>
      <c r="E60" s="1720"/>
      <c r="F60" s="1720"/>
      <c r="G60" s="1716"/>
      <c r="H60" s="1715"/>
      <c r="I60" s="1723"/>
      <c r="J60" s="1717"/>
      <c r="K60" s="1717"/>
      <c r="L60" s="1717"/>
      <c r="M60" s="1717"/>
      <c r="N60" s="1718"/>
    </row>
    <row r="61">
      <c r="A61" s="1721"/>
      <c r="C61" s="1715"/>
      <c r="D61" s="1714"/>
      <c r="E61" s="1720"/>
      <c r="F61" s="1720"/>
      <c r="G61" s="1716"/>
      <c r="H61" s="1715"/>
      <c r="I61" s="1723"/>
      <c r="J61" s="1717"/>
      <c r="K61" s="1717"/>
      <c r="L61" s="1717"/>
      <c r="M61" s="1717"/>
      <c r="N61" s="1718"/>
    </row>
    <row r="62">
      <c r="A62" s="1721"/>
      <c r="B62" s="1724"/>
      <c r="C62" s="269"/>
      <c r="D62" s="1714"/>
      <c r="E62" s="1720"/>
      <c r="F62" s="1720"/>
      <c r="G62" s="1716"/>
      <c r="H62" s="1715"/>
      <c r="I62" s="1723"/>
      <c r="J62" s="1717"/>
      <c r="K62" s="1717"/>
      <c r="L62" s="1717"/>
      <c r="M62" s="1717"/>
      <c r="N62" s="1718"/>
    </row>
    <row r="63">
      <c r="A63" s="1721"/>
      <c r="B63" s="312"/>
      <c r="C63" s="269"/>
      <c r="D63" s="1714"/>
      <c r="E63" s="1720"/>
      <c r="F63" s="1720"/>
      <c r="G63" s="1716"/>
      <c r="H63" s="1715"/>
      <c r="I63" s="1723"/>
      <c r="J63" s="1717"/>
      <c r="K63" s="1717"/>
      <c r="L63" s="1717"/>
      <c r="M63" s="1717"/>
      <c r="N63" s="1718"/>
    </row>
    <row r="64">
      <c r="A64" s="1721"/>
      <c r="C64" s="1026"/>
      <c r="D64" s="1714"/>
      <c r="E64" s="1720"/>
      <c r="F64" s="1720"/>
      <c r="G64" s="1716"/>
      <c r="H64" s="1715"/>
      <c r="I64" s="1723"/>
      <c r="J64" s="1717"/>
      <c r="K64" s="1717"/>
      <c r="L64" s="1717"/>
      <c r="M64" s="1717"/>
      <c r="N64" s="1718"/>
    </row>
    <row r="65">
      <c r="A65" s="1721"/>
      <c r="B65" s="1721"/>
      <c r="C65" s="425"/>
      <c r="D65" s="1714"/>
      <c r="E65" s="1720"/>
      <c r="F65" s="1720"/>
      <c r="G65" s="1716"/>
      <c r="H65" s="1715"/>
      <c r="I65" s="1723"/>
      <c r="J65" s="1717"/>
      <c r="K65" s="1717"/>
      <c r="L65" s="1717"/>
      <c r="M65" s="1717"/>
      <c r="N65" s="1718"/>
    </row>
    <row r="66">
      <c r="A66" s="1721"/>
      <c r="C66" s="1026"/>
      <c r="D66" s="1714"/>
      <c r="E66" s="1720"/>
      <c r="F66" s="1720"/>
      <c r="G66" s="1716"/>
      <c r="H66" s="1715"/>
      <c r="I66" s="1723"/>
      <c r="J66" s="1717"/>
      <c r="K66" s="1717"/>
      <c r="L66" s="1717"/>
      <c r="M66" s="1717"/>
      <c r="N66" s="1718"/>
    </row>
    <row r="67">
      <c r="A67" s="1721"/>
      <c r="B67" s="1724"/>
      <c r="C67" s="1026"/>
      <c r="D67" s="1714"/>
      <c r="E67" s="1720"/>
      <c r="F67" s="1720"/>
      <c r="G67" s="1716"/>
      <c r="H67" s="1715"/>
      <c r="I67" s="1723"/>
      <c r="J67" s="1717"/>
      <c r="K67" s="1717"/>
      <c r="L67" s="1717"/>
      <c r="M67" s="1717"/>
      <c r="N67" s="1718"/>
    </row>
    <row r="68">
      <c r="A68" s="1721"/>
      <c r="B68" s="1717"/>
      <c r="C68" s="1715"/>
      <c r="D68" s="1714"/>
      <c r="E68" s="1720"/>
      <c r="F68" s="1720"/>
      <c r="G68" s="1716"/>
      <c r="H68" s="1715"/>
      <c r="I68" s="1723"/>
      <c r="J68" s="1717"/>
      <c r="K68" s="1717"/>
      <c r="L68" s="1717"/>
      <c r="M68" s="1717"/>
      <c r="N68" s="1718"/>
    </row>
    <row r="69">
      <c r="A69" s="1721"/>
      <c r="B69" s="1717"/>
      <c r="C69" s="1715"/>
      <c r="D69" s="1714"/>
      <c r="E69" s="1720"/>
      <c r="F69" s="1720"/>
      <c r="G69" s="1716"/>
      <c r="H69" s="1715"/>
      <c r="I69" s="1723"/>
      <c r="J69" s="1717"/>
      <c r="K69" s="1717"/>
      <c r="L69" s="1717"/>
      <c r="M69" s="1717"/>
      <c r="N69" s="1718"/>
    </row>
    <row r="70">
      <c r="A70" s="1721"/>
      <c r="C70" s="1026"/>
      <c r="D70" s="1714"/>
      <c r="E70" s="1720"/>
      <c r="F70" s="1720"/>
      <c r="G70" s="1716"/>
      <c r="H70" s="1715"/>
      <c r="I70" s="1723"/>
      <c r="J70" s="1717"/>
      <c r="K70" s="1717"/>
      <c r="L70" s="1717"/>
      <c r="M70" s="1717"/>
      <c r="N70" s="1718"/>
    </row>
    <row r="71">
      <c r="A71" s="1721"/>
      <c r="B71" s="1721"/>
      <c r="C71" s="1026"/>
      <c r="D71" s="1714"/>
      <c r="E71" s="1720"/>
      <c r="F71" s="1720"/>
      <c r="G71" s="1716"/>
      <c r="H71" s="1715"/>
      <c r="I71" s="1715"/>
      <c r="J71" s="1717"/>
      <c r="K71" s="1717"/>
      <c r="L71" s="1717"/>
      <c r="M71" s="1717"/>
      <c r="N71" s="1718"/>
    </row>
    <row r="72">
      <c r="A72" s="1721"/>
      <c r="B72" s="435"/>
      <c r="C72" s="1715"/>
      <c r="D72" s="1714"/>
      <c r="E72" s="1720"/>
      <c r="F72" s="1720"/>
      <c r="G72" s="1716"/>
      <c r="H72" s="1715"/>
      <c r="I72" s="1723"/>
      <c r="J72" s="1717"/>
      <c r="K72" s="1717"/>
      <c r="L72" s="1717"/>
      <c r="M72" s="1717"/>
      <c r="N72" s="1718"/>
    </row>
    <row r="73">
      <c r="A73" s="1721"/>
      <c r="B73" s="1726"/>
      <c r="C73" s="269"/>
      <c r="D73" s="1714"/>
      <c r="E73" s="1720"/>
      <c r="F73" s="1720"/>
      <c r="G73" s="1716"/>
      <c r="H73" s="1715"/>
      <c r="I73" s="1715"/>
      <c r="J73" s="1717"/>
      <c r="K73" s="1717"/>
      <c r="L73" s="1717"/>
      <c r="M73" s="1717"/>
      <c r="N73" s="1718"/>
    </row>
    <row r="74">
      <c r="A74" s="1721"/>
      <c r="B74" s="435"/>
      <c r="C74" s="1715"/>
      <c r="D74" s="1714"/>
      <c r="E74" s="1720"/>
      <c r="F74" s="1720"/>
      <c r="G74" s="1716"/>
      <c r="H74" s="1715"/>
      <c r="I74" s="1723"/>
      <c r="J74" s="1717"/>
      <c r="K74" s="1717"/>
      <c r="L74" s="1717"/>
      <c r="M74" s="1717"/>
      <c r="N74" s="1718"/>
    </row>
    <row r="75">
      <c r="A75" s="1721"/>
      <c r="C75" s="1715"/>
      <c r="D75" s="1714"/>
      <c r="E75" s="1720"/>
      <c r="F75" s="1720"/>
      <c r="G75" s="1716"/>
      <c r="H75" s="1715"/>
      <c r="I75" s="1723"/>
      <c r="J75" s="1717"/>
      <c r="K75" s="1717"/>
      <c r="L75" s="1717"/>
      <c r="M75" s="1717"/>
      <c r="N75" s="1718"/>
    </row>
    <row r="76">
      <c r="A76" s="1721"/>
      <c r="B76" s="1717"/>
      <c r="C76" s="1715"/>
      <c r="D76" s="1714"/>
      <c r="E76" s="1720"/>
      <c r="F76" s="1720"/>
      <c r="G76" s="1716"/>
      <c r="H76" s="1715"/>
      <c r="I76" s="1715"/>
      <c r="J76" s="1717"/>
      <c r="K76" s="1717"/>
      <c r="L76" s="1717"/>
      <c r="M76" s="1717"/>
      <c r="N76" s="1718"/>
    </row>
    <row r="77">
      <c r="A77" s="1721"/>
      <c r="B77" s="308"/>
      <c r="C77" s="1026"/>
      <c r="D77" s="1714"/>
      <c r="E77" s="1720"/>
      <c r="F77" s="1720"/>
      <c r="G77" s="1716"/>
      <c r="H77" s="1715"/>
      <c r="I77" s="1723"/>
      <c r="J77" s="1717"/>
      <c r="K77" s="1717"/>
      <c r="L77" s="1717"/>
      <c r="M77" s="1717"/>
      <c r="N77" s="1718"/>
    </row>
    <row r="78">
      <c r="A78" s="1721"/>
      <c r="C78" s="269"/>
      <c r="D78" s="1714"/>
      <c r="E78" s="1720"/>
      <c r="F78" s="1720"/>
      <c r="G78" s="1716"/>
      <c r="H78" s="1715"/>
      <c r="I78" s="1723"/>
      <c r="J78" s="1717"/>
      <c r="K78" s="1717"/>
      <c r="L78" s="1717"/>
      <c r="M78" s="1717"/>
      <c r="N78" s="1718"/>
    </row>
    <row r="79">
      <c r="A79" s="1721"/>
      <c r="B79" s="308"/>
      <c r="C79" s="1730"/>
      <c r="D79" s="1714"/>
      <c r="E79" s="1720"/>
      <c r="F79" s="1720"/>
      <c r="G79" s="1716"/>
      <c r="H79" s="1715"/>
      <c r="I79" s="1723"/>
      <c r="J79" s="1717"/>
      <c r="K79" s="1717"/>
      <c r="L79" s="1717"/>
      <c r="M79" s="1717"/>
      <c r="N79" s="1718"/>
    </row>
    <row r="80">
      <c r="A80" s="1721"/>
      <c r="B80" s="1724"/>
      <c r="C80" s="1715"/>
      <c r="D80" s="1714"/>
      <c r="E80" s="1720"/>
      <c r="F80" s="1720"/>
      <c r="G80" s="1716"/>
      <c r="H80" s="1715"/>
      <c r="I80" s="1723"/>
      <c r="J80" s="1717"/>
      <c r="K80" s="1717"/>
      <c r="L80" s="1717"/>
      <c r="M80" s="1717"/>
      <c r="N80" s="1718"/>
    </row>
    <row r="81">
      <c r="A81" s="1721"/>
      <c r="B81" s="1722"/>
      <c r="C81" s="269"/>
      <c r="D81" s="1714"/>
      <c r="E81" s="1720"/>
      <c r="F81" s="1720"/>
      <c r="G81" s="1716"/>
      <c r="H81" s="1715"/>
      <c r="I81" s="1723"/>
      <c r="J81" s="1717"/>
      <c r="K81" s="1717"/>
      <c r="L81" s="1717"/>
      <c r="M81" s="1717"/>
      <c r="N81" s="1718"/>
    </row>
    <row r="82">
      <c r="A82" s="1721"/>
      <c r="C82" s="1715"/>
      <c r="D82" s="1714"/>
      <c r="E82" s="1720"/>
      <c r="F82" s="1720"/>
      <c r="G82" s="1716"/>
      <c r="H82" s="1715"/>
      <c r="I82" s="1723"/>
      <c r="J82" s="1717"/>
      <c r="K82" s="1717"/>
      <c r="L82" s="1717"/>
      <c r="M82" s="1717"/>
      <c r="N82" s="1718"/>
    </row>
    <row r="83">
      <c r="A83" s="1721"/>
      <c r="B83" s="302"/>
      <c r="C83" s="269"/>
      <c r="D83" s="1714"/>
      <c r="E83" s="1720"/>
      <c r="F83" s="1720"/>
      <c r="G83" s="1716"/>
      <c r="H83" s="1715"/>
      <c r="I83" s="1723"/>
      <c r="J83" s="1717"/>
      <c r="K83" s="1717"/>
      <c r="L83" s="1717"/>
      <c r="M83" s="1717"/>
      <c r="N83" s="1718"/>
    </row>
    <row r="84">
      <c r="A84" s="1721"/>
      <c r="C84" s="1026"/>
      <c r="D84" s="1714"/>
      <c r="E84" s="1720"/>
      <c r="F84" s="1720"/>
      <c r="G84" s="1716"/>
      <c r="H84" s="1715"/>
      <c r="I84" s="1723"/>
      <c r="J84" s="1717"/>
      <c r="K84" s="1717"/>
      <c r="L84" s="1717"/>
      <c r="M84" s="1717"/>
      <c r="N84" s="1718"/>
    </row>
    <row r="85">
      <c r="A85" s="1721"/>
      <c r="B85" s="1717"/>
      <c r="C85" s="1715"/>
      <c r="D85" s="1714"/>
      <c r="E85" s="1720"/>
      <c r="F85" s="1720"/>
      <c r="G85" s="1716"/>
      <c r="H85" s="1715"/>
      <c r="I85" s="1723"/>
      <c r="J85" s="1717"/>
      <c r="K85" s="1717"/>
      <c r="L85" s="1717"/>
      <c r="M85" s="1717"/>
      <c r="N85" s="1718"/>
    </row>
    <row r="86">
      <c r="A86" s="1721"/>
      <c r="B86" s="1724"/>
      <c r="C86" s="269"/>
      <c r="D86" s="1714"/>
      <c r="E86" s="1720"/>
      <c r="F86" s="1720"/>
      <c r="G86" s="1716"/>
      <c r="H86" s="1715"/>
      <c r="I86" s="1715"/>
      <c r="J86" s="1717"/>
      <c r="K86" s="1717"/>
      <c r="L86" s="1717"/>
      <c r="M86" s="1717"/>
      <c r="N86" s="1718"/>
    </row>
    <row r="87">
      <c r="A87" s="1721"/>
      <c r="B87" s="312"/>
      <c r="C87" s="425"/>
      <c r="D87" s="1714"/>
      <c r="E87" s="1720"/>
      <c r="F87" s="1720"/>
      <c r="G87" s="1716"/>
      <c r="H87" s="1715"/>
      <c r="I87" s="1723"/>
      <c r="J87" s="1717"/>
      <c r="K87" s="1717"/>
      <c r="L87" s="1717"/>
      <c r="M87" s="1717"/>
      <c r="N87" s="1718"/>
    </row>
    <row r="88">
      <c r="A88" s="1721"/>
      <c r="C88" s="1026"/>
      <c r="D88" s="1714"/>
      <c r="E88" s="1720"/>
      <c r="F88" s="1720"/>
      <c r="G88" s="1716"/>
      <c r="H88" s="1715"/>
      <c r="I88" s="1723"/>
      <c r="J88" s="1717"/>
      <c r="K88" s="1717"/>
      <c r="L88" s="1717"/>
      <c r="M88" s="1717"/>
      <c r="N88" s="1718"/>
    </row>
    <row r="89">
      <c r="A89" s="1721"/>
      <c r="B89" s="312"/>
      <c r="C89" s="425"/>
      <c r="D89" s="1714"/>
      <c r="E89" s="1720"/>
      <c r="F89" s="1720"/>
      <c r="G89" s="1716"/>
      <c r="H89" s="1715"/>
      <c r="I89" s="1723"/>
      <c r="J89" s="1717"/>
      <c r="K89" s="1717"/>
      <c r="L89" s="1717"/>
      <c r="M89" s="1717"/>
      <c r="N89" s="1718"/>
    </row>
    <row r="90">
      <c r="A90" s="1721"/>
      <c r="B90" s="1724"/>
      <c r="C90" s="425"/>
      <c r="D90" s="1714"/>
      <c r="E90" s="1720"/>
      <c r="F90" s="1720"/>
      <c r="G90" s="1716"/>
      <c r="H90" s="1715"/>
      <c r="I90" s="1715"/>
      <c r="J90" s="1717"/>
      <c r="K90" s="1717"/>
      <c r="L90" s="1717"/>
      <c r="M90" s="1717"/>
      <c r="N90" s="1718"/>
    </row>
    <row r="91">
      <c r="A91" s="1721"/>
      <c r="C91" s="269"/>
      <c r="D91" s="1714"/>
      <c r="E91" s="1720"/>
      <c r="F91" s="1720"/>
      <c r="G91" s="1716"/>
      <c r="H91" s="1715"/>
      <c r="I91" s="1723"/>
      <c r="J91" s="1717"/>
      <c r="K91" s="1717"/>
      <c r="L91" s="1717"/>
      <c r="M91" s="1717"/>
      <c r="N91" s="1718"/>
    </row>
    <row r="92">
      <c r="A92" s="1721"/>
      <c r="C92" s="269"/>
      <c r="D92" s="1714"/>
      <c r="E92" s="1720"/>
      <c r="F92" s="1720"/>
      <c r="G92" s="1716"/>
      <c r="H92" s="1715"/>
      <c r="I92" s="1723"/>
      <c r="J92" s="1717"/>
      <c r="K92" s="1717"/>
      <c r="L92" s="1717"/>
      <c r="M92" s="1717"/>
      <c r="N92" s="1718"/>
    </row>
    <row r="93">
      <c r="A93" s="1721"/>
      <c r="B93" s="312"/>
      <c r="C93" s="425"/>
      <c r="D93" s="1714"/>
      <c r="E93" s="1720"/>
      <c r="F93" s="1720"/>
      <c r="G93" s="1716"/>
      <c r="H93" s="1715"/>
      <c r="I93" s="1723"/>
      <c r="J93" s="1717"/>
      <c r="K93" s="1717"/>
      <c r="L93" s="1717"/>
      <c r="M93" s="1717"/>
      <c r="N93" s="1718"/>
    </row>
    <row r="94">
      <c r="A94" s="1721"/>
      <c r="B94" s="1726"/>
      <c r="C94" s="269"/>
      <c r="D94" s="1714"/>
      <c r="E94" s="1720"/>
      <c r="F94" s="1720"/>
      <c r="G94" s="1716"/>
      <c r="H94" s="1715"/>
      <c r="I94" s="1715"/>
      <c r="J94" s="1717"/>
      <c r="K94" s="1717"/>
      <c r="L94" s="1717"/>
      <c r="M94" s="1717"/>
      <c r="N94" s="1718"/>
    </row>
    <row r="95">
      <c r="A95" s="1721"/>
      <c r="B95" s="1725"/>
      <c r="C95" s="1731"/>
      <c r="D95" s="1714"/>
      <c r="E95" s="1720"/>
      <c r="F95" s="1720"/>
      <c r="G95" s="1716"/>
      <c r="H95" s="1715"/>
      <c r="I95" s="1723"/>
      <c r="J95" s="1717"/>
      <c r="K95" s="1717"/>
      <c r="L95" s="1717"/>
      <c r="M95" s="1717"/>
      <c r="N95" s="1718"/>
    </row>
    <row r="96">
      <c r="A96" s="1721"/>
      <c r="B96" s="1717"/>
      <c r="C96" s="1715"/>
      <c r="D96" s="1714"/>
      <c r="E96" s="1720"/>
      <c r="F96" s="1720"/>
      <c r="G96" s="1716"/>
      <c r="H96" s="1715"/>
      <c r="I96" s="1723"/>
      <c r="J96" s="1717"/>
      <c r="K96" s="1717"/>
      <c r="L96" s="1717"/>
      <c r="M96" s="1717"/>
      <c r="N96" s="1718"/>
    </row>
    <row r="97">
      <c r="A97" s="1721"/>
      <c r="C97" s="269"/>
      <c r="D97" s="1714"/>
      <c r="E97" s="1720"/>
      <c r="F97" s="1720"/>
      <c r="G97" s="1716"/>
      <c r="H97" s="1715"/>
      <c r="I97" s="1723"/>
      <c r="J97" s="1717"/>
      <c r="K97" s="1717"/>
      <c r="L97" s="1717"/>
      <c r="M97" s="1717"/>
      <c r="N97" s="1718"/>
    </row>
    <row r="98">
      <c r="A98" s="1721"/>
      <c r="B98" s="312"/>
      <c r="C98" s="425"/>
      <c r="D98" s="1714"/>
      <c r="E98" s="1720"/>
      <c r="F98" s="1720"/>
      <c r="G98" s="1716"/>
      <c r="H98" s="1715"/>
      <c r="I98" s="1723"/>
      <c r="J98" s="1717"/>
      <c r="K98" s="1717"/>
      <c r="L98" s="1717"/>
      <c r="M98" s="1717"/>
      <c r="N98" s="1718"/>
    </row>
    <row r="99">
      <c r="A99" s="1721"/>
      <c r="B99" s="1726"/>
      <c r="C99" s="269"/>
      <c r="D99" s="1714"/>
      <c r="E99" s="1720"/>
      <c r="F99" s="1720"/>
      <c r="G99" s="1716"/>
      <c r="H99" s="1715"/>
      <c r="I99" s="1715"/>
      <c r="J99" s="1717"/>
      <c r="K99" s="1717"/>
      <c r="L99" s="1717"/>
      <c r="M99" s="1717"/>
      <c r="N99" s="1718"/>
    </row>
    <row r="100">
      <c r="A100" s="1721"/>
      <c r="B100" s="312"/>
      <c r="C100" s="425"/>
      <c r="D100" s="1714"/>
      <c r="E100" s="1720"/>
      <c r="F100" s="1720"/>
      <c r="G100" s="1716"/>
      <c r="H100" s="1715"/>
      <c r="I100" s="1723"/>
      <c r="J100" s="1717"/>
      <c r="K100" s="1717"/>
      <c r="L100" s="1717"/>
      <c r="M100" s="1717"/>
      <c r="N100" s="1718"/>
    </row>
    <row r="101">
      <c r="A101" s="1721"/>
      <c r="C101" s="269"/>
      <c r="D101" s="1714"/>
      <c r="E101" s="1720"/>
      <c r="F101" s="1720"/>
      <c r="G101" s="1716"/>
      <c r="H101" s="1715"/>
      <c r="I101" s="1723"/>
      <c r="J101" s="1717"/>
      <c r="K101" s="1717"/>
      <c r="L101" s="1717"/>
      <c r="M101" s="1717"/>
      <c r="N101" s="1718"/>
    </row>
    <row r="102">
      <c r="A102" s="1721"/>
      <c r="B102" s="312"/>
      <c r="C102" s="425"/>
      <c r="D102" s="1714"/>
      <c r="E102" s="1720"/>
      <c r="F102" s="1720"/>
      <c r="G102" s="1716"/>
      <c r="H102" s="1715"/>
      <c r="I102" s="1715"/>
      <c r="J102" s="1717"/>
      <c r="K102" s="1717"/>
      <c r="L102" s="1717"/>
      <c r="M102" s="1717"/>
      <c r="N102" s="1718"/>
    </row>
    <row r="103">
      <c r="A103" s="1721"/>
      <c r="C103" s="1026"/>
      <c r="D103" s="1714"/>
      <c r="E103" s="1720"/>
      <c r="F103" s="1720"/>
      <c r="G103" s="1716"/>
      <c r="H103" s="1715"/>
      <c r="I103" s="1723"/>
      <c r="J103" s="1717"/>
      <c r="K103" s="1717"/>
      <c r="L103" s="1717"/>
      <c r="M103" s="1717"/>
      <c r="N103" s="1718"/>
    </row>
    <row r="104">
      <c r="A104" s="1721"/>
      <c r="B104" s="308"/>
      <c r="C104" s="425"/>
      <c r="D104" s="1714"/>
      <c r="E104" s="1720"/>
      <c r="F104" s="1720"/>
      <c r="G104" s="1716"/>
      <c r="H104" s="1715"/>
      <c r="I104" s="1723"/>
      <c r="J104" s="1717"/>
      <c r="K104" s="1717"/>
      <c r="L104" s="1717"/>
      <c r="M104" s="1717"/>
      <c r="N104" s="1718"/>
    </row>
    <row r="105">
      <c r="A105" s="1721"/>
      <c r="B105" s="1717"/>
      <c r="C105" s="1715"/>
      <c r="D105" s="1714"/>
      <c r="E105" s="1720"/>
      <c r="F105" s="1720"/>
      <c r="G105" s="1716"/>
      <c r="H105" s="1715"/>
      <c r="I105" s="1723"/>
      <c r="J105" s="1717"/>
      <c r="K105" s="1717"/>
      <c r="L105" s="1717"/>
      <c r="M105" s="1717"/>
      <c r="N105" s="1718"/>
    </row>
    <row r="106">
      <c r="A106" s="1721"/>
      <c r="B106" s="1717"/>
      <c r="C106" s="1715"/>
      <c r="D106" s="1714"/>
      <c r="E106" s="1720"/>
      <c r="F106" s="1720"/>
      <c r="G106" s="1716"/>
      <c r="H106" s="1715"/>
      <c r="I106" s="1723"/>
      <c r="J106" s="1717"/>
      <c r="K106" s="1717"/>
      <c r="L106" s="1717"/>
      <c r="M106" s="1717"/>
      <c r="N106" s="1718"/>
    </row>
    <row r="107">
      <c r="A107" s="1721"/>
      <c r="B107" s="308"/>
      <c r="C107" s="1730"/>
      <c r="D107" s="1714"/>
      <c r="E107" s="1720"/>
      <c r="F107" s="1720"/>
      <c r="G107" s="1716"/>
      <c r="H107" s="1715"/>
      <c r="I107" s="1723"/>
      <c r="J107" s="1717"/>
      <c r="K107" s="1717"/>
      <c r="L107" s="1717"/>
      <c r="M107" s="1717"/>
      <c r="N107" s="1718"/>
    </row>
    <row r="108">
      <c r="A108" s="1721"/>
      <c r="B108" s="308"/>
      <c r="C108" s="1026"/>
      <c r="D108" s="1714"/>
      <c r="E108" s="1720"/>
      <c r="F108" s="1732"/>
      <c r="G108" s="1716"/>
      <c r="H108" s="1715"/>
      <c r="I108" s="1715"/>
      <c r="J108" s="1717"/>
      <c r="K108" s="1717"/>
      <c r="L108" s="1717"/>
      <c r="M108" s="1717"/>
      <c r="N108" s="1718"/>
    </row>
    <row r="109">
      <c r="A109" s="1721"/>
      <c r="C109" s="1026"/>
      <c r="D109" s="1714"/>
      <c r="E109" s="1720"/>
      <c r="F109" s="1720"/>
      <c r="G109" s="1716"/>
      <c r="H109" s="1715"/>
      <c r="I109" s="1715"/>
      <c r="J109" s="1717"/>
      <c r="K109" s="1717"/>
      <c r="L109" s="1717"/>
      <c r="M109" s="1717"/>
      <c r="N109" s="1718"/>
    </row>
    <row r="110">
      <c r="A110" s="1721"/>
      <c r="C110" s="1026"/>
      <c r="D110" s="1714"/>
      <c r="E110" s="1720"/>
      <c r="F110" s="1720"/>
      <c r="G110" s="1716"/>
      <c r="H110" s="1715"/>
      <c r="I110" s="1715"/>
      <c r="J110" s="1717"/>
      <c r="K110" s="1717"/>
      <c r="L110" s="1717"/>
      <c r="M110" s="1717"/>
      <c r="N110" s="1718"/>
    </row>
    <row r="111">
      <c r="A111" s="1721"/>
      <c r="C111" s="1715"/>
      <c r="D111" s="1714"/>
      <c r="E111" s="1720"/>
      <c r="F111" s="1720"/>
      <c r="G111" s="1716"/>
      <c r="H111" s="1715"/>
      <c r="I111" s="1715"/>
      <c r="J111" s="1717"/>
      <c r="K111" s="1717"/>
      <c r="L111" s="1717"/>
      <c r="M111" s="1717"/>
      <c r="N111" s="1718"/>
    </row>
    <row r="112">
      <c r="A112" s="1721"/>
      <c r="C112" s="425"/>
      <c r="D112" s="1714"/>
      <c r="E112" s="1720"/>
      <c r="F112" s="1720"/>
      <c r="G112" s="1716"/>
      <c r="H112" s="1715"/>
      <c r="I112" s="1715"/>
      <c r="J112" s="1717"/>
      <c r="K112" s="1717"/>
      <c r="L112" s="1717"/>
      <c r="M112" s="1717"/>
      <c r="N112" s="1718"/>
    </row>
    <row r="113">
      <c r="A113" s="1721"/>
      <c r="C113" s="1715"/>
      <c r="D113" s="1714"/>
      <c r="E113" s="1720"/>
      <c r="F113" s="1720"/>
      <c r="G113" s="1716"/>
      <c r="H113" s="1715"/>
      <c r="I113" s="1715"/>
      <c r="J113" s="1717"/>
      <c r="K113" s="1717"/>
      <c r="L113" s="1717"/>
      <c r="M113" s="1717"/>
      <c r="N113" s="1718"/>
    </row>
    <row r="114">
      <c r="A114" s="1721"/>
      <c r="B114" s="312"/>
      <c r="C114" s="1026"/>
      <c r="D114" s="1714"/>
      <c r="E114" s="1720"/>
      <c r="F114" s="1720"/>
      <c r="G114" s="1716"/>
      <c r="H114" s="1715"/>
      <c r="I114" s="1715"/>
      <c r="J114" s="1717"/>
      <c r="K114" s="1717"/>
      <c r="L114" s="1717"/>
      <c r="M114" s="1717"/>
      <c r="N114" s="1718"/>
    </row>
    <row r="115">
      <c r="A115" s="1721"/>
      <c r="B115" s="312"/>
      <c r="C115" s="425"/>
      <c r="D115" s="1714"/>
      <c r="E115" s="1720"/>
      <c r="F115" s="1720"/>
      <c r="G115" s="1716"/>
      <c r="H115" s="1715"/>
      <c r="I115" s="1715"/>
      <c r="J115" s="1717"/>
      <c r="K115" s="1717"/>
      <c r="L115" s="1717"/>
      <c r="M115" s="1717"/>
      <c r="N115" s="1718"/>
    </row>
    <row r="116">
      <c r="A116" s="1721"/>
      <c r="B116" s="312"/>
      <c r="C116" s="425"/>
      <c r="D116" s="1714"/>
      <c r="E116" s="1720"/>
      <c r="F116" s="1720"/>
      <c r="G116" s="1716"/>
      <c r="H116" s="1715"/>
      <c r="I116" s="1715"/>
      <c r="J116" s="1717"/>
      <c r="K116" s="1717"/>
      <c r="L116" s="1717"/>
      <c r="M116" s="1717"/>
      <c r="N116" s="1718"/>
    </row>
    <row r="117">
      <c r="A117" s="1721"/>
      <c r="B117" s="312"/>
      <c r="C117" s="425"/>
      <c r="D117" s="1714"/>
      <c r="E117" s="1720"/>
      <c r="F117" s="1720"/>
      <c r="G117" s="1716"/>
      <c r="H117" s="1715"/>
      <c r="I117" s="1715"/>
      <c r="J117" s="1717"/>
      <c r="K117" s="1717"/>
      <c r="L117" s="1717"/>
      <c r="M117" s="1717"/>
      <c r="N117" s="1718"/>
    </row>
    <row r="118">
      <c r="A118" s="1721"/>
      <c r="B118" s="312"/>
      <c r="C118" s="425"/>
      <c r="D118" s="1714"/>
      <c r="E118" s="1720"/>
      <c r="F118" s="1720"/>
      <c r="G118" s="1716"/>
      <c r="H118" s="1715"/>
      <c r="I118" s="1723"/>
      <c r="J118" s="1717"/>
      <c r="K118" s="1717"/>
      <c r="L118" s="1717"/>
      <c r="M118" s="1717"/>
      <c r="N118" s="1718"/>
    </row>
    <row r="119">
      <c r="A119" s="1721"/>
      <c r="B119" s="312"/>
      <c r="C119" s="425"/>
      <c r="D119" s="1714"/>
      <c r="E119" s="1720"/>
      <c r="F119" s="1720"/>
      <c r="G119" s="1716"/>
      <c r="H119" s="1715"/>
      <c r="I119" s="1715"/>
      <c r="J119" s="1717"/>
      <c r="K119" s="1717"/>
      <c r="L119" s="1717"/>
      <c r="M119" s="1717"/>
      <c r="N119" s="1718"/>
    </row>
    <row r="120">
      <c r="A120" s="1721"/>
      <c r="B120" s="1724"/>
      <c r="C120" s="269"/>
      <c r="D120" s="1714"/>
      <c r="E120" s="1720"/>
      <c r="F120" s="1720"/>
      <c r="G120" s="1716"/>
      <c r="H120" s="1715"/>
      <c r="I120" s="1723"/>
      <c r="J120" s="1717"/>
      <c r="K120" s="1717"/>
      <c r="L120" s="1717"/>
      <c r="M120" s="1717"/>
      <c r="N120" s="1718"/>
    </row>
    <row r="121">
      <c r="A121" s="1721"/>
      <c r="B121" s="308"/>
      <c r="C121" s="425"/>
      <c r="D121" s="1714"/>
      <c r="E121" s="1720"/>
      <c r="F121" s="1720"/>
      <c r="G121" s="1716"/>
      <c r="H121" s="1715"/>
      <c r="I121" s="1715"/>
      <c r="J121" s="1717"/>
      <c r="K121" s="1717"/>
      <c r="L121" s="1717"/>
      <c r="M121" s="1717"/>
      <c r="N121" s="1718"/>
    </row>
    <row r="122">
      <c r="A122" s="1721"/>
      <c r="B122" s="435"/>
      <c r="C122" s="1715"/>
      <c r="D122" s="1714"/>
      <c r="E122" s="1720"/>
      <c r="F122" s="1720"/>
      <c r="G122" s="1716"/>
      <c r="H122" s="1715"/>
      <c r="I122" s="1715"/>
      <c r="J122" s="1717"/>
      <c r="K122" s="1717"/>
      <c r="L122" s="1717"/>
      <c r="M122" s="1717"/>
      <c r="N122" s="1718"/>
    </row>
    <row r="123">
      <c r="A123" s="1721"/>
      <c r="C123" s="1026"/>
      <c r="D123" s="1714"/>
      <c r="E123" s="1720"/>
      <c r="F123" s="1720"/>
      <c r="G123" s="1716"/>
      <c r="H123" s="1715"/>
      <c r="I123" s="1715"/>
      <c r="J123" s="1717"/>
      <c r="K123" s="1717"/>
      <c r="L123" s="1717"/>
      <c r="M123" s="1717"/>
      <c r="N123" s="1718"/>
    </row>
    <row r="124">
      <c r="A124" s="1721"/>
      <c r="C124" s="1715"/>
      <c r="D124" s="1714"/>
      <c r="E124" s="1720"/>
      <c r="F124" s="1720"/>
      <c r="G124" s="1716"/>
      <c r="H124" s="1715"/>
      <c r="I124" s="1715"/>
      <c r="J124" s="1717"/>
      <c r="K124" s="1717"/>
      <c r="L124" s="1717"/>
      <c r="M124" s="1717"/>
      <c r="N124" s="1718"/>
    </row>
    <row r="125">
      <c r="A125" s="1721"/>
      <c r="B125" s="312"/>
      <c r="C125" s="1715"/>
      <c r="D125" s="1714"/>
      <c r="E125" s="1720"/>
      <c r="F125" s="1720"/>
      <c r="G125" s="1716"/>
      <c r="H125" s="1715"/>
      <c r="I125" s="1715"/>
      <c r="J125" s="1717"/>
      <c r="K125" s="1717"/>
      <c r="L125" s="1717"/>
      <c r="M125" s="1717"/>
      <c r="N125" s="1718"/>
    </row>
    <row r="126">
      <c r="A126" s="1721"/>
      <c r="C126" s="1026"/>
      <c r="D126" s="1714"/>
      <c r="E126" s="1720"/>
      <c r="F126" s="1720"/>
      <c r="G126" s="1716"/>
      <c r="H126" s="1715"/>
      <c r="I126" s="1715"/>
      <c r="J126" s="1717"/>
      <c r="K126" s="1717"/>
      <c r="L126" s="1717"/>
      <c r="M126" s="1717"/>
      <c r="N126" s="1718"/>
    </row>
    <row r="127">
      <c r="A127" s="1721"/>
      <c r="B127" s="308"/>
      <c r="C127" s="425"/>
      <c r="D127" s="1714"/>
      <c r="E127" s="1720"/>
      <c r="F127" s="1720"/>
      <c r="G127" s="1716"/>
      <c r="H127" s="1715"/>
      <c r="I127" s="1715"/>
      <c r="J127" s="1717"/>
      <c r="K127" s="1717"/>
      <c r="L127" s="1717"/>
      <c r="M127" s="1717"/>
      <c r="N127" s="1718"/>
    </row>
    <row r="128">
      <c r="A128" s="1721"/>
      <c r="B128" s="312"/>
      <c r="C128" s="425"/>
      <c r="D128" s="1714"/>
      <c r="E128" s="1720"/>
      <c r="F128" s="1720"/>
      <c r="G128" s="1716"/>
      <c r="H128" s="1715"/>
      <c r="I128" s="1715"/>
      <c r="J128" s="1717"/>
      <c r="K128" s="1717"/>
      <c r="L128" s="1717"/>
      <c r="M128" s="1717"/>
      <c r="N128" s="1718"/>
    </row>
    <row r="129">
      <c r="A129" s="1721"/>
      <c r="B129" s="1721"/>
      <c r="C129" s="425"/>
      <c r="D129" s="1714"/>
      <c r="E129" s="1720"/>
      <c r="F129" s="1720"/>
      <c r="G129" s="1716"/>
      <c r="H129" s="1715"/>
      <c r="I129" s="1715"/>
      <c r="J129" s="1717"/>
      <c r="K129" s="1717"/>
      <c r="L129" s="1717"/>
      <c r="M129" s="1717"/>
      <c r="N129" s="1718"/>
    </row>
    <row r="130">
      <c r="A130" s="1721"/>
      <c r="B130" s="312"/>
      <c r="C130" s="425"/>
      <c r="D130" s="1714"/>
      <c r="E130" s="1720"/>
      <c r="F130" s="1720"/>
      <c r="G130" s="1716"/>
      <c r="H130" s="1715"/>
      <c r="I130" s="1715"/>
      <c r="J130" s="1717"/>
      <c r="K130" s="1717"/>
      <c r="L130" s="1717"/>
      <c r="M130" s="1717"/>
      <c r="N130" s="1718"/>
    </row>
    <row r="131">
      <c r="A131" s="1721"/>
      <c r="B131" s="312"/>
      <c r="C131" s="1026"/>
      <c r="D131" s="1714"/>
      <c r="E131" s="1732"/>
      <c r="F131" s="1732"/>
      <c r="G131" s="1716"/>
      <c r="H131" s="1715"/>
      <c r="I131" s="1715"/>
      <c r="J131" s="1717"/>
      <c r="K131" s="1717"/>
      <c r="L131" s="1717"/>
      <c r="M131" s="1717"/>
      <c r="N131" s="1718"/>
    </row>
    <row r="132">
      <c r="A132" s="1721"/>
      <c r="B132" s="1717"/>
      <c r="C132" s="1715"/>
      <c r="D132" s="1714"/>
      <c r="E132" s="1720"/>
      <c r="F132" s="1720"/>
      <c r="G132" s="1716"/>
      <c r="H132" s="1715"/>
      <c r="I132" s="1723"/>
      <c r="J132" s="1717"/>
      <c r="K132" s="1717"/>
      <c r="L132" s="1717"/>
      <c r="M132" s="1717"/>
      <c r="N132" s="1717"/>
    </row>
    <row r="133">
      <c r="C133" s="269"/>
      <c r="D133" s="1714"/>
      <c r="E133" s="507"/>
      <c r="F133" s="507"/>
      <c r="G133" s="1716"/>
      <c r="I133" s="1727"/>
      <c r="J133" s="1728"/>
      <c r="K133" s="1728"/>
      <c r="L133" s="1728"/>
      <c r="M133" s="1728"/>
      <c r="N133" s="1718"/>
    </row>
    <row r="134">
      <c r="C134" s="269"/>
      <c r="D134" s="1714"/>
      <c r="E134" s="507"/>
      <c r="F134" s="507"/>
      <c r="G134" s="1716"/>
      <c r="I134" s="1727"/>
      <c r="J134" s="1728"/>
      <c r="K134" s="1728"/>
      <c r="L134" s="1728"/>
      <c r="M134" s="1728"/>
      <c r="N134" s="1718"/>
    </row>
    <row r="135">
      <c r="A135" s="1721"/>
      <c r="B135" s="312"/>
      <c r="C135" s="1715"/>
      <c r="D135" s="1714"/>
      <c r="E135" s="1720"/>
      <c r="F135" s="1720"/>
      <c r="G135" s="1716"/>
      <c r="H135" s="1715"/>
      <c r="I135" s="1715"/>
      <c r="J135" s="1717"/>
      <c r="K135" s="1717"/>
      <c r="L135" s="1717"/>
      <c r="M135" s="1717"/>
      <c r="N135" s="1718"/>
    </row>
    <row r="136">
      <c r="A136" s="1721"/>
      <c r="C136" s="1026"/>
      <c r="D136" s="1714"/>
      <c r="E136" s="1720"/>
      <c r="F136" s="1720"/>
      <c r="G136" s="1716"/>
      <c r="H136" s="1715"/>
      <c r="I136" s="1715"/>
      <c r="J136" s="1717"/>
      <c r="K136" s="1717"/>
      <c r="L136" s="1717"/>
      <c r="M136" s="1717"/>
      <c r="N136" s="1718"/>
    </row>
    <row r="137">
      <c r="A137" s="1721"/>
      <c r="C137" s="1026"/>
      <c r="D137" s="1714"/>
      <c r="E137" s="1720"/>
      <c r="F137" s="1720"/>
      <c r="G137" s="1716"/>
      <c r="H137" s="1715"/>
      <c r="I137" s="1715"/>
      <c r="J137" s="1717"/>
      <c r="K137" s="1717"/>
      <c r="L137" s="1717"/>
      <c r="M137" s="1717"/>
      <c r="N137" s="1718"/>
    </row>
    <row r="138">
      <c r="A138" s="1721"/>
      <c r="C138" s="1026"/>
      <c r="D138" s="1714"/>
      <c r="E138" s="1720"/>
      <c r="F138" s="1720"/>
      <c r="G138" s="1716"/>
      <c r="H138" s="1715"/>
      <c r="I138" s="1715"/>
      <c r="J138" s="1717"/>
      <c r="K138" s="1717"/>
      <c r="L138" s="1717"/>
      <c r="M138" s="1717"/>
      <c r="N138" s="1718"/>
    </row>
    <row r="139">
      <c r="A139" s="1721"/>
      <c r="C139" s="1026"/>
      <c r="D139" s="1714"/>
      <c r="E139" s="1720"/>
      <c r="F139" s="1720"/>
      <c r="G139" s="1716"/>
      <c r="H139" s="1715"/>
      <c r="I139" s="1715"/>
      <c r="J139" s="1717"/>
      <c r="K139" s="1717"/>
      <c r="L139" s="1717"/>
      <c r="M139" s="1717"/>
      <c r="N139" s="1718"/>
    </row>
    <row r="140">
      <c r="A140" s="1721"/>
      <c r="C140" s="269"/>
      <c r="D140" s="1714"/>
      <c r="E140" s="1720"/>
      <c r="F140" s="1720"/>
      <c r="G140" s="1716"/>
      <c r="H140" s="1715"/>
      <c r="I140" s="1715"/>
      <c r="J140" s="1717"/>
      <c r="K140" s="1717"/>
      <c r="L140" s="1717"/>
      <c r="M140" s="1717"/>
      <c r="N140" s="1718"/>
    </row>
    <row r="141">
      <c r="A141" s="1721"/>
      <c r="C141" s="1026"/>
      <c r="D141" s="1714"/>
      <c r="E141" s="1720"/>
      <c r="F141" s="1720"/>
      <c r="G141" s="1716"/>
      <c r="H141" s="1715"/>
      <c r="I141" s="1715"/>
      <c r="J141" s="1717"/>
      <c r="K141" s="1717"/>
      <c r="L141" s="1717"/>
      <c r="M141" s="1717"/>
      <c r="N141" s="1718"/>
    </row>
    <row r="142">
      <c r="A142" s="1721"/>
      <c r="C142" s="1026"/>
      <c r="D142" s="1714"/>
      <c r="E142" s="1720"/>
      <c r="F142" s="1720"/>
      <c r="G142" s="1716"/>
      <c r="H142" s="1715"/>
      <c r="I142" s="1715"/>
      <c r="J142" s="1717"/>
      <c r="K142" s="1717"/>
      <c r="L142" s="1717"/>
      <c r="M142" s="1717"/>
      <c r="N142" s="1718"/>
    </row>
    <row r="143">
      <c r="A143" s="1721"/>
      <c r="B143" s="1726"/>
      <c r="C143" s="269"/>
      <c r="D143" s="1714"/>
      <c r="E143" s="1720"/>
      <c r="F143" s="1720"/>
      <c r="G143" s="1716"/>
      <c r="H143" s="1715"/>
      <c r="I143" s="1715"/>
      <c r="J143" s="1717"/>
      <c r="K143" s="1717"/>
      <c r="L143" s="1717"/>
      <c r="M143" s="1717"/>
      <c r="N143" s="1718"/>
    </row>
    <row r="144">
      <c r="A144" s="1721"/>
      <c r="C144" s="1026"/>
      <c r="D144" s="1714"/>
      <c r="E144" s="1720"/>
      <c r="F144" s="1720"/>
      <c r="G144" s="1716"/>
      <c r="H144" s="1715"/>
      <c r="I144" s="1715"/>
      <c r="J144" s="1717"/>
      <c r="K144" s="1717"/>
      <c r="L144" s="1717"/>
      <c r="M144" s="1717"/>
      <c r="N144" s="1718"/>
    </row>
    <row r="145">
      <c r="A145" s="1721"/>
      <c r="C145" s="1026"/>
      <c r="D145" s="1714"/>
      <c r="E145" s="1720"/>
      <c r="F145" s="1720"/>
      <c r="G145" s="1716"/>
      <c r="H145" s="1715"/>
      <c r="I145" s="1715"/>
      <c r="J145" s="1717"/>
      <c r="K145" s="1717"/>
      <c r="L145" s="1717"/>
      <c r="M145" s="1717"/>
      <c r="N145" s="1718"/>
    </row>
    <row r="146">
      <c r="A146" s="1721"/>
      <c r="C146" s="1026"/>
      <c r="D146" s="1714"/>
      <c r="E146" s="1720"/>
      <c r="F146" s="1720"/>
      <c r="G146" s="1716"/>
      <c r="H146" s="1715"/>
      <c r="I146" s="1715"/>
      <c r="J146" s="1717"/>
      <c r="K146" s="1717"/>
      <c r="L146" s="1717"/>
      <c r="M146" s="1717"/>
      <c r="N146" s="1718"/>
    </row>
    <row r="147">
      <c r="A147" s="1721"/>
      <c r="C147" s="1026"/>
      <c r="D147" s="1714"/>
      <c r="E147" s="1720"/>
      <c r="F147" s="1720"/>
      <c r="G147" s="1716"/>
      <c r="H147" s="1715"/>
      <c r="I147" s="1715"/>
      <c r="J147" s="1717"/>
      <c r="K147" s="1717"/>
      <c r="L147" s="1717"/>
      <c r="M147" s="1717"/>
      <c r="N147" s="1718"/>
    </row>
    <row r="148">
      <c r="A148" s="1721"/>
      <c r="C148" s="1026"/>
      <c r="D148" s="1714"/>
      <c r="E148" s="1720"/>
      <c r="F148" s="1720"/>
      <c r="G148" s="1716"/>
      <c r="H148" s="1715"/>
      <c r="I148" s="1715"/>
      <c r="J148" s="1717"/>
      <c r="K148" s="1717"/>
      <c r="L148" s="1717"/>
      <c r="M148" s="1717"/>
      <c r="N148" s="1718"/>
    </row>
    <row r="149">
      <c r="A149" s="1721"/>
      <c r="C149" s="1026"/>
      <c r="D149" s="1714"/>
      <c r="E149" s="1720"/>
      <c r="F149" s="1720"/>
      <c r="G149" s="1716"/>
      <c r="H149" s="1715"/>
      <c r="I149" s="1715"/>
      <c r="J149" s="1717"/>
      <c r="K149" s="1717"/>
      <c r="L149" s="1717"/>
      <c r="M149" s="1717"/>
      <c r="N149" s="1718"/>
    </row>
    <row r="150">
      <c r="A150" s="1721"/>
      <c r="C150" s="1026"/>
      <c r="D150" s="1714"/>
      <c r="E150" s="1720"/>
      <c r="F150" s="1720"/>
      <c r="G150" s="1716"/>
      <c r="H150" s="1715"/>
      <c r="I150" s="1715"/>
      <c r="J150" s="1717"/>
      <c r="K150" s="1717"/>
      <c r="L150" s="1717"/>
      <c r="M150" s="1717"/>
      <c r="N150" s="1718"/>
    </row>
    <row r="151">
      <c r="A151" s="1721"/>
      <c r="C151" s="1026"/>
      <c r="D151" s="1714"/>
      <c r="E151" s="1720"/>
      <c r="F151" s="1720"/>
      <c r="G151" s="1716"/>
      <c r="H151" s="1715"/>
      <c r="I151" s="1715"/>
      <c r="J151" s="1717"/>
      <c r="K151" s="1717"/>
      <c r="L151" s="1717"/>
      <c r="M151" s="1717"/>
      <c r="N151" s="1718"/>
    </row>
    <row r="152">
      <c r="A152" s="1721"/>
      <c r="C152" s="1026"/>
      <c r="D152" s="1714"/>
      <c r="E152" s="1720"/>
      <c r="F152" s="1720"/>
      <c r="G152" s="1716"/>
      <c r="H152" s="1715"/>
      <c r="I152" s="1715"/>
      <c r="J152" s="1717"/>
      <c r="K152" s="1717"/>
      <c r="L152" s="1717"/>
      <c r="M152" s="1717"/>
      <c r="N152" s="1718"/>
    </row>
    <row r="153">
      <c r="A153" s="1721"/>
      <c r="C153" s="1026"/>
      <c r="D153" s="1714"/>
      <c r="E153" s="1720"/>
      <c r="F153" s="1720"/>
      <c r="G153" s="1716"/>
      <c r="H153" s="1715"/>
      <c r="I153" s="1715"/>
      <c r="J153" s="1717"/>
      <c r="K153" s="1717"/>
      <c r="L153" s="1717"/>
      <c r="M153" s="1717"/>
      <c r="N153" s="1718"/>
    </row>
    <row r="154">
      <c r="A154" s="1721"/>
      <c r="C154" s="1026"/>
      <c r="D154" s="1714"/>
      <c r="E154" s="1720"/>
      <c r="F154" s="1720"/>
      <c r="G154" s="1716"/>
      <c r="H154" s="1715"/>
      <c r="I154" s="1715"/>
      <c r="J154" s="1717"/>
      <c r="K154" s="1717"/>
      <c r="L154" s="1717"/>
      <c r="M154" s="1717"/>
      <c r="N154" s="1718"/>
    </row>
    <row r="155">
      <c r="A155" s="1721"/>
      <c r="C155" s="1026"/>
      <c r="D155" s="1714"/>
      <c r="E155" s="1720"/>
      <c r="F155" s="1720"/>
      <c r="G155" s="1716"/>
      <c r="H155" s="1715"/>
      <c r="I155" s="1715"/>
      <c r="J155" s="1717"/>
      <c r="K155" s="1717"/>
      <c r="L155" s="1717"/>
      <c r="M155" s="1717"/>
      <c r="N155" s="1718"/>
    </row>
    <row r="156">
      <c r="A156" s="1721"/>
      <c r="C156" s="1026"/>
      <c r="D156" s="1714"/>
      <c r="E156" s="1720"/>
      <c r="F156" s="1720"/>
      <c r="G156" s="1716"/>
      <c r="H156" s="1715"/>
      <c r="I156" s="1715"/>
      <c r="J156" s="1717"/>
      <c r="K156" s="1717"/>
      <c r="L156" s="1717"/>
      <c r="M156" s="1717"/>
      <c r="N156" s="1718"/>
    </row>
    <row r="157">
      <c r="A157" s="1721"/>
      <c r="C157" s="1026"/>
      <c r="D157" s="1714"/>
      <c r="E157" s="1720"/>
      <c r="F157" s="1720"/>
      <c r="G157" s="1716"/>
      <c r="H157" s="1715"/>
      <c r="I157" s="1715"/>
      <c r="J157" s="1717"/>
      <c r="K157" s="1717"/>
      <c r="L157" s="1717"/>
      <c r="M157" s="1717"/>
      <c r="N157" s="1718"/>
    </row>
    <row r="158">
      <c r="A158" s="1721"/>
      <c r="C158" s="1026"/>
      <c r="D158" s="1714"/>
      <c r="E158" s="1720"/>
      <c r="F158" s="1720"/>
      <c r="G158" s="1716"/>
      <c r="H158" s="1715"/>
      <c r="I158" s="1715"/>
      <c r="J158" s="1717"/>
      <c r="K158" s="1717"/>
      <c r="L158" s="1717"/>
      <c r="M158" s="1717"/>
      <c r="N158" s="1718"/>
    </row>
    <row r="159">
      <c r="A159" s="1721"/>
      <c r="C159" s="1026"/>
      <c r="D159" s="1714"/>
      <c r="E159" s="1720"/>
      <c r="F159" s="1720"/>
      <c r="G159" s="1716"/>
      <c r="H159" s="1715"/>
      <c r="I159" s="1715"/>
      <c r="J159" s="1717"/>
      <c r="K159" s="1717"/>
      <c r="L159" s="1717"/>
      <c r="M159" s="1717"/>
      <c r="N159" s="1718"/>
    </row>
    <row r="160">
      <c r="A160" s="1721"/>
      <c r="C160" s="1026"/>
      <c r="D160" s="1714"/>
      <c r="E160" s="1720"/>
      <c r="F160" s="1720"/>
      <c r="G160" s="1716"/>
      <c r="H160" s="1715"/>
      <c r="I160" s="1715"/>
      <c r="J160" s="1717"/>
      <c r="K160" s="1717"/>
      <c r="L160" s="1717"/>
      <c r="M160" s="1717"/>
      <c r="N160" s="1718"/>
    </row>
    <row r="161">
      <c r="A161" s="1721"/>
      <c r="C161" s="1026"/>
      <c r="D161" s="1714"/>
      <c r="E161" s="1720"/>
      <c r="F161" s="1720"/>
      <c r="G161" s="1716"/>
      <c r="H161" s="1715"/>
      <c r="I161" s="1715"/>
      <c r="J161" s="1717"/>
      <c r="K161" s="1717"/>
      <c r="L161" s="1717"/>
      <c r="M161" s="1717"/>
      <c r="N161" s="1718"/>
    </row>
    <row r="162">
      <c r="A162" s="1721"/>
      <c r="C162" s="1026"/>
      <c r="D162" s="1714"/>
      <c r="E162" s="1720"/>
      <c r="F162" s="1720"/>
      <c r="G162" s="1716"/>
      <c r="H162" s="1715"/>
      <c r="I162" s="1715"/>
      <c r="J162" s="1717"/>
      <c r="K162" s="1717"/>
      <c r="L162" s="1717"/>
      <c r="M162" s="1717"/>
      <c r="N162" s="1718"/>
    </row>
    <row r="163">
      <c r="A163" s="1721"/>
      <c r="C163" s="1026"/>
      <c r="D163" s="1714"/>
      <c r="E163" s="1720"/>
      <c r="F163" s="1720"/>
      <c r="G163" s="1716"/>
      <c r="H163" s="1715"/>
      <c r="I163" s="1715"/>
      <c r="J163" s="1717"/>
      <c r="K163" s="1717"/>
      <c r="L163" s="1717"/>
      <c r="M163" s="1717"/>
      <c r="N163" s="1718"/>
    </row>
    <row r="164">
      <c r="A164" s="1721"/>
      <c r="C164" s="1026"/>
      <c r="D164" s="1714"/>
      <c r="E164" s="1720"/>
      <c r="F164" s="1720"/>
      <c r="G164" s="1716"/>
      <c r="H164" s="1715"/>
      <c r="I164" s="1715"/>
      <c r="J164" s="1717"/>
      <c r="K164" s="1717"/>
      <c r="L164" s="1717"/>
      <c r="M164" s="1717"/>
      <c r="N164" s="1718"/>
    </row>
    <row r="165">
      <c r="A165" s="1721"/>
      <c r="C165" s="1026"/>
      <c r="D165" s="1714"/>
      <c r="E165" s="1720"/>
      <c r="F165" s="1720"/>
      <c r="G165" s="1716"/>
      <c r="H165" s="1715"/>
      <c r="I165" s="1715"/>
      <c r="J165" s="1717"/>
      <c r="K165" s="1717"/>
      <c r="L165" s="1717"/>
      <c r="M165" s="1717"/>
      <c r="N165" s="1718"/>
    </row>
    <row r="166">
      <c r="A166" s="1721"/>
      <c r="C166" s="1026"/>
      <c r="D166" s="1714"/>
      <c r="E166" s="1720"/>
      <c r="F166" s="1720"/>
      <c r="G166" s="1716"/>
      <c r="H166" s="1715"/>
      <c r="I166" s="1715"/>
      <c r="J166" s="1717"/>
      <c r="K166" s="1717"/>
      <c r="L166" s="1717"/>
      <c r="M166" s="1717"/>
      <c r="N166" s="1718"/>
    </row>
    <row r="167">
      <c r="A167" s="1721"/>
      <c r="C167" s="1026"/>
      <c r="D167" s="1714"/>
      <c r="E167" s="1720"/>
      <c r="F167" s="1720"/>
      <c r="G167" s="1716"/>
      <c r="H167" s="1715"/>
      <c r="I167" s="1715"/>
      <c r="J167" s="1717"/>
      <c r="K167" s="1717"/>
      <c r="L167" s="1717"/>
      <c r="M167" s="1717"/>
      <c r="N167" s="1718"/>
    </row>
    <row r="168">
      <c r="A168" s="1721"/>
      <c r="C168" s="1026"/>
      <c r="D168" s="1714"/>
      <c r="E168" s="1720"/>
      <c r="F168" s="1720"/>
      <c r="G168" s="1716"/>
      <c r="H168" s="1715"/>
      <c r="I168" s="1715"/>
      <c r="J168" s="1717"/>
      <c r="K168" s="1717"/>
      <c r="L168" s="1717"/>
      <c r="M168" s="1717"/>
      <c r="N168" s="1718"/>
    </row>
    <row r="169">
      <c r="A169" s="1721"/>
      <c r="C169" s="1026"/>
      <c r="D169" s="1714"/>
      <c r="E169" s="1720"/>
      <c r="F169" s="1720"/>
      <c r="G169" s="1716"/>
      <c r="H169" s="1715"/>
      <c r="I169" s="1715"/>
      <c r="J169" s="1717"/>
      <c r="K169" s="1717"/>
      <c r="L169" s="1717"/>
      <c r="M169" s="1717"/>
      <c r="N169" s="1718"/>
    </row>
    <row r="170">
      <c r="A170" s="1721"/>
      <c r="C170" s="1026"/>
      <c r="D170" s="1714"/>
      <c r="E170" s="1720"/>
      <c r="F170" s="1720"/>
      <c r="G170" s="1716"/>
      <c r="H170" s="1715"/>
      <c r="I170" s="1715"/>
      <c r="J170" s="1717"/>
      <c r="K170" s="1717"/>
      <c r="L170" s="1717"/>
      <c r="M170" s="1717"/>
      <c r="N170" s="1718"/>
    </row>
    <row r="171">
      <c r="A171" s="1721"/>
      <c r="C171" s="1026"/>
      <c r="D171" s="1714"/>
      <c r="E171" s="1720"/>
      <c r="F171" s="1720"/>
      <c r="G171" s="1716"/>
      <c r="H171" s="1715"/>
      <c r="I171" s="1715"/>
      <c r="J171" s="1717"/>
      <c r="K171" s="1717"/>
      <c r="L171" s="1717"/>
      <c r="M171" s="1717"/>
      <c r="N171" s="1718"/>
    </row>
    <row r="172">
      <c r="A172" s="1721"/>
      <c r="C172" s="1026"/>
      <c r="D172" s="1714"/>
      <c r="E172" s="1720"/>
      <c r="F172" s="1720"/>
      <c r="G172" s="1716"/>
      <c r="H172" s="1715"/>
      <c r="I172" s="1715"/>
      <c r="J172" s="1717"/>
      <c r="K172" s="1717"/>
      <c r="L172" s="1717"/>
      <c r="M172" s="1717"/>
      <c r="N172" s="1718"/>
    </row>
    <row r="173">
      <c r="A173" s="1721"/>
      <c r="C173" s="1026"/>
      <c r="D173" s="1714"/>
      <c r="E173" s="1720"/>
      <c r="F173" s="1720"/>
      <c r="G173" s="1716"/>
      <c r="H173" s="1715"/>
      <c r="I173" s="1715"/>
      <c r="J173" s="1717"/>
      <c r="K173" s="1717"/>
      <c r="L173" s="1717"/>
      <c r="M173" s="1717"/>
      <c r="N173" s="1718"/>
    </row>
    <row r="174">
      <c r="A174" s="1721"/>
      <c r="C174" s="1026"/>
      <c r="D174" s="1714"/>
      <c r="E174" s="1720"/>
      <c r="F174" s="1720"/>
      <c r="G174" s="1716"/>
      <c r="H174" s="1715"/>
      <c r="I174" s="1715"/>
      <c r="J174" s="1717"/>
      <c r="K174" s="1717"/>
      <c r="L174" s="1717"/>
      <c r="M174" s="1717"/>
      <c r="N174" s="1718"/>
    </row>
    <row r="175">
      <c r="A175" s="1721"/>
      <c r="C175" s="1026"/>
      <c r="D175" s="1714"/>
      <c r="E175" s="1720"/>
      <c r="F175" s="1720"/>
      <c r="G175" s="1716"/>
      <c r="H175" s="1715"/>
      <c r="I175" s="1715"/>
      <c r="J175" s="1717"/>
      <c r="K175" s="1717"/>
      <c r="L175" s="1717"/>
      <c r="M175" s="1717"/>
      <c r="N175" s="1718"/>
    </row>
    <row r="176">
      <c r="A176" s="1721"/>
      <c r="C176" s="1026"/>
      <c r="D176" s="1714"/>
      <c r="E176" s="1720"/>
      <c r="F176" s="1720"/>
      <c r="G176" s="1716"/>
      <c r="H176" s="1715"/>
      <c r="I176" s="1715"/>
      <c r="J176" s="1717"/>
      <c r="K176" s="1717"/>
      <c r="L176" s="1717"/>
      <c r="M176" s="1717"/>
      <c r="N176" s="1718"/>
    </row>
    <row r="177">
      <c r="A177" s="1721"/>
      <c r="C177" s="1026"/>
      <c r="D177" s="1714"/>
      <c r="E177" s="1720"/>
      <c r="F177" s="1720"/>
      <c r="G177" s="1716"/>
      <c r="H177" s="1715"/>
      <c r="I177" s="1715"/>
      <c r="J177" s="1717"/>
      <c r="K177" s="1717"/>
      <c r="L177" s="1717"/>
      <c r="M177" s="1717"/>
      <c r="N177" s="1718"/>
    </row>
    <row r="178">
      <c r="A178" s="1721"/>
      <c r="C178" s="1026"/>
      <c r="D178" s="1714"/>
      <c r="E178" s="1720"/>
      <c r="F178" s="1720"/>
      <c r="G178" s="1716"/>
      <c r="H178" s="1715"/>
      <c r="I178" s="1715"/>
      <c r="J178" s="1717"/>
      <c r="K178" s="1717"/>
      <c r="L178" s="1717"/>
      <c r="M178" s="1717"/>
      <c r="N178" s="1718"/>
    </row>
    <row r="179">
      <c r="A179" s="1721"/>
      <c r="C179" s="1026"/>
      <c r="D179" s="1714"/>
      <c r="E179" s="1720"/>
      <c r="F179" s="1720"/>
      <c r="G179" s="1716"/>
      <c r="H179" s="1715"/>
      <c r="I179" s="1715"/>
      <c r="J179" s="1717"/>
      <c r="K179" s="1717"/>
      <c r="L179" s="1717"/>
      <c r="M179" s="1717"/>
      <c r="N179" s="1718"/>
    </row>
    <row r="180">
      <c r="A180" s="1721"/>
      <c r="C180" s="1026"/>
      <c r="D180" s="1714"/>
      <c r="E180" s="1720"/>
      <c r="F180" s="1720"/>
      <c r="G180" s="1716"/>
      <c r="H180" s="1715"/>
      <c r="I180" s="1715"/>
      <c r="J180" s="1717"/>
      <c r="K180" s="1717"/>
      <c r="L180" s="1717"/>
      <c r="M180" s="1717"/>
      <c r="N180" s="1718"/>
    </row>
    <row r="181">
      <c r="A181" s="1721"/>
      <c r="C181" s="1026"/>
      <c r="D181" s="1714"/>
      <c r="E181" s="1720"/>
      <c r="F181" s="1720"/>
      <c r="G181" s="1716"/>
      <c r="H181" s="1715"/>
      <c r="I181" s="1715"/>
      <c r="J181" s="1717"/>
      <c r="K181" s="1717"/>
      <c r="L181" s="1717"/>
      <c r="M181" s="1717"/>
      <c r="N181" s="1718"/>
    </row>
    <row r="182">
      <c r="A182" s="1721"/>
      <c r="C182" s="1026"/>
      <c r="D182" s="1714"/>
      <c r="E182" s="1720"/>
      <c r="F182" s="1720"/>
      <c r="G182" s="1716"/>
      <c r="H182" s="1715"/>
      <c r="I182" s="1715"/>
      <c r="J182" s="1717"/>
      <c r="K182" s="1717"/>
      <c r="L182" s="1717"/>
      <c r="M182" s="1717"/>
      <c r="N182" s="1718"/>
    </row>
    <row r="183">
      <c r="A183" s="1721"/>
      <c r="C183" s="1026"/>
      <c r="D183" s="1714"/>
      <c r="E183" s="1720"/>
      <c r="F183" s="1720"/>
      <c r="G183" s="1716"/>
      <c r="H183" s="1715"/>
      <c r="I183" s="1715"/>
      <c r="J183" s="1717"/>
      <c r="K183" s="1717"/>
      <c r="L183" s="1717"/>
      <c r="M183" s="1717"/>
      <c r="N183" s="1718"/>
    </row>
    <row r="184">
      <c r="A184" s="1721"/>
      <c r="C184" s="1026"/>
      <c r="D184" s="1714"/>
      <c r="E184" s="1720"/>
      <c r="F184" s="1720"/>
      <c r="G184" s="1716"/>
      <c r="H184" s="1715"/>
      <c r="I184" s="1715"/>
      <c r="J184" s="1717"/>
      <c r="K184" s="1717"/>
      <c r="L184" s="1717"/>
      <c r="M184" s="1717"/>
      <c r="N184" s="1718"/>
    </row>
    <row r="185">
      <c r="A185" s="1721"/>
      <c r="C185" s="1026"/>
      <c r="D185" s="1714"/>
      <c r="E185" s="1720"/>
      <c r="F185" s="1720"/>
      <c r="G185" s="1716"/>
      <c r="H185" s="1715"/>
      <c r="I185" s="1715"/>
      <c r="J185" s="1717"/>
      <c r="K185" s="1717"/>
      <c r="L185" s="1717"/>
      <c r="M185" s="1717"/>
      <c r="N185" s="1718"/>
    </row>
    <row r="186">
      <c r="A186" s="1721"/>
      <c r="C186" s="1026"/>
      <c r="D186" s="1714"/>
      <c r="E186" s="1720"/>
      <c r="F186" s="1720"/>
      <c r="G186" s="1716"/>
      <c r="H186" s="1715"/>
      <c r="I186" s="1715"/>
      <c r="J186" s="1717"/>
      <c r="K186" s="1717"/>
      <c r="L186" s="1717"/>
      <c r="M186" s="1717"/>
      <c r="N186" s="1718"/>
    </row>
    <row r="187">
      <c r="A187" s="1721"/>
      <c r="C187" s="1026"/>
      <c r="D187" s="1714"/>
      <c r="E187" s="1720"/>
      <c r="F187" s="1720"/>
      <c r="G187" s="1716"/>
      <c r="H187" s="1715"/>
      <c r="I187" s="1715"/>
      <c r="J187" s="1717"/>
      <c r="K187" s="1717"/>
      <c r="L187" s="1717"/>
      <c r="M187" s="1717"/>
      <c r="N187" s="1718"/>
    </row>
    <row r="188">
      <c r="A188" s="1721"/>
      <c r="C188" s="1026"/>
      <c r="D188" s="1714"/>
      <c r="E188" s="1720"/>
      <c r="F188" s="1720"/>
      <c r="G188" s="1716"/>
      <c r="H188" s="1715"/>
      <c r="I188" s="1715"/>
      <c r="J188" s="1717"/>
      <c r="K188" s="1717"/>
      <c r="L188" s="1717"/>
      <c r="M188" s="1717"/>
      <c r="N188" s="1718"/>
    </row>
    <row r="189">
      <c r="A189" s="1721"/>
      <c r="C189" s="1026"/>
      <c r="D189" s="1714"/>
      <c r="E189" s="1720"/>
      <c r="F189" s="1720"/>
      <c r="G189" s="1716"/>
      <c r="H189" s="1715"/>
      <c r="I189" s="1715"/>
      <c r="J189" s="1717"/>
      <c r="K189" s="1717"/>
      <c r="L189" s="1717"/>
      <c r="M189" s="1717"/>
      <c r="N189" s="1718"/>
    </row>
    <row r="190">
      <c r="A190" s="1721"/>
      <c r="C190" s="1026"/>
      <c r="D190" s="1714"/>
      <c r="E190" s="1720"/>
      <c r="F190" s="1720"/>
      <c r="G190" s="1716"/>
      <c r="H190" s="1715"/>
      <c r="I190" s="1715"/>
      <c r="J190" s="1717"/>
      <c r="K190" s="1717"/>
      <c r="L190" s="1717"/>
      <c r="M190" s="1717"/>
      <c r="N190" s="1718"/>
    </row>
    <row r="191">
      <c r="A191" s="1721"/>
      <c r="C191" s="1026"/>
      <c r="D191" s="1714"/>
      <c r="E191" s="1720"/>
      <c r="F191" s="1720"/>
      <c r="G191" s="1716"/>
      <c r="H191" s="1715"/>
      <c r="I191" s="1715"/>
      <c r="J191" s="1717"/>
      <c r="K191" s="1717"/>
      <c r="L191" s="1717"/>
      <c r="M191" s="1717"/>
      <c r="N191" s="1718"/>
    </row>
    <row r="192">
      <c r="A192" s="1721"/>
      <c r="C192" s="1026"/>
      <c r="D192" s="1714"/>
      <c r="E192" s="1720"/>
      <c r="F192" s="1720"/>
      <c r="G192" s="1716"/>
      <c r="H192" s="1715"/>
      <c r="I192" s="1715"/>
      <c r="J192" s="1717"/>
      <c r="K192" s="1717"/>
      <c r="L192" s="1717"/>
      <c r="M192" s="1717"/>
      <c r="N192" s="1718"/>
    </row>
    <row r="193">
      <c r="A193" s="1721"/>
      <c r="C193" s="1026"/>
      <c r="D193" s="1714"/>
      <c r="E193" s="1720"/>
      <c r="F193" s="1720"/>
      <c r="G193" s="1716"/>
      <c r="H193" s="1715"/>
      <c r="I193" s="1715"/>
      <c r="J193" s="1717"/>
      <c r="K193" s="1717"/>
      <c r="L193" s="1717"/>
      <c r="M193" s="1717"/>
      <c r="N193" s="1718"/>
    </row>
    <row r="194">
      <c r="A194" s="1721"/>
      <c r="C194" s="1026"/>
      <c r="D194" s="1714"/>
      <c r="E194" s="1720"/>
      <c r="F194" s="1720"/>
      <c r="G194" s="1716"/>
      <c r="H194" s="1715"/>
      <c r="I194" s="1715"/>
      <c r="J194" s="1717"/>
      <c r="K194" s="1717"/>
      <c r="L194" s="1717"/>
      <c r="M194" s="1717"/>
      <c r="N194" s="1718"/>
    </row>
    <row r="195">
      <c r="A195" s="1721"/>
      <c r="C195" s="1026"/>
      <c r="D195" s="1714"/>
      <c r="E195" s="1720"/>
      <c r="F195" s="1720"/>
      <c r="G195" s="1716"/>
      <c r="H195" s="1715"/>
      <c r="I195" s="1715"/>
      <c r="J195" s="1717"/>
      <c r="K195" s="1717"/>
      <c r="L195" s="1717"/>
      <c r="M195" s="1717"/>
      <c r="N195" s="1718"/>
    </row>
    <row r="196">
      <c r="A196" s="1721"/>
      <c r="C196" s="1026"/>
      <c r="D196" s="1714"/>
      <c r="E196" s="1720"/>
      <c r="F196" s="1720"/>
      <c r="G196" s="1716"/>
      <c r="H196" s="1715"/>
      <c r="I196" s="1715"/>
      <c r="J196" s="1717"/>
      <c r="K196" s="1717"/>
      <c r="L196" s="1717"/>
      <c r="M196" s="1717"/>
      <c r="N196" s="1718"/>
    </row>
    <row r="197">
      <c r="A197" s="1721"/>
      <c r="C197" s="1026"/>
      <c r="D197" s="1714"/>
      <c r="E197" s="1720"/>
      <c r="F197" s="1720"/>
      <c r="G197" s="1716"/>
      <c r="H197" s="1715"/>
      <c r="I197" s="1715"/>
      <c r="J197" s="1717"/>
      <c r="K197" s="1717"/>
      <c r="L197" s="1717"/>
      <c r="M197" s="1717"/>
      <c r="N197" s="1718"/>
    </row>
    <row r="198">
      <c r="A198" s="1721"/>
      <c r="C198" s="1026"/>
      <c r="D198" s="1714"/>
      <c r="E198" s="1720"/>
      <c r="F198" s="1720"/>
      <c r="G198" s="1716"/>
      <c r="H198" s="1715"/>
      <c r="I198" s="1715"/>
      <c r="J198" s="1717"/>
      <c r="K198" s="1717"/>
      <c r="L198" s="1717"/>
      <c r="M198" s="1717"/>
      <c r="N198" s="1718"/>
    </row>
    <row r="199">
      <c r="A199" s="1721"/>
      <c r="C199" s="1026"/>
      <c r="D199" s="1714"/>
      <c r="E199" s="1720"/>
      <c r="F199" s="1720"/>
      <c r="G199" s="1716"/>
      <c r="H199" s="1715"/>
      <c r="I199" s="1715"/>
      <c r="J199" s="1717"/>
      <c r="K199" s="1717"/>
      <c r="L199" s="1717"/>
      <c r="M199" s="1717"/>
      <c r="N199" s="1718"/>
    </row>
    <row r="200">
      <c r="A200" s="1721"/>
      <c r="C200" s="1026"/>
      <c r="D200" s="1714"/>
      <c r="E200" s="1720"/>
      <c r="F200" s="1720"/>
      <c r="G200" s="1716"/>
      <c r="H200" s="1715"/>
      <c r="I200" s="1715"/>
      <c r="J200" s="1717"/>
      <c r="K200" s="1717"/>
      <c r="L200" s="1717"/>
      <c r="M200" s="1717"/>
      <c r="N200" s="1718"/>
    </row>
    <row r="201">
      <c r="A201" s="1721"/>
      <c r="C201" s="1026"/>
      <c r="D201" s="1714"/>
      <c r="E201" s="1720"/>
      <c r="F201" s="1720"/>
      <c r="G201" s="1716"/>
      <c r="H201" s="1715"/>
      <c r="I201" s="1715"/>
      <c r="J201" s="1717"/>
      <c r="K201" s="1717"/>
      <c r="L201" s="1717"/>
      <c r="M201" s="1717"/>
      <c r="N201" s="1718"/>
    </row>
    <row r="202">
      <c r="A202" s="1721"/>
      <c r="C202" s="1026"/>
      <c r="D202" s="1714"/>
      <c r="E202" s="1720"/>
      <c r="F202" s="1720"/>
      <c r="G202" s="1716"/>
      <c r="H202" s="1715"/>
      <c r="I202" s="1715"/>
      <c r="J202" s="1717"/>
      <c r="K202" s="1717"/>
      <c r="L202" s="1717"/>
      <c r="M202" s="1717"/>
      <c r="N202" s="1718"/>
    </row>
    <row r="203">
      <c r="A203" s="1721"/>
      <c r="C203" s="1026"/>
      <c r="D203" s="1714"/>
      <c r="E203" s="1720"/>
      <c r="F203" s="1720"/>
      <c r="G203" s="1716"/>
      <c r="H203" s="1715"/>
      <c r="I203" s="1715"/>
      <c r="J203" s="1717"/>
      <c r="K203" s="1717"/>
      <c r="L203" s="1717"/>
      <c r="M203" s="1717"/>
      <c r="N203" s="1718"/>
    </row>
    <row r="204">
      <c r="A204" s="1721"/>
      <c r="C204" s="1026"/>
      <c r="D204" s="1714"/>
      <c r="E204" s="1720"/>
      <c r="F204" s="1720"/>
      <c r="G204" s="1716"/>
      <c r="H204" s="1715"/>
      <c r="I204" s="1715"/>
      <c r="J204" s="1717"/>
      <c r="K204" s="1717"/>
      <c r="L204" s="1717"/>
      <c r="M204" s="1717"/>
      <c r="N204" s="1718"/>
    </row>
    <row r="205">
      <c r="A205" s="1721"/>
      <c r="C205" s="1026"/>
      <c r="D205" s="1714"/>
      <c r="E205" s="1720"/>
      <c r="F205" s="1720"/>
      <c r="G205" s="1716"/>
      <c r="H205" s="1715"/>
      <c r="I205" s="1715"/>
      <c r="J205" s="1717"/>
      <c r="K205" s="1717"/>
      <c r="L205" s="1717"/>
      <c r="M205" s="1717"/>
      <c r="N205" s="1718"/>
    </row>
    <row r="206">
      <c r="A206" s="1721"/>
      <c r="C206" s="1026"/>
      <c r="D206" s="1714"/>
      <c r="E206" s="1720"/>
      <c r="F206" s="1720"/>
      <c r="G206" s="1716"/>
      <c r="H206" s="1715"/>
      <c r="I206" s="1715"/>
      <c r="J206" s="1717"/>
      <c r="K206" s="1717"/>
      <c r="L206" s="1717"/>
      <c r="M206" s="1717"/>
      <c r="N206" s="1718"/>
    </row>
    <row r="207">
      <c r="A207" s="1721"/>
      <c r="C207" s="1026"/>
      <c r="D207" s="1714"/>
      <c r="E207" s="1720"/>
      <c r="F207" s="1720"/>
      <c r="G207" s="1716"/>
      <c r="H207" s="1715"/>
      <c r="I207" s="1715"/>
      <c r="J207" s="1717"/>
      <c r="K207" s="1717"/>
      <c r="L207" s="1717"/>
      <c r="M207" s="1717"/>
      <c r="N207" s="1718"/>
    </row>
    <row r="208">
      <c r="A208" s="1721"/>
      <c r="C208" s="1026"/>
      <c r="D208" s="1714"/>
      <c r="E208" s="1720"/>
      <c r="F208" s="1720"/>
      <c r="G208" s="1716"/>
      <c r="H208" s="1715"/>
      <c r="I208" s="1715"/>
      <c r="J208" s="1717"/>
      <c r="K208" s="1717"/>
      <c r="L208" s="1717"/>
      <c r="M208" s="1717"/>
      <c r="N208" s="1718"/>
    </row>
    <row r="209">
      <c r="A209" s="1721"/>
      <c r="C209" s="1026"/>
      <c r="D209" s="1714"/>
      <c r="E209" s="1720"/>
      <c r="F209" s="1720"/>
      <c r="G209" s="1716"/>
      <c r="H209" s="1715"/>
      <c r="I209" s="1715"/>
      <c r="J209" s="1717"/>
      <c r="K209" s="1717"/>
      <c r="L209" s="1717"/>
      <c r="M209" s="1717"/>
      <c r="N209" s="1718"/>
    </row>
    <row r="210">
      <c r="A210" s="1721"/>
      <c r="C210" s="1026"/>
      <c r="D210" s="1714"/>
      <c r="E210" s="1720"/>
      <c r="F210" s="1720"/>
      <c r="G210" s="1716"/>
      <c r="H210" s="1715"/>
      <c r="I210" s="1715"/>
      <c r="J210" s="1717"/>
      <c r="K210" s="1717"/>
      <c r="L210" s="1717"/>
      <c r="M210" s="1717"/>
      <c r="N210" s="1718"/>
    </row>
    <row r="211">
      <c r="A211" s="1721"/>
      <c r="C211" s="1026"/>
      <c r="D211" s="1714"/>
      <c r="E211" s="1720"/>
      <c r="F211" s="1720"/>
      <c r="G211" s="1716"/>
      <c r="H211" s="1715"/>
      <c r="I211" s="1715"/>
      <c r="J211" s="1717"/>
      <c r="K211" s="1717"/>
      <c r="L211" s="1717"/>
      <c r="M211" s="1717"/>
      <c r="N211" s="1718"/>
    </row>
    <row r="212">
      <c r="A212" s="1721"/>
      <c r="C212" s="1026"/>
      <c r="D212" s="1714"/>
      <c r="E212" s="1720"/>
      <c r="F212" s="1720"/>
      <c r="G212" s="1716"/>
      <c r="H212" s="1715"/>
      <c r="I212" s="1715"/>
      <c r="J212" s="1717"/>
      <c r="K212" s="1717"/>
      <c r="L212" s="1717"/>
      <c r="M212" s="1717"/>
      <c r="N212" s="1718"/>
    </row>
    <row r="213">
      <c r="A213" s="1721"/>
      <c r="C213" s="1026"/>
      <c r="D213" s="1714"/>
      <c r="E213" s="1720"/>
      <c r="F213" s="1720"/>
      <c r="G213" s="1716"/>
      <c r="H213" s="1715"/>
      <c r="I213" s="1715"/>
      <c r="J213" s="1717"/>
      <c r="K213" s="1717"/>
      <c r="L213" s="1717"/>
      <c r="M213" s="1717"/>
      <c r="N213" s="1718"/>
    </row>
    <row r="214">
      <c r="A214" s="1721"/>
      <c r="C214" s="1026"/>
      <c r="D214" s="1714"/>
      <c r="E214" s="1720"/>
      <c r="F214" s="1720"/>
      <c r="G214" s="1716"/>
      <c r="H214" s="1715"/>
      <c r="I214" s="1715"/>
      <c r="J214" s="1717"/>
      <c r="K214" s="1717"/>
      <c r="L214" s="1717"/>
      <c r="M214" s="1717"/>
      <c r="N214" s="1718"/>
    </row>
    <row r="215">
      <c r="A215" s="1721"/>
      <c r="C215" s="1026"/>
      <c r="D215" s="1714"/>
      <c r="E215" s="1720"/>
      <c r="F215" s="1720"/>
      <c r="G215" s="1716"/>
      <c r="H215" s="1715"/>
      <c r="I215" s="1715"/>
      <c r="J215" s="1717"/>
      <c r="K215" s="1717"/>
      <c r="L215" s="1717"/>
      <c r="M215" s="1717"/>
      <c r="N215" s="1718"/>
    </row>
    <row r="216">
      <c r="A216" s="1721"/>
      <c r="C216" s="1026"/>
      <c r="D216" s="1714"/>
      <c r="E216" s="1720"/>
      <c r="F216" s="1720"/>
      <c r="G216" s="1716"/>
      <c r="H216" s="1715"/>
      <c r="I216" s="1715"/>
      <c r="J216" s="1717"/>
      <c r="K216" s="1717"/>
      <c r="L216" s="1717"/>
      <c r="M216" s="1717"/>
      <c r="N216" s="1718"/>
    </row>
    <row r="217">
      <c r="A217" s="1721"/>
      <c r="C217" s="1026"/>
      <c r="D217" s="1714"/>
      <c r="E217" s="1720"/>
      <c r="F217" s="1720"/>
      <c r="G217" s="1716"/>
      <c r="H217" s="1715"/>
      <c r="I217" s="1715"/>
      <c r="J217" s="1717"/>
      <c r="K217" s="1717"/>
      <c r="L217" s="1717"/>
      <c r="M217" s="1717"/>
      <c r="N217" s="1718"/>
    </row>
    <row r="218">
      <c r="A218" s="1721"/>
      <c r="C218" s="1026"/>
      <c r="D218" s="1714"/>
      <c r="E218" s="1720"/>
      <c r="F218" s="1720"/>
      <c r="G218" s="1716"/>
      <c r="H218" s="1715"/>
      <c r="I218" s="1715"/>
      <c r="J218" s="1717"/>
      <c r="K218" s="1717"/>
      <c r="L218" s="1717"/>
      <c r="M218" s="1717"/>
      <c r="N218" s="1718"/>
    </row>
    <row r="219">
      <c r="A219" s="1721"/>
      <c r="C219" s="1026"/>
      <c r="D219" s="1714"/>
      <c r="E219" s="1720"/>
      <c r="F219" s="1720"/>
      <c r="G219" s="1716"/>
      <c r="H219" s="1715"/>
      <c r="I219" s="1715"/>
      <c r="J219" s="1717"/>
      <c r="K219" s="1717"/>
      <c r="L219" s="1717"/>
      <c r="M219" s="1717"/>
      <c r="N219" s="1718"/>
    </row>
    <row r="220">
      <c r="A220" s="1721"/>
      <c r="C220" s="1026"/>
      <c r="D220" s="1714"/>
      <c r="E220" s="1720"/>
      <c r="F220" s="1720"/>
      <c r="G220" s="1716"/>
      <c r="H220" s="1715"/>
      <c r="I220" s="1715"/>
      <c r="J220" s="1717"/>
      <c r="K220" s="1717"/>
      <c r="L220" s="1717"/>
      <c r="M220" s="1717"/>
      <c r="N220" s="1718"/>
    </row>
    <row r="221">
      <c r="A221" s="1721"/>
      <c r="C221" s="1026"/>
      <c r="D221" s="1714"/>
      <c r="E221" s="1720"/>
      <c r="F221" s="1720"/>
      <c r="G221" s="1716"/>
      <c r="H221" s="1715"/>
      <c r="I221" s="1715"/>
      <c r="J221" s="1717"/>
      <c r="K221" s="1717"/>
      <c r="L221" s="1717"/>
      <c r="M221" s="1717"/>
      <c r="N221" s="1718"/>
    </row>
    <row r="222">
      <c r="A222" s="1721"/>
      <c r="C222" s="1026"/>
      <c r="D222" s="1714"/>
      <c r="E222" s="1720"/>
      <c r="F222" s="1720"/>
      <c r="G222" s="1716"/>
      <c r="H222" s="1715"/>
      <c r="I222" s="1715"/>
      <c r="J222" s="1717"/>
      <c r="K222" s="1717"/>
      <c r="L222" s="1717"/>
      <c r="M222" s="1717"/>
      <c r="N222" s="1718"/>
    </row>
    <row r="223">
      <c r="A223" s="1721"/>
      <c r="C223" s="1026"/>
      <c r="D223" s="1714"/>
      <c r="E223" s="1720"/>
      <c r="F223" s="1720"/>
      <c r="G223" s="1716"/>
      <c r="H223" s="1715"/>
      <c r="I223" s="1715"/>
      <c r="J223" s="1717"/>
      <c r="K223" s="1717"/>
      <c r="L223" s="1717"/>
      <c r="M223" s="1717"/>
      <c r="N223" s="1718"/>
    </row>
    <row r="224">
      <c r="A224" s="1721"/>
      <c r="C224" s="1026"/>
      <c r="D224" s="1714"/>
      <c r="E224" s="1720"/>
      <c r="F224" s="1720"/>
      <c r="G224" s="1716"/>
      <c r="H224" s="1715"/>
      <c r="I224" s="1715"/>
      <c r="J224" s="1717"/>
      <c r="K224" s="1717"/>
      <c r="L224" s="1717"/>
      <c r="M224" s="1717"/>
      <c r="N224" s="1718"/>
    </row>
    <row r="225">
      <c r="A225" s="1721"/>
      <c r="C225" s="1026"/>
      <c r="D225" s="1714"/>
      <c r="E225" s="1720"/>
      <c r="F225" s="1720"/>
      <c r="G225" s="1716"/>
      <c r="H225" s="1715"/>
      <c r="I225" s="1715"/>
      <c r="J225" s="1717"/>
      <c r="K225" s="1717"/>
      <c r="L225" s="1717"/>
      <c r="M225" s="1717"/>
      <c r="N225" s="1718"/>
    </row>
    <row r="226">
      <c r="A226" s="1721"/>
      <c r="C226" s="1026"/>
      <c r="D226" s="1714"/>
      <c r="E226" s="1720"/>
      <c r="F226" s="1720"/>
      <c r="G226" s="1716"/>
      <c r="H226" s="1715"/>
      <c r="I226" s="1715"/>
      <c r="J226" s="1717"/>
      <c r="K226" s="1717"/>
      <c r="L226" s="1717"/>
      <c r="M226" s="1717"/>
      <c r="N226" s="1718"/>
    </row>
    <row r="227">
      <c r="A227" s="1721"/>
      <c r="C227" s="1026"/>
      <c r="D227" s="1714"/>
      <c r="E227" s="1720"/>
      <c r="F227" s="1720"/>
      <c r="G227" s="1716"/>
      <c r="H227" s="1715"/>
      <c r="I227" s="1715"/>
      <c r="J227" s="1717"/>
      <c r="K227" s="1717"/>
      <c r="L227" s="1717"/>
      <c r="M227" s="1717"/>
      <c r="N227" s="1718"/>
    </row>
    <row r="228">
      <c r="A228" s="1721"/>
      <c r="C228" s="1026"/>
      <c r="D228" s="1714"/>
      <c r="E228" s="1720"/>
      <c r="F228" s="1720"/>
      <c r="G228" s="1716"/>
      <c r="H228" s="1715"/>
      <c r="I228" s="1715"/>
      <c r="J228" s="1717"/>
      <c r="K228" s="1717"/>
      <c r="L228" s="1717"/>
      <c r="M228" s="1717"/>
      <c r="N228" s="1718"/>
    </row>
    <row r="229">
      <c r="A229" s="1721"/>
      <c r="C229" s="1026"/>
      <c r="D229" s="1714"/>
      <c r="E229" s="1720"/>
      <c r="F229" s="1720"/>
      <c r="G229" s="1716"/>
      <c r="H229" s="1715"/>
      <c r="I229" s="1715"/>
      <c r="J229" s="1717"/>
      <c r="K229" s="1717"/>
      <c r="L229" s="1717"/>
      <c r="M229" s="1717"/>
      <c r="N229" s="1718"/>
    </row>
    <row r="230">
      <c r="A230" s="1721"/>
      <c r="C230" s="1026"/>
      <c r="D230" s="1714"/>
      <c r="E230" s="1720"/>
      <c r="F230" s="1720"/>
      <c r="G230" s="1716"/>
      <c r="H230" s="1715"/>
      <c r="I230" s="1715"/>
      <c r="J230" s="1717"/>
      <c r="K230" s="1717"/>
      <c r="L230" s="1717"/>
      <c r="M230" s="1717"/>
      <c r="N230" s="1718"/>
    </row>
    <row r="231">
      <c r="A231" s="1721"/>
      <c r="C231" s="1026"/>
      <c r="D231" s="1714"/>
      <c r="E231" s="1720"/>
      <c r="F231" s="1720"/>
      <c r="G231" s="1716"/>
      <c r="H231" s="1715"/>
      <c r="I231" s="1715"/>
      <c r="J231" s="1717"/>
      <c r="K231" s="1717"/>
      <c r="L231" s="1717"/>
      <c r="M231" s="1717"/>
      <c r="N231" s="1718"/>
    </row>
    <row r="232">
      <c r="A232" s="1721"/>
      <c r="C232" s="1026"/>
      <c r="D232" s="1714"/>
      <c r="E232" s="1720"/>
      <c r="F232" s="1720"/>
      <c r="G232" s="1716"/>
      <c r="H232" s="1715"/>
      <c r="I232" s="1715"/>
      <c r="J232" s="1717"/>
      <c r="K232" s="1717"/>
      <c r="L232" s="1717"/>
      <c r="M232" s="1717"/>
      <c r="N232" s="1718"/>
    </row>
    <row r="233">
      <c r="A233" s="1721"/>
      <c r="C233" s="1026"/>
      <c r="D233" s="1714"/>
      <c r="E233" s="1720"/>
      <c r="F233" s="1720"/>
      <c r="G233" s="1716"/>
      <c r="H233" s="1715"/>
      <c r="I233" s="1715"/>
      <c r="J233" s="1717"/>
      <c r="K233" s="1717"/>
      <c r="L233" s="1717"/>
      <c r="M233" s="1717"/>
      <c r="N233" s="1718"/>
    </row>
    <row r="234">
      <c r="A234" s="1721"/>
      <c r="C234" s="1026"/>
      <c r="D234" s="1714"/>
      <c r="E234" s="1720"/>
      <c r="F234" s="1720"/>
      <c r="G234" s="1716"/>
      <c r="H234" s="1715"/>
      <c r="I234" s="1715"/>
      <c r="J234" s="1717"/>
      <c r="K234" s="1717"/>
      <c r="L234" s="1717"/>
      <c r="M234" s="1717"/>
      <c r="N234" s="1718"/>
    </row>
    <row r="235">
      <c r="A235" s="1721"/>
      <c r="C235" s="1026"/>
      <c r="D235" s="1714"/>
      <c r="E235" s="1720"/>
      <c r="F235" s="1720"/>
      <c r="G235" s="1716"/>
      <c r="H235" s="1715"/>
      <c r="I235" s="1715"/>
      <c r="J235" s="1717"/>
      <c r="K235" s="1717"/>
      <c r="L235" s="1717"/>
      <c r="M235" s="1717"/>
      <c r="N235" s="1718"/>
    </row>
    <row r="236">
      <c r="A236" s="1721"/>
      <c r="C236" s="1026"/>
      <c r="D236" s="1714"/>
      <c r="E236" s="1720"/>
      <c r="F236" s="1720"/>
      <c r="G236" s="1716"/>
      <c r="H236" s="1715"/>
      <c r="I236" s="1715"/>
      <c r="J236" s="1717"/>
      <c r="K236" s="1717"/>
      <c r="L236" s="1717"/>
      <c r="M236" s="1717"/>
      <c r="N236" s="1718"/>
    </row>
    <row r="237">
      <c r="A237" s="1721"/>
      <c r="C237" s="1026"/>
      <c r="D237" s="1714"/>
      <c r="E237" s="1720"/>
      <c r="F237" s="1720"/>
      <c r="G237" s="1716"/>
      <c r="H237" s="1715"/>
      <c r="I237" s="1715"/>
      <c r="J237" s="1717"/>
      <c r="K237" s="1717"/>
      <c r="L237" s="1717"/>
      <c r="M237" s="1717"/>
      <c r="N237" s="1718"/>
    </row>
    <row r="238">
      <c r="A238" s="1721"/>
      <c r="C238" s="1026"/>
      <c r="D238" s="1714"/>
      <c r="E238" s="1720"/>
      <c r="F238" s="1720"/>
      <c r="G238" s="1716"/>
      <c r="H238" s="1715"/>
      <c r="I238" s="1715"/>
      <c r="J238" s="1717"/>
      <c r="K238" s="1717"/>
      <c r="L238" s="1717"/>
      <c r="M238" s="1717"/>
      <c r="N238" s="1718"/>
    </row>
    <row r="239">
      <c r="A239" s="1721"/>
      <c r="C239" s="1026"/>
      <c r="D239" s="1714"/>
      <c r="E239" s="1720"/>
      <c r="F239" s="1720"/>
      <c r="G239" s="1716"/>
      <c r="H239" s="1715"/>
      <c r="I239" s="1715"/>
      <c r="J239" s="1717"/>
      <c r="K239" s="1717"/>
      <c r="L239" s="1717"/>
      <c r="M239" s="1717"/>
      <c r="N239" s="1718"/>
    </row>
    <row r="240">
      <c r="A240" s="1721"/>
      <c r="C240" s="1026"/>
      <c r="D240" s="1714"/>
      <c r="E240" s="1720"/>
      <c r="F240" s="1720"/>
      <c r="G240" s="1716"/>
      <c r="H240" s="1715"/>
      <c r="I240" s="1715"/>
      <c r="J240" s="1717"/>
      <c r="K240" s="1717"/>
      <c r="L240" s="1717"/>
      <c r="M240" s="1717"/>
      <c r="N240" s="1718"/>
    </row>
    <row r="241">
      <c r="A241" s="1721"/>
      <c r="C241" s="1026"/>
      <c r="D241" s="1714"/>
      <c r="E241" s="1720"/>
      <c r="F241" s="1720"/>
      <c r="G241" s="1716"/>
      <c r="H241" s="1715"/>
      <c r="I241" s="1715"/>
      <c r="J241" s="1717"/>
      <c r="K241" s="1717"/>
      <c r="L241" s="1717"/>
      <c r="M241" s="1717"/>
      <c r="N241" s="1718"/>
    </row>
    <row r="242">
      <c r="A242" s="1721"/>
      <c r="C242" s="1026"/>
      <c r="D242" s="1714"/>
      <c r="E242" s="1720"/>
      <c r="F242" s="1720"/>
      <c r="G242" s="1716"/>
      <c r="H242" s="1715"/>
      <c r="I242" s="1715"/>
      <c r="J242" s="1717"/>
      <c r="K242" s="1717"/>
      <c r="L242" s="1717"/>
      <c r="M242" s="1717"/>
      <c r="N242" s="1718"/>
    </row>
    <row r="243">
      <c r="A243" s="1721"/>
      <c r="C243" s="1026"/>
      <c r="D243" s="1714"/>
      <c r="E243" s="1720"/>
      <c r="F243" s="1720"/>
      <c r="G243" s="1716"/>
      <c r="H243" s="1715"/>
      <c r="I243" s="1715"/>
      <c r="J243" s="1717"/>
      <c r="K243" s="1717"/>
      <c r="L243" s="1717"/>
      <c r="M243" s="1717"/>
      <c r="N243" s="1718"/>
    </row>
    <row r="244">
      <c r="A244" s="1721"/>
      <c r="C244" s="1026"/>
      <c r="D244" s="1714"/>
      <c r="E244" s="1720"/>
      <c r="F244" s="1720"/>
      <c r="G244" s="1716"/>
      <c r="H244" s="1715"/>
      <c r="I244" s="1715"/>
      <c r="J244" s="1717"/>
      <c r="K244" s="1717"/>
      <c r="L244" s="1717"/>
      <c r="M244" s="1717"/>
      <c r="N244" s="1718"/>
    </row>
    <row r="245">
      <c r="A245" s="1721"/>
      <c r="C245" s="1026"/>
      <c r="D245" s="1714"/>
      <c r="E245" s="1720"/>
      <c r="F245" s="1720"/>
      <c r="G245" s="1716"/>
      <c r="H245" s="1715"/>
      <c r="I245" s="1715"/>
      <c r="J245" s="1717"/>
      <c r="K245" s="1717"/>
      <c r="L245" s="1717"/>
      <c r="M245" s="1717"/>
      <c r="N245" s="1718"/>
    </row>
    <row r="246">
      <c r="A246" s="1721"/>
      <c r="C246" s="1026"/>
      <c r="D246" s="1714"/>
      <c r="E246" s="1720"/>
      <c r="F246" s="1720"/>
      <c r="G246" s="1716"/>
      <c r="H246" s="1715"/>
      <c r="I246" s="1715"/>
      <c r="J246" s="1717"/>
      <c r="K246" s="1717"/>
      <c r="L246" s="1717"/>
      <c r="M246" s="1717"/>
      <c r="N246" s="1718"/>
    </row>
    <row r="247">
      <c r="A247" s="1721"/>
      <c r="C247" s="1026"/>
      <c r="D247" s="1714"/>
      <c r="E247" s="1720"/>
      <c r="F247" s="1720"/>
      <c r="G247" s="1716"/>
      <c r="H247" s="1715"/>
      <c r="I247" s="1715"/>
      <c r="J247" s="1717"/>
      <c r="K247" s="1717"/>
      <c r="L247" s="1717"/>
      <c r="M247" s="1717"/>
      <c r="N247" s="1718"/>
    </row>
    <row r="248">
      <c r="A248" s="1721"/>
      <c r="C248" s="1026"/>
      <c r="D248" s="1714"/>
      <c r="E248" s="1720"/>
      <c r="F248" s="1720"/>
      <c r="G248" s="1716"/>
      <c r="H248" s="1715"/>
      <c r="I248" s="1715"/>
      <c r="J248" s="1717"/>
      <c r="K248" s="1717"/>
      <c r="L248" s="1717"/>
      <c r="M248" s="1717"/>
      <c r="N248" s="1718"/>
    </row>
    <row r="249">
      <c r="A249" s="1721"/>
      <c r="C249" s="1026"/>
      <c r="D249" s="1714"/>
      <c r="E249" s="1720"/>
      <c r="F249" s="1720"/>
      <c r="G249" s="1716"/>
      <c r="H249" s="1715"/>
      <c r="I249" s="1715"/>
      <c r="J249" s="1717"/>
      <c r="K249" s="1717"/>
      <c r="L249" s="1717"/>
      <c r="M249" s="1717"/>
      <c r="N249" s="1718"/>
    </row>
    <row r="250">
      <c r="A250" s="1721"/>
      <c r="C250" s="1026"/>
      <c r="D250" s="1714"/>
      <c r="E250" s="1720"/>
      <c r="F250" s="1720"/>
      <c r="G250" s="1716"/>
      <c r="H250" s="1715"/>
      <c r="I250" s="1715"/>
      <c r="J250" s="1717"/>
      <c r="K250" s="1717"/>
      <c r="L250" s="1717"/>
      <c r="M250" s="1717"/>
      <c r="N250" s="1718"/>
    </row>
    <row r="251">
      <c r="A251" s="1721"/>
      <c r="C251" s="1026"/>
      <c r="D251" s="1714"/>
      <c r="E251" s="1720"/>
      <c r="F251" s="1720"/>
      <c r="G251" s="1716"/>
      <c r="H251" s="1715"/>
      <c r="I251" s="1715"/>
      <c r="J251" s="1717"/>
      <c r="K251" s="1717"/>
      <c r="L251" s="1717"/>
      <c r="M251" s="1717"/>
      <c r="N251" s="1718"/>
    </row>
    <row r="252">
      <c r="A252" s="1721"/>
      <c r="C252" s="1026"/>
      <c r="D252" s="1714"/>
      <c r="E252" s="1720"/>
      <c r="F252" s="1720"/>
      <c r="G252" s="1716"/>
      <c r="H252" s="1715"/>
      <c r="I252" s="1715"/>
      <c r="J252" s="1717"/>
      <c r="K252" s="1717"/>
      <c r="L252" s="1717"/>
      <c r="M252" s="1717"/>
      <c r="N252" s="1718"/>
    </row>
    <row r="253">
      <c r="A253" s="1721"/>
      <c r="C253" s="1026"/>
      <c r="D253" s="1714"/>
      <c r="E253" s="1720"/>
      <c r="F253" s="1720"/>
      <c r="G253" s="1716"/>
      <c r="H253" s="1715"/>
      <c r="I253" s="1715"/>
      <c r="J253" s="1717"/>
      <c r="K253" s="1717"/>
      <c r="L253" s="1717"/>
      <c r="M253" s="1717"/>
      <c r="N253" s="1718"/>
    </row>
    <row r="254">
      <c r="A254" s="1721"/>
      <c r="C254" s="1026"/>
      <c r="D254" s="1714"/>
      <c r="E254" s="1720"/>
      <c r="F254" s="1720"/>
      <c r="G254" s="1716"/>
      <c r="H254" s="1715"/>
      <c r="I254" s="1715"/>
      <c r="J254" s="1717"/>
      <c r="K254" s="1717"/>
      <c r="L254" s="1717"/>
      <c r="M254" s="1717"/>
      <c r="N254" s="1718"/>
    </row>
    <row r="255">
      <c r="A255" s="1721"/>
      <c r="C255" s="1026"/>
      <c r="D255" s="1714"/>
      <c r="E255" s="1720"/>
      <c r="F255" s="1720"/>
      <c r="G255" s="1716"/>
      <c r="H255" s="1715"/>
      <c r="I255" s="1715"/>
      <c r="J255" s="1717"/>
      <c r="K255" s="1717"/>
      <c r="L255" s="1717"/>
      <c r="M255" s="1717"/>
      <c r="N255" s="1718"/>
    </row>
    <row r="256">
      <c r="A256" s="1721"/>
      <c r="C256" s="1026"/>
      <c r="D256" s="1714"/>
      <c r="E256" s="1720"/>
      <c r="F256" s="1720"/>
      <c r="G256" s="1716"/>
      <c r="H256" s="1715"/>
      <c r="I256" s="1715"/>
      <c r="J256" s="1717"/>
      <c r="K256" s="1717"/>
      <c r="L256" s="1717"/>
      <c r="M256" s="1717"/>
      <c r="N256" s="1718"/>
    </row>
    <row r="257">
      <c r="A257" s="1721"/>
      <c r="C257" s="1026"/>
      <c r="D257" s="1714"/>
      <c r="E257" s="1720"/>
      <c r="F257" s="1720"/>
      <c r="G257" s="1716"/>
      <c r="H257" s="1715"/>
      <c r="I257" s="1715"/>
      <c r="J257" s="1717"/>
      <c r="K257" s="1717"/>
      <c r="L257" s="1717"/>
      <c r="M257" s="1717"/>
      <c r="N257" s="1718"/>
    </row>
    <row r="258">
      <c r="A258" s="1721"/>
      <c r="C258" s="1026"/>
      <c r="D258" s="1714"/>
      <c r="E258" s="1720"/>
      <c r="F258" s="1720"/>
      <c r="G258" s="1716"/>
      <c r="H258" s="1715"/>
      <c r="I258" s="1715"/>
      <c r="J258" s="1717"/>
      <c r="K258" s="1717"/>
      <c r="L258" s="1717"/>
      <c r="M258" s="1717"/>
      <c r="N258" s="1718"/>
    </row>
    <row r="259">
      <c r="A259" s="1721"/>
      <c r="C259" s="1026"/>
      <c r="D259" s="1714"/>
      <c r="E259" s="1720"/>
      <c r="F259" s="1720"/>
      <c r="G259" s="1716"/>
      <c r="H259" s="1715"/>
      <c r="I259" s="1715"/>
      <c r="J259" s="1717"/>
      <c r="K259" s="1717"/>
      <c r="L259" s="1717"/>
      <c r="M259" s="1717"/>
      <c r="N259" s="1718"/>
    </row>
    <row r="260">
      <c r="A260" s="1721"/>
      <c r="C260" s="1026"/>
      <c r="D260" s="1714"/>
      <c r="E260" s="1720"/>
      <c r="F260" s="1720"/>
      <c r="G260" s="1716"/>
      <c r="H260" s="1715"/>
      <c r="I260" s="1715"/>
      <c r="J260" s="1717"/>
      <c r="K260" s="1717"/>
      <c r="L260" s="1717"/>
      <c r="M260" s="1717"/>
      <c r="N260" s="1718"/>
    </row>
    <row r="261">
      <c r="A261" s="1721"/>
      <c r="C261" s="1026"/>
      <c r="D261" s="1714"/>
      <c r="E261" s="1720"/>
      <c r="F261" s="1720"/>
      <c r="G261" s="1716"/>
      <c r="H261" s="1715"/>
      <c r="I261" s="1715"/>
      <c r="J261" s="1717"/>
      <c r="K261" s="1717"/>
      <c r="L261" s="1717"/>
      <c r="M261" s="1717"/>
      <c r="N261" s="1718"/>
    </row>
    <row r="262">
      <c r="A262" s="1721"/>
      <c r="C262" s="1026"/>
      <c r="D262" s="1714"/>
      <c r="E262" s="1720"/>
      <c r="F262" s="1720"/>
      <c r="G262" s="1716"/>
      <c r="H262" s="1715"/>
      <c r="I262" s="1715"/>
      <c r="J262" s="1717"/>
      <c r="K262" s="1717"/>
      <c r="L262" s="1717"/>
      <c r="M262" s="1717"/>
      <c r="N262" s="1718"/>
    </row>
    <row r="263">
      <c r="A263" s="1721"/>
      <c r="C263" s="1026"/>
      <c r="D263" s="1714"/>
      <c r="E263" s="1720"/>
      <c r="F263" s="1720"/>
      <c r="G263" s="1716"/>
      <c r="H263" s="1715"/>
      <c r="I263" s="1715"/>
      <c r="J263" s="1717"/>
      <c r="K263" s="1717"/>
      <c r="L263" s="1717"/>
      <c r="M263" s="1717"/>
      <c r="N263" s="1718"/>
    </row>
    <row r="264">
      <c r="A264" s="1721"/>
      <c r="C264" s="1026"/>
      <c r="D264" s="1714"/>
      <c r="E264" s="1720"/>
      <c r="F264" s="1720"/>
      <c r="G264" s="1716"/>
      <c r="H264" s="1715"/>
      <c r="I264" s="1715"/>
      <c r="J264" s="1717"/>
      <c r="K264" s="1717"/>
      <c r="L264" s="1717"/>
      <c r="M264" s="1717"/>
      <c r="N264" s="1718"/>
    </row>
    <row r="265">
      <c r="A265" s="1721"/>
      <c r="C265" s="1026"/>
      <c r="D265" s="1714"/>
      <c r="E265" s="1720"/>
      <c r="F265" s="1720"/>
      <c r="G265" s="1716"/>
      <c r="H265" s="1715"/>
      <c r="I265" s="1715"/>
      <c r="J265" s="1717"/>
      <c r="K265" s="1717"/>
      <c r="L265" s="1717"/>
      <c r="M265" s="1717"/>
      <c r="N265" s="1718"/>
    </row>
    <row r="266">
      <c r="A266" s="1721"/>
      <c r="C266" s="1026"/>
      <c r="D266" s="1714"/>
      <c r="E266" s="1720"/>
      <c r="F266" s="1720"/>
      <c r="G266" s="1716"/>
      <c r="H266" s="1715"/>
      <c r="I266" s="1715"/>
      <c r="J266" s="1717"/>
      <c r="K266" s="1717"/>
      <c r="L266" s="1717"/>
      <c r="M266" s="1717"/>
      <c r="N266" s="1718"/>
    </row>
    <row r="267">
      <c r="A267" s="1721"/>
      <c r="C267" s="1026"/>
      <c r="D267" s="1714"/>
      <c r="E267" s="1720"/>
      <c r="F267" s="1720"/>
      <c r="G267" s="1716"/>
      <c r="H267" s="1715"/>
      <c r="I267" s="1715"/>
      <c r="J267" s="1717"/>
      <c r="K267" s="1717"/>
      <c r="L267" s="1717"/>
      <c r="M267" s="1717"/>
      <c r="N267" s="1718"/>
    </row>
    <row r="268">
      <c r="A268" s="1721"/>
      <c r="C268" s="1026"/>
      <c r="D268" s="1714"/>
      <c r="E268" s="1720"/>
      <c r="F268" s="1720"/>
      <c r="G268" s="1716"/>
      <c r="H268" s="1715"/>
      <c r="I268" s="1715"/>
      <c r="J268" s="1717"/>
      <c r="K268" s="1717"/>
      <c r="L268" s="1717"/>
      <c r="M268" s="1717"/>
      <c r="N268" s="1718"/>
    </row>
    <row r="269">
      <c r="A269" s="1721"/>
      <c r="C269" s="1026"/>
      <c r="D269" s="1714"/>
      <c r="E269" s="1720"/>
      <c r="F269" s="1720"/>
      <c r="G269" s="1716"/>
      <c r="H269" s="1715"/>
      <c r="I269" s="1715"/>
      <c r="J269" s="1717"/>
      <c r="K269" s="1717"/>
      <c r="L269" s="1717"/>
      <c r="M269" s="1717"/>
      <c r="N269" s="1718"/>
    </row>
    <row r="270">
      <c r="A270" s="1721"/>
      <c r="C270" s="1026"/>
      <c r="D270" s="1714"/>
      <c r="E270" s="1720"/>
      <c r="F270" s="1720"/>
      <c r="G270" s="1716"/>
      <c r="H270" s="1715"/>
      <c r="I270" s="1715"/>
      <c r="J270" s="1717"/>
      <c r="K270" s="1717"/>
      <c r="L270" s="1717"/>
      <c r="M270" s="1717"/>
      <c r="N270" s="1718"/>
    </row>
    <row r="271">
      <c r="A271" s="1721"/>
      <c r="C271" s="1026"/>
      <c r="D271" s="1714"/>
      <c r="E271" s="1720"/>
      <c r="F271" s="1720"/>
      <c r="G271" s="1716"/>
      <c r="H271" s="1715"/>
      <c r="I271" s="1715"/>
      <c r="J271" s="1717"/>
      <c r="K271" s="1717"/>
      <c r="L271" s="1717"/>
      <c r="M271" s="1717"/>
      <c r="N271" s="1718"/>
    </row>
    <row r="272">
      <c r="A272" s="1721"/>
      <c r="C272" s="1026"/>
      <c r="D272" s="1714"/>
      <c r="E272" s="1720"/>
      <c r="F272" s="1720"/>
      <c r="G272" s="1716"/>
      <c r="H272" s="1715"/>
      <c r="I272" s="1715"/>
      <c r="J272" s="1717"/>
      <c r="K272" s="1717"/>
      <c r="L272" s="1717"/>
      <c r="M272" s="1717"/>
      <c r="N272" s="1718"/>
    </row>
    <row r="273">
      <c r="A273" s="1721"/>
      <c r="C273" s="1026"/>
      <c r="D273" s="1714"/>
      <c r="E273" s="1720"/>
      <c r="F273" s="1720"/>
      <c r="G273" s="1716"/>
      <c r="H273" s="1715"/>
      <c r="I273" s="1715"/>
      <c r="J273" s="1717"/>
      <c r="K273" s="1717"/>
      <c r="L273" s="1717"/>
      <c r="M273" s="1717"/>
      <c r="N273" s="1718"/>
    </row>
    <row r="274">
      <c r="A274" s="1721"/>
      <c r="C274" s="1026"/>
      <c r="D274" s="1714"/>
      <c r="E274" s="1720"/>
      <c r="F274" s="1720"/>
      <c r="G274" s="1716"/>
      <c r="H274" s="1715"/>
      <c r="I274" s="1715"/>
      <c r="J274" s="1717"/>
      <c r="K274" s="1717"/>
      <c r="L274" s="1717"/>
      <c r="M274" s="1717"/>
      <c r="N274" s="1718"/>
    </row>
    <row r="275">
      <c r="A275" s="1721"/>
      <c r="C275" s="1026"/>
      <c r="D275" s="1714"/>
      <c r="E275" s="1720"/>
      <c r="F275" s="1720"/>
      <c r="G275" s="1716"/>
      <c r="H275" s="1715"/>
      <c r="I275" s="1715"/>
      <c r="J275" s="1717"/>
      <c r="K275" s="1717"/>
      <c r="L275" s="1717"/>
      <c r="M275" s="1717"/>
      <c r="N275" s="1718"/>
    </row>
    <row r="276">
      <c r="A276" s="1721"/>
      <c r="C276" s="1026"/>
      <c r="D276" s="1714"/>
      <c r="E276" s="1720"/>
      <c r="F276" s="1720"/>
      <c r="G276" s="1716"/>
      <c r="H276" s="1715"/>
      <c r="I276" s="1715"/>
      <c r="J276" s="1717"/>
      <c r="K276" s="1717"/>
      <c r="L276" s="1717"/>
      <c r="M276" s="1717"/>
      <c r="N276" s="1718"/>
    </row>
    <row r="277">
      <c r="A277" s="1721"/>
      <c r="C277" s="1026"/>
      <c r="D277" s="1714"/>
      <c r="E277" s="1720"/>
      <c r="F277" s="1720"/>
      <c r="G277" s="1716"/>
      <c r="H277" s="1715"/>
      <c r="I277" s="1715"/>
      <c r="J277" s="1717"/>
      <c r="K277" s="1717"/>
      <c r="L277" s="1717"/>
      <c r="M277" s="1717"/>
      <c r="N277" s="1718"/>
    </row>
    <row r="278">
      <c r="A278" s="1721"/>
      <c r="C278" s="1026"/>
      <c r="D278" s="1714"/>
      <c r="E278" s="1720"/>
      <c r="F278" s="1720"/>
      <c r="G278" s="1716"/>
      <c r="H278" s="1715"/>
      <c r="I278" s="1715"/>
      <c r="J278" s="1717"/>
      <c r="K278" s="1717"/>
      <c r="L278" s="1717"/>
      <c r="M278" s="1717"/>
      <c r="N278" s="1718"/>
    </row>
    <row r="279">
      <c r="A279" s="1721"/>
      <c r="C279" s="1026"/>
      <c r="D279" s="1714"/>
      <c r="E279" s="1720"/>
      <c r="F279" s="1720"/>
      <c r="G279" s="1716"/>
      <c r="H279" s="1715"/>
      <c r="I279" s="1715"/>
      <c r="J279" s="1717"/>
      <c r="K279" s="1717"/>
      <c r="L279" s="1717"/>
      <c r="M279" s="1717"/>
      <c r="N279" s="1718"/>
    </row>
    <row r="280">
      <c r="A280" s="1721"/>
      <c r="C280" s="1026"/>
      <c r="D280" s="1714"/>
      <c r="E280" s="1720"/>
      <c r="F280" s="1720"/>
      <c r="G280" s="1716"/>
      <c r="H280" s="1715"/>
      <c r="I280" s="1715"/>
      <c r="J280" s="1717"/>
      <c r="K280" s="1717"/>
      <c r="L280" s="1717"/>
      <c r="M280" s="1717"/>
      <c r="N280" s="1718"/>
    </row>
    <row r="281">
      <c r="A281" s="1721"/>
      <c r="C281" s="1026"/>
      <c r="D281" s="1714"/>
      <c r="E281" s="1720"/>
      <c r="F281" s="1720"/>
      <c r="G281" s="1716"/>
      <c r="H281" s="1715"/>
      <c r="I281" s="1715"/>
      <c r="J281" s="1717"/>
      <c r="K281" s="1717"/>
      <c r="L281" s="1717"/>
      <c r="M281" s="1717"/>
      <c r="N281" s="1718"/>
    </row>
    <row r="282">
      <c r="A282" s="1721"/>
      <c r="C282" s="1026"/>
      <c r="D282" s="1714"/>
      <c r="E282" s="1720"/>
      <c r="F282" s="1720"/>
      <c r="G282" s="1716"/>
      <c r="H282" s="1715"/>
      <c r="I282" s="1715"/>
      <c r="J282" s="1717"/>
      <c r="K282" s="1717"/>
      <c r="L282" s="1717"/>
      <c r="M282" s="1717"/>
      <c r="N282" s="1718"/>
    </row>
    <row r="283">
      <c r="A283" s="1721"/>
      <c r="C283" s="1026"/>
      <c r="D283" s="1714"/>
      <c r="E283" s="1720"/>
      <c r="F283" s="1720"/>
      <c r="G283" s="1716"/>
      <c r="H283" s="1715"/>
      <c r="I283" s="1715"/>
      <c r="J283" s="1717"/>
      <c r="K283" s="1717"/>
      <c r="L283" s="1717"/>
      <c r="M283" s="1717"/>
      <c r="N283" s="1718"/>
    </row>
    <row r="284">
      <c r="A284" s="1721"/>
      <c r="C284" s="1026"/>
      <c r="D284" s="1714"/>
      <c r="E284" s="1720"/>
      <c r="F284" s="1720"/>
      <c r="G284" s="1716"/>
      <c r="H284" s="1715"/>
      <c r="I284" s="1715"/>
      <c r="J284" s="1717"/>
      <c r="K284" s="1717"/>
      <c r="L284" s="1717"/>
      <c r="M284" s="1717"/>
      <c r="N284" s="1718"/>
    </row>
    <row r="285">
      <c r="A285" s="1721"/>
      <c r="C285" s="1026"/>
      <c r="D285" s="1714"/>
      <c r="E285" s="1720"/>
      <c r="F285" s="1720"/>
      <c r="G285" s="1716"/>
      <c r="H285" s="1715"/>
      <c r="I285" s="1715"/>
      <c r="J285" s="1717"/>
      <c r="K285" s="1717"/>
      <c r="L285" s="1717"/>
      <c r="M285" s="1717"/>
      <c r="N285" s="1718"/>
    </row>
    <row r="286">
      <c r="A286" s="1721"/>
      <c r="C286" s="1026"/>
      <c r="D286" s="1714"/>
      <c r="E286" s="1720"/>
      <c r="F286" s="1720"/>
      <c r="G286" s="1716"/>
      <c r="H286" s="1715"/>
      <c r="I286" s="1715"/>
      <c r="J286" s="1717"/>
      <c r="K286" s="1717"/>
      <c r="L286" s="1717"/>
      <c r="M286" s="1717"/>
      <c r="N286" s="1718"/>
    </row>
    <row r="287">
      <c r="A287" s="1721"/>
      <c r="C287" s="1026"/>
      <c r="D287" s="1714"/>
      <c r="E287" s="1720"/>
      <c r="F287" s="1720"/>
      <c r="G287" s="1716"/>
      <c r="H287" s="1715"/>
      <c r="I287" s="1715"/>
      <c r="J287" s="1717"/>
      <c r="K287" s="1717"/>
      <c r="L287" s="1717"/>
      <c r="M287" s="1717"/>
      <c r="N287" s="1718"/>
    </row>
    <row r="288">
      <c r="A288" s="1721"/>
      <c r="C288" s="1026"/>
      <c r="D288" s="1714"/>
      <c r="E288" s="1720"/>
      <c r="F288" s="1720"/>
      <c r="G288" s="1716"/>
      <c r="H288" s="1715"/>
      <c r="I288" s="1715"/>
      <c r="J288" s="1717"/>
      <c r="K288" s="1717"/>
      <c r="L288" s="1717"/>
      <c r="M288" s="1717"/>
      <c r="N288" s="1718"/>
    </row>
    <row r="289">
      <c r="A289" s="1721"/>
      <c r="C289" s="1026"/>
      <c r="D289" s="1714"/>
      <c r="E289" s="1720"/>
      <c r="F289" s="1720"/>
      <c r="G289" s="1716"/>
      <c r="H289" s="1715"/>
      <c r="I289" s="1715"/>
      <c r="J289" s="1717"/>
      <c r="K289" s="1717"/>
      <c r="L289" s="1717"/>
      <c r="M289" s="1717"/>
      <c r="N289" s="1718"/>
    </row>
    <row r="290">
      <c r="A290" s="1721"/>
      <c r="C290" s="1026"/>
      <c r="D290" s="1714"/>
      <c r="E290" s="1720"/>
      <c r="F290" s="1720"/>
      <c r="G290" s="1716"/>
      <c r="H290" s="1715"/>
      <c r="I290" s="1715"/>
      <c r="J290" s="1717"/>
      <c r="K290" s="1717"/>
      <c r="L290" s="1717"/>
      <c r="M290" s="1717"/>
      <c r="N290" s="1718"/>
    </row>
    <row r="291">
      <c r="A291" s="1721"/>
      <c r="C291" s="1026"/>
      <c r="D291" s="1714"/>
      <c r="E291" s="1720"/>
      <c r="F291" s="1720"/>
      <c r="G291" s="1716"/>
      <c r="H291" s="1715"/>
      <c r="I291" s="1715"/>
      <c r="J291" s="1717"/>
      <c r="K291" s="1717"/>
      <c r="L291" s="1717"/>
      <c r="M291" s="1717"/>
      <c r="N291" s="1718"/>
    </row>
    <row r="292">
      <c r="A292" s="1721"/>
      <c r="C292" s="1026"/>
      <c r="D292" s="1714"/>
      <c r="E292" s="1720"/>
      <c r="F292" s="1720"/>
      <c r="G292" s="1716"/>
      <c r="H292" s="1715"/>
      <c r="I292" s="1715"/>
      <c r="J292" s="1717"/>
      <c r="K292" s="1717"/>
      <c r="L292" s="1717"/>
      <c r="M292" s="1717"/>
      <c r="N292" s="1718"/>
    </row>
    <row r="293">
      <c r="A293" s="1721"/>
      <c r="C293" s="1026"/>
      <c r="D293" s="1714"/>
      <c r="E293" s="1720"/>
      <c r="F293" s="1720"/>
      <c r="G293" s="1716"/>
      <c r="H293" s="1715"/>
      <c r="I293" s="1715"/>
      <c r="J293" s="1717"/>
      <c r="K293" s="1717"/>
      <c r="L293" s="1717"/>
      <c r="M293" s="1717"/>
      <c r="N293" s="1718"/>
    </row>
    <row r="294">
      <c r="A294" s="1721"/>
      <c r="C294" s="1026"/>
      <c r="D294" s="1714"/>
      <c r="E294" s="1720"/>
      <c r="F294" s="1720"/>
      <c r="G294" s="1716"/>
      <c r="H294" s="1715"/>
      <c r="I294" s="1715"/>
      <c r="J294" s="1717"/>
      <c r="K294" s="1717"/>
      <c r="L294" s="1717"/>
      <c r="M294" s="1717"/>
      <c r="N294" s="1718"/>
    </row>
    <row r="295">
      <c r="A295" s="1721"/>
      <c r="C295" s="1026"/>
      <c r="D295" s="1714"/>
      <c r="E295" s="1720"/>
      <c r="F295" s="1720"/>
      <c r="G295" s="1716"/>
      <c r="H295" s="1715"/>
      <c r="I295" s="1715"/>
      <c r="J295" s="1717"/>
      <c r="K295" s="1717"/>
      <c r="L295" s="1717"/>
      <c r="M295" s="1717"/>
      <c r="N295" s="1718"/>
    </row>
    <row r="296">
      <c r="A296" s="1721"/>
      <c r="C296" s="1026"/>
      <c r="D296" s="1714"/>
      <c r="E296" s="1720"/>
      <c r="F296" s="1720"/>
      <c r="G296" s="1716"/>
      <c r="H296" s="1715"/>
      <c r="I296" s="1715"/>
      <c r="J296" s="1717"/>
      <c r="K296" s="1717"/>
      <c r="L296" s="1717"/>
      <c r="M296" s="1717"/>
      <c r="N296" s="1718"/>
    </row>
    <row r="297">
      <c r="A297" s="1721"/>
      <c r="C297" s="1026"/>
      <c r="D297" s="1714"/>
      <c r="E297" s="1720"/>
      <c r="F297" s="1720"/>
      <c r="G297" s="1716"/>
      <c r="H297" s="1715"/>
      <c r="I297" s="1715"/>
      <c r="J297" s="1717"/>
      <c r="K297" s="1717"/>
      <c r="L297" s="1717"/>
      <c r="M297" s="1717"/>
      <c r="N297" s="1718"/>
    </row>
    <row r="298">
      <c r="A298" s="1721"/>
      <c r="C298" s="1026"/>
      <c r="D298" s="1714"/>
      <c r="E298" s="1720"/>
      <c r="F298" s="1720"/>
      <c r="G298" s="1716"/>
      <c r="H298" s="1715"/>
      <c r="I298" s="1715"/>
      <c r="J298" s="1717"/>
      <c r="K298" s="1717"/>
      <c r="L298" s="1717"/>
      <c r="M298" s="1717"/>
      <c r="N298" s="1718"/>
    </row>
    <row r="299">
      <c r="A299" s="1721"/>
      <c r="C299" s="1026"/>
      <c r="D299" s="1714"/>
      <c r="E299" s="1720"/>
      <c r="F299" s="1720"/>
      <c r="G299" s="1716"/>
      <c r="H299" s="1715"/>
      <c r="I299" s="1715"/>
      <c r="J299" s="1717"/>
      <c r="K299" s="1717"/>
      <c r="L299" s="1717"/>
      <c r="M299" s="1717"/>
      <c r="N299" s="1718"/>
    </row>
    <row r="300">
      <c r="A300" s="1721"/>
      <c r="C300" s="1026"/>
      <c r="D300" s="1714"/>
      <c r="E300" s="1720"/>
      <c r="F300" s="1720"/>
      <c r="G300" s="1716"/>
      <c r="H300" s="1715"/>
      <c r="I300" s="1715"/>
      <c r="J300" s="1717"/>
      <c r="K300" s="1717"/>
      <c r="L300" s="1717"/>
      <c r="M300" s="1717"/>
      <c r="N300" s="1718"/>
    </row>
    <row r="301">
      <c r="A301" s="1721"/>
      <c r="C301" s="1026"/>
      <c r="D301" s="1714"/>
      <c r="E301" s="1720"/>
      <c r="F301" s="1720"/>
      <c r="G301" s="1716"/>
      <c r="H301" s="1715"/>
      <c r="I301" s="1715"/>
      <c r="J301" s="1717"/>
      <c r="K301" s="1717"/>
      <c r="L301" s="1717"/>
      <c r="M301" s="1717"/>
      <c r="N301" s="1718"/>
    </row>
    <row r="302">
      <c r="A302" s="1721"/>
      <c r="C302" s="1026"/>
      <c r="D302" s="1714"/>
      <c r="E302" s="1720"/>
      <c r="F302" s="1720"/>
      <c r="G302" s="1716"/>
      <c r="H302" s="1715"/>
      <c r="I302" s="1715"/>
      <c r="J302" s="1717"/>
      <c r="K302" s="1717"/>
      <c r="L302" s="1717"/>
      <c r="M302" s="1717"/>
      <c r="N302" s="1718"/>
    </row>
    <row r="303">
      <c r="A303" s="1721"/>
      <c r="C303" s="1026"/>
      <c r="D303" s="1714"/>
      <c r="E303" s="1720"/>
      <c r="F303" s="1720"/>
      <c r="G303" s="1716"/>
      <c r="H303" s="1715"/>
      <c r="I303" s="1715"/>
      <c r="J303" s="1717"/>
      <c r="K303" s="1717"/>
      <c r="L303" s="1717"/>
      <c r="M303" s="1717"/>
      <c r="N303" s="1718"/>
    </row>
    <row r="304">
      <c r="A304" s="1721"/>
      <c r="C304" s="1026"/>
      <c r="D304" s="1714"/>
      <c r="E304" s="1720"/>
      <c r="F304" s="1720"/>
      <c r="G304" s="1716"/>
      <c r="H304" s="1715"/>
      <c r="I304" s="1715"/>
      <c r="J304" s="1717"/>
      <c r="K304" s="1717"/>
      <c r="L304" s="1717"/>
      <c r="M304" s="1717"/>
      <c r="N304" s="1718"/>
    </row>
    <row r="305">
      <c r="A305" s="1721"/>
      <c r="C305" s="1026"/>
      <c r="D305" s="1714"/>
      <c r="E305" s="1720"/>
      <c r="F305" s="1720"/>
      <c r="G305" s="1716"/>
      <c r="H305" s="1715"/>
      <c r="I305" s="1715"/>
      <c r="J305" s="1717"/>
      <c r="K305" s="1717"/>
      <c r="L305" s="1717"/>
      <c r="M305" s="1717"/>
      <c r="N305" s="1718"/>
    </row>
    <row r="306">
      <c r="A306" s="1721"/>
      <c r="C306" s="1026"/>
      <c r="D306" s="1714"/>
      <c r="E306" s="1720"/>
      <c r="F306" s="1720"/>
      <c r="G306" s="1716"/>
      <c r="H306" s="1715"/>
      <c r="I306" s="1715"/>
      <c r="J306" s="1717"/>
      <c r="K306" s="1717"/>
      <c r="L306" s="1717"/>
      <c r="M306" s="1717"/>
      <c r="N306" s="1718"/>
    </row>
    <row r="307">
      <c r="A307" s="1721"/>
      <c r="C307" s="1026"/>
      <c r="D307" s="1714"/>
      <c r="E307" s="1720"/>
      <c r="F307" s="1720"/>
      <c r="G307" s="1716"/>
      <c r="H307" s="1715"/>
      <c r="I307" s="1715"/>
      <c r="J307" s="1717"/>
      <c r="K307" s="1717"/>
      <c r="L307" s="1717"/>
      <c r="M307" s="1717"/>
      <c r="N307" s="1718"/>
    </row>
    <row r="308">
      <c r="A308" s="1721"/>
      <c r="C308" s="1026"/>
      <c r="D308" s="1714"/>
      <c r="E308" s="1720"/>
      <c r="F308" s="1720"/>
      <c r="G308" s="1716"/>
      <c r="H308" s="1715"/>
      <c r="I308" s="1715"/>
      <c r="J308" s="1717"/>
      <c r="K308" s="1717"/>
      <c r="L308" s="1717"/>
      <c r="M308" s="1717"/>
      <c r="N308" s="1718"/>
    </row>
    <row r="309">
      <c r="A309" s="1721"/>
      <c r="C309" s="1026"/>
      <c r="D309" s="1714"/>
      <c r="E309" s="1720"/>
      <c r="F309" s="1720"/>
      <c r="G309" s="1716"/>
      <c r="H309" s="1715"/>
      <c r="I309" s="1715"/>
      <c r="J309" s="1717"/>
      <c r="K309" s="1717"/>
      <c r="L309" s="1717"/>
      <c r="M309" s="1717"/>
      <c r="N309" s="1718"/>
    </row>
    <row r="310">
      <c r="A310" s="1721"/>
      <c r="C310" s="1026"/>
      <c r="D310" s="1714"/>
      <c r="E310" s="1720"/>
      <c r="F310" s="1720"/>
      <c r="G310" s="1716"/>
      <c r="H310" s="1715"/>
      <c r="I310" s="1715"/>
      <c r="J310" s="1717"/>
      <c r="K310" s="1717"/>
      <c r="L310" s="1717"/>
      <c r="M310" s="1717"/>
      <c r="N310" s="1718"/>
    </row>
    <row r="311">
      <c r="A311" s="1721"/>
      <c r="C311" s="1026"/>
      <c r="D311" s="1714"/>
      <c r="E311" s="1720"/>
      <c r="F311" s="1720"/>
      <c r="G311" s="1716"/>
      <c r="H311" s="1715"/>
      <c r="I311" s="1715"/>
      <c r="J311" s="1717"/>
      <c r="K311" s="1717"/>
      <c r="L311" s="1717"/>
      <c r="M311" s="1717"/>
      <c r="N311" s="1718"/>
    </row>
    <row r="312">
      <c r="A312" s="1721"/>
      <c r="C312" s="1026"/>
      <c r="D312" s="1714"/>
      <c r="E312" s="1720"/>
      <c r="F312" s="1720"/>
      <c r="G312" s="1716"/>
      <c r="H312" s="1715"/>
      <c r="I312" s="1715"/>
      <c r="J312" s="1717"/>
      <c r="K312" s="1717"/>
      <c r="L312" s="1717"/>
      <c r="M312" s="1717"/>
      <c r="N312" s="1718"/>
    </row>
    <row r="313">
      <c r="A313" s="1721"/>
      <c r="C313" s="1026"/>
      <c r="D313" s="1714"/>
      <c r="E313" s="1720"/>
      <c r="F313" s="1720"/>
      <c r="G313" s="1716"/>
      <c r="H313" s="1715"/>
      <c r="I313" s="1715"/>
      <c r="J313" s="1717"/>
      <c r="K313" s="1717"/>
      <c r="L313" s="1717"/>
      <c r="M313" s="1717"/>
      <c r="N313" s="1718"/>
    </row>
    <row r="314">
      <c r="A314" s="1721"/>
      <c r="C314" s="1026"/>
      <c r="D314" s="1714"/>
      <c r="E314" s="1720"/>
      <c r="F314" s="1720"/>
      <c r="G314" s="1716"/>
      <c r="H314" s="1715"/>
      <c r="I314" s="1715"/>
      <c r="J314" s="1717"/>
      <c r="K314" s="1717"/>
      <c r="L314" s="1717"/>
      <c r="M314" s="1717"/>
      <c r="N314" s="1718"/>
    </row>
    <row r="315">
      <c r="A315" s="1721"/>
      <c r="C315" s="1026"/>
      <c r="D315" s="1714"/>
      <c r="E315" s="1720"/>
      <c r="F315" s="1720"/>
      <c r="G315" s="1716"/>
      <c r="H315" s="1715"/>
      <c r="I315" s="1715"/>
      <c r="J315" s="1717"/>
      <c r="K315" s="1717"/>
      <c r="L315" s="1717"/>
      <c r="M315" s="1717"/>
      <c r="N315" s="1718"/>
    </row>
    <row r="316">
      <c r="A316" s="1721"/>
      <c r="C316" s="1026"/>
      <c r="D316" s="1714"/>
      <c r="E316" s="1720"/>
      <c r="F316" s="1720"/>
      <c r="G316" s="1716"/>
      <c r="H316" s="1715"/>
      <c r="I316" s="1715"/>
      <c r="J316" s="1717"/>
      <c r="K316" s="1717"/>
      <c r="L316" s="1717"/>
      <c r="M316" s="1717"/>
      <c r="N316" s="1718"/>
    </row>
    <row r="317">
      <c r="A317" s="1721"/>
      <c r="C317" s="1026"/>
      <c r="D317" s="1714"/>
      <c r="E317" s="1720"/>
      <c r="F317" s="1720"/>
      <c r="G317" s="1716"/>
      <c r="H317" s="1715"/>
      <c r="I317" s="1715"/>
      <c r="J317" s="1717"/>
      <c r="K317" s="1717"/>
      <c r="L317" s="1717"/>
      <c r="M317" s="1717"/>
      <c r="N317" s="1718"/>
    </row>
    <row r="318">
      <c r="A318" s="1721"/>
      <c r="C318" s="1026"/>
      <c r="D318" s="1714"/>
      <c r="E318" s="1720"/>
      <c r="F318" s="1720"/>
      <c r="G318" s="1716"/>
      <c r="H318" s="1715"/>
      <c r="I318" s="1715"/>
      <c r="J318" s="1717"/>
      <c r="K318" s="1717"/>
      <c r="L318" s="1717"/>
      <c r="M318" s="1717"/>
      <c r="N318" s="1718"/>
    </row>
    <row r="319">
      <c r="A319" s="1721"/>
      <c r="C319" s="1026"/>
      <c r="D319" s="1714"/>
      <c r="E319" s="1720"/>
      <c r="F319" s="1720"/>
      <c r="G319" s="1716"/>
      <c r="H319" s="1715"/>
      <c r="I319" s="1715"/>
      <c r="J319" s="1717"/>
      <c r="K319" s="1717"/>
      <c r="L319" s="1717"/>
      <c r="M319" s="1717"/>
      <c r="N319" s="1718"/>
    </row>
    <row r="320">
      <c r="A320" s="1721"/>
      <c r="C320" s="1026"/>
      <c r="D320" s="1714"/>
      <c r="E320" s="1720"/>
      <c r="F320" s="1720"/>
      <c r="G320" s="1716"/>
      <c r="H320" s="1715"/>
      <c r="I320" s="1715"/>
      <c r="J320" s="1717"/>
      <c r="K320" s="1717"/>
      <c r="L320" s="1717"/>
      <c r="M320" s="1717"/>
      <c r="N320" s="1718"/>
    </row>
    <row r="321">
      <c r="A321" s="1721"/>
      <c r="C321" s="1026"/>
      <c r="D321" s="1714"/>
      <c r="E321" s="1720"/>
      <c r="F321" s="1720"/>
      <c r="G321" s="1716"/>
      <c r="H321" s="1715"/>
      <c r="I321" s="1715"/>
      <c r="J321" s="1717"/>
      <c r="K321" s="1717"/>
      <c r="L321" s="1717"/>
      <c r="M321" s="1717"/>
      <c r="N321" s="1718"/>
    </row>
    <row r="322">
      <c r="A322" s="1721"/>
      <c r="C322" s="1026"/>
      <c r="D322" s="1714"/>
      <c r="E322" s="1720"/>
      <c r="F322" s="1720"/>
      <c r="G322" s="1716"/>
      <c r="H322" s="1715"/>
      <c r="I322" s="1715"/>
      <c r="J322" s="1717"/>
      <c r="K322" s="1717"/>
      <c r="L322" s="1717"/>
      <c r="M322" s="1717"/>
      <c r="N322" s="1718"/>
    </row>
    <row r="323">
      <c r="A323" s="1721"/>
      <c r="C323" s="1026"/>
      <c r="D323" s="1714"/>
      <c r="E323" s="1720"/>
      <c r="F323" s="1720"/>
      <c r="G323" s="1716"/>
      <c r="H323" s="1715"/>
      <c r="I323" s="1715"/>
      <c r="J323" s="1717"/>
      <c r="K323" s="1717"/>
      <c r="L323" s="1717"/>
      <c r="M323" s="1717"/>
      <c r="N323" s="1718"/>
    </row>
    <row r="324">
      <c r="A324" s="1721"/>
      <c r="C324" s="1026"/>
      <c r="D324" s="1714"/>
      <c r="E324" s="1720"/>
      <c r="F324" s="1720"/>
      <c r="G324" s="1716"/>
      <c r="H324" s="1715"/>
      <c r="I324" s="1715"/>
      <c r="J324" s="1717"/>
      <c r="K324" s="1717"/>
      <c r="L324" s="1717"/>
      <c r="M324" s="1717"/>
      <c r="N324" s="1718"/>
    </row>
    <row r="325">
      <c r="A325" s="1721"/>
      <c r="C325" s="1026"/>
      <c r="D325" s="1714"/>
      <c r="E325" s="1720"/>
      <c r="F325" s="1720"/>
      <c r="G325" s="1716"/>
      <c r="H325" s="1715"/>
      <c r="I325" s="1715"/>
      <c r="J325" s="1717"/>
      <c r="K325" s="1717"/>
      <c r="L325" s="1717"/>
      <c r="M325" s="1717"/>
      <c r="N325" s="1718"/>
    </row>
    <row r="326">
      <c r="A326" s="1721"/>
      <c r="C326" s="1026"/>
      <c r="D326" s="1714"/>
      <c r="E326" s="1720"/>
      <c r="F326" s="1720"/>
      <c r="G326" s="1716"/>
      <c r="H326" s="1715"/>
      <c r="I326" s="1715"/>
      <c r="J326" s="1717"/>
      <c r="K326" s="1717"/>
      <c r="L326" s="1717"/>
      <c r="M326" s="1717"/>
      <c r="N326" s="1718"/>
    </row>
    <row r="327">
      <c r="A327" s="1721"/>
      <c r="C327" s="1026"/>
      <c r="D327" s="1714"/>
      <c r="E327" s="1720"/>
      <c r="F327" s="1720"/>
      <c r="G327" s="1716"/>
      <c r="H327" s="1715"/>
      <c r="I327" s="1715"/>
      <c r="J327" s="1717"/>
      <c r="K327" s="1717"/>
      <c r="L327" s="1717"/>
      <c r="M327" s="1717"/>
      <c r="N327" s="1718"/>
    </row>
    <row r="328">
      <c r="A328" s="1721"/>
      <c r="C328" s="1026"/>
      <c r="D328" s="1714"/>
      <c r="E328" s="1720"/>
      <c r="F328" s="1720"/>
      <c r="G328" s="1716"/>
      <c r="H328" s="1715"/>
      <c r="I328" s="1715"/>
      <c r="J328" s="1717"/>
      <c r="K328" s="1717"/>
      <c r="L328" s="1717"/>
      <c r="M328" s="1717"/>
      <c r="N328" s="1718"/>
    </row>
    <row r="329">
      <c r="A329" s="1721"/>
      <c r="C329" s="1026"/>
      <c r="D329" s="1714"/>
      <c r="E329" s="1720"/>
      <c r="F329" s="1720"/>
      <c r="G329" s="1716"/>
      <c r="H329" s="1715"/>
      <c r="I329" s="1715"/>
      <c r="J329" s="1717"/>
      <c r="K329" s="1717"/>
      <c r="L329" s="1717"/>
      <c r="M329" s="1717"/>
      <c r="N329" s="1718"/>
    </row>
    <row r="330">
      <c r="A330" s="1721"/>
      <c r="C330" s="1026"/>
      <c r="D330" s="1714"/>
      <c r="E330" s="1720"/>
      <c r="F330" s="1720"/>
      <c r="G330" s="1716"/>
      <c r="H330" s="1715"/>
      <c r="I330" s="1715"/>
      <c r="J330" s="1717"/>
      <c r="K330" s="1717"/>
      <c r="L330" s="1717"/>
      <c r="M330" s="1717"/>
      <c r="N330" s="1718"/>
    </row>
    <row r="331">
      <c r="A331" s="1721"/>
      <c r="C331" s="1026"/>
      <c r="D331" s="1714"/>
      <c r="E331" s="1720"/>
      <c r="F331" s="1720"/>
      <c r="G331" s="1716"/>
      <c r="H331" s="1715"/>
      <c r="I331" s="1715"/>
      <c r="J331" s="1717"/>
      <c r="K331" s="1717"/>
      <c r="L331" s="1717"/>
      <c r="M331" s="1717"/>
      <c r="N331" s="1718"/>
    </row>
    <row r="332">
      <c r="A332" s="1721"/>
      <c r="C332" s="1026"/>
      <c r="D332" s="1714"/>
      <c r="E332" s="1720"/>
      <c r="F332" s="1720"/>
      <c r="G332" s="1716"/>
      <c r="H332" s="1715"/>
      <c r="I332" s="1715"/>
      <c r="J332" s="1717"/>
      <c r="K332" s="1717"/>
      <c r="L332" s="1717"/>
      <c r="M332" s="1717"/>
      <c r="N332" s="1718"/>
    </row>
    <row r="333">
      <c r="A333" s="1721"/>
      <c r="C333" s="1026"/>
      <c r="D333" s="1714"/>
      <c r="E333" s="1720"/>
      <c r="F333" s="1720"/>
      <c r="G333" s="1716"/>
      <c r="H333" s="1715"/>
      <c r="I333" s="1715"/>
      <c r="J333" s="1717"/>
      <c r="K333" s="1717"/>
      <c r="L333" s="1717"/>
      <c r="M333" s="1717"/>
      <c r="N333" s="1718"/>
    </row>
    <row r="334">
      <c r="A334" s="1721"/>
      <c r="C334" s="1026"/>
      <c r="D334" s="1714"/>
      <c r="E334" s="1720"/>
      <c r="F334" s="1720"/>
      <c r="G334" s="1716"/>
      <c r="H334" s="1715"/>
      <c r="I334" s="1715"/>
      <c r="J334" s="1717"/>
      <c r="K334" s="1717"/>
      <c r="L334" s="1717"/>
      <c r="M334" s="1717"/>
      <c r="N334" s="1718"/>
    </row>
    <row r="335">
      <c r="A335" s="1721"/>
      <c r="C335" s="1026"/>
      <c r="D335" s="1714"/>
      <c r="E335" s="1720"/>
      <c r="F335" s="1720"/>
      <c r="G335" s="1716"/>
      <c r="H335" s="1715"/>
      <c r="I335" s="1715"/>
      <c r="J335" s="1717"/>
      <c r="K335" s="1717"/>
      <c r="L335" s="1717"/>
      <c r="M335" s="1717"/>
      <c r="N335" s="1718"/>
    </row>
    <row r="336">
      <c r="A336" s="1721"/>
      <c r="C336" s="1026"/>
      <c r="D336" s="1714"/>
      <c r="E336" s="1720"/>
      <c r="F336" s="1720"/>
      <c r="G336" s="1716"/>
      <c r="H336" s="1715"/>
      <c r="I336" s="1715"/>
      <c r="J336" s="1717"/>
      <c r="K336" s="1717"/>
      <c r="L336" s="1717"/>
      <c r="M336" s="1717"/>
      <c r="N336" s="1718"/>
    </row>
    <row r="337">
      <c r="A337" s="1721"/>
      <c r="C337" s="1026"/>
      <c r="D337" s="1714"/>
      <c r="E337" s="1720"/>
      <c r="F337" s="1720"/>
      <c r="G337" s="1716"/>
      <c r="H337" s="1715"/>
      <c r="I337" s="1715"/>
      <c r="J337" s="1717"/>
      <c r="K337" s="1717"/>
      <c r="L337" s="1717"/>
      <c r="M337" s="1717"/>
      <c r="N337" s="1718"/>
    </row>
    <row r="338">
      <c r="A338" s="1721"/>
      <c r="C338" s="1026"/>
      <c r="D338" s="1714"/>
      <c r="E338" s="1720"/>
      <c r="F338" s="1720"/>
      <c r="G338" s="1716"/>
      <c r="H338" s="1715"/>
      <c r="I338" s="1715"/>
      <c r="J338" s="1717"/>
      <c r="K338" s="1717"/>
      <c r="L338" s="1717"/>
      <c r="M338" s="1717"/>
      <c r="N338" s="1718"/>
    </row>
    <row r="339">
      <c r="A339" s="1721"/>
      <c r="C339" s="1026"/>
      <c r="D339" s="1714"/>
      <c r="E339" s="1720"/>
      <c r="F339" s="1720"/>
      <c r="G339" s="1716"/>
      <c r="H339" s="1715"/>
      <c r="I339" s="1715"/>
      <c r="J339" s="1717"/>
      <c r="K339" s="1717"/>
      <c r="L339" s="1717"/>
      <c r="M339" s="1717"/>
      <c r="N339" s="1718"/>
    </row>
    <row r="340">
      <c r="A340" s="1721"/>
      <c r="C340" s="1026"/>
      <c r="D340" s="1714"/>
      <c r="E340" s="1720"/>
      <c r="F340" s="1720"/>
      <c r="G340" s="1716"/>
      <c r="H340" s="1715"/>
      <c r="I340" s="1715"/>
      <c r="J340" s="1717"/>
      <c r="K340" s="1717"/>
      <c r="L340" s="1717"/>
      <c r="M340" s="1717"/>
      <c r="N340" s="1718"/>
    </row>
    <row r="341">
      <c r="A341" s="1721"/>
      <c r="C341" s="1026"/>
      <c r="D341" s="1714"/>
      <c r="E341" s="1720"/>
      <c r="F341" s="1720"/>
      <c r="G341" s="1716"/>
      <c r="H341" s="1715"/>
      <c r="I341" s="1715"/>
      <c r="J341" s="1717"/>
      <c r="K341" s="1717"/>
      <c r="L341" s="1717"/>
      <c r="M341" s="1717"/>
      <c r="N341" s="1718"/>
    </row>
    <row r="342">
      <c r="A342" s="1721"/>
      <c r="C342" s="1026"/>
      <c r="D342" s="1714"/>
      <c r="E342" s="1720"/>
      <c r="F342" s="1720"/>
      <c r="G342" s="1716"/>
      <c r="H342" s="1715"/>
      <c r="I342" s="1715"/>
      <c r="J342" s="1717"/>
      <c r="K342" s="1717"/>
      <c r="L342" s="1717"/>
      <c r="M342" s="1717"/>
      <c r="N342" s="1718"/>
    </row>
    <row r="343">
      <c r="A343" s="1721"/>
      <c r="C343" s="1026"/>
      <c r="D343" s="1714"/>
      <c r="E343" s="1720"/>
      <c r="F343" s="1720"/>
      <c r="G343" s="1716"/>
      <c r="H343" s="1715"/>
      <c r="I343" s="1715"/>
      <c r="J343" s="1717"/>
      <c r="K343" s="1717"/>
      <c r="L343" s="1717"/>
      <c r="M343" s="1717"/>
      <c r="N343" s="1718"/>
    </row>
    <row r="344">
      <c r="A344" s="1721"/>
      <c r="C344" s="1026"/>
      <c r="D344" s="1714"/>
      <c r="E344" s="1720"/>
      <c r="F344" s="1720"/>
      <c r="G344" s="1716"/>
      <c r="H344" s="1715"/>
      <c r="I344" s="1715"/>
      <c r="J344" s="1717"/>
      <c r="K344" s="1717"/>
      <c r="L344" s="1717"/>
      <c r="M344" s="1717"/>
      <c r="N344" s="1718"/>
    </row>
    <row r="345">
      <c r="A345" s="1721"/>
      <c r="C345" s="1026"/>
      <c r="D345" s="1714"/>
      <c r="E345" s="1720"/>
      <c r="F345" s="1720"/>
      <c r="G345" s="1716"/>
      <c r="H345" s="1715"/>
      <c r="I345" s="1715"/>
      <c r="J345" s="1717"/>
      <c r="K345" s="1717"/>
      <c r="L345" s="1717"/>
      <c r="M345" s="1717"/>
      <c r="N345" s="1718"/>
    </row>
    <row r="346">
      <c r="A346" s="1721"/>
      <c r="C346" s="1026"/>
      <c r="D346" s="1714"/>
      <c r="E346" s="1720"/>
      <c r="F346" s="1720"/>
      <c r="G346" s="1716"/>
      <c r="H346" s="1715"/>
      <c r="I346" s="1715"/>
      <c r="J346" s="1717"/>
      <c r="K346" s="1717"/>
      <c r="L346" s="1717"/>
      <c r="M346" s="1717"/>
      <c r="N346" s="1718"/>
    </row>
    <row r="347">
      <c r="A347" s="1721"/>
      <c r="C347" s="1026"/>
      <c r="D347" s="1714"/>
      <c r="E347" s="1720"/>
      <c r="F347" s="1720"/>
      <c r="G347" s="1716"/>
      <c r="H347" s="1715"/>
      <c r="I347" s="1715"/>
      <c r="J347" s="1717"/>
      <c r="K347" s="1717"/>
      <c r="L347" s="1717"/>
      <c r="M347" s="1717"/>
      <c r="N347" s="1718"/>
    </row>
    <row r="348">
      <c r="A348" s="1721"/>
      <c r="C348" s="1026"/>
      <c r="D348" s="1714"/>
      <c r="E348" s="1720"/>
      <c r="F348" s="1720"/>
      <c r="G348" s="1716"/>
      <c r="H348" s="1715"/>
      <c r="I348" s="1715"/>
      <c r="J348" s="1717"/>
      <c r="K348" s="1717"/>
      <c r="L348" s="1717"/>
      <c r="M348" s="1717"/>
      <c r="N348" s="1718"/>
    </row>
    <row r="349">
      <c r="A349" s="1721"/>
      <c r="C349" s="1026"/>
      <c r="D349" s="1714"/>
      <c r="E349" s="1720"/>
      <c r="F349" s="1720"/>
      <c r="G349" s="1716"/>
      <c r="H349" s="1715"/>
      <c r="I349" s="1715"/>
      <c r="J349" s="1717"/>
      <c r="K349" s="1717"/>
      <c r="L349" s="1717"/>
      <c r="M349" s="1717"/>
      <c r="N349" s="1718"/>
    </row>
    <row r="350">
      <c r="A350" s="1721"/>
      <c r="C350" s="1026"/>
      <c r="D350" s="1714"/>
      <c r="E350" s="1720"/>
      <c r="F350" s="1720"/>
      <c r="G350" s="1716"/>
      <c r="H350" s="1715"/>
      <c r="I350" s="1715"/>
      <c r="J350" s="1717"/>
      <c r="K350" s="1717"/>
      <c r="L350" s="1717"/>
      <c r="M350" s="1717"/>
      <c r="N350" s="1718"/>
    </row>
    <row r="351">
      <c r="A351" s="1721"/>
      <c r="C351" s="1026"/>
      <c r="D351" s="1714"/>
      <c r="E351" s="1720"/>
      <c r="F351" s="1720"/>
      <c r="G351" s="1716"/>
      <c r="H351" s="1715"/>
      <c r="I351" s="1715"/>
      <c r="J351" s="1717"/>
      <c r="K351" s="1717"/>
      <c r="L351" s="1717"/>
      <c r="M351" s="1717"/>
      <c r="N351" s="1718"/>
    </row>
    <row r="352">
      <c r="A352" s="1721"/>
      <c r="C352" s="1026"/>
      <c r="D352" s="1714"/>
      <c r="E352" s="1720"/>
      <c r="F352" s="1720"/>
      <c r="G352" s="1716"/>
      <c r="H352" s="1715"/>
      <c r="I352" s="1715"/>
      <c r="J352" s="1717"/>
      <c r="K352" s="1717"/>
      <c r="L352" s="1717"/>
      <c r="M352" s="1717"/>
      <c r="N352" s="1718"/>
    </row>
    <row r="353">
      <c r="A353" s="1721"/>
      <c r="C353" s="1026"/>
      <c r="D353" s="1714"/>
      <c r="E353" s="1720"/>
      <c r="F353" s="1720"/>
      <c r="G353" s="1716"/>
      <c r="H353" s="1715"/>
      <c r="I353" s="1715"/>
      <c r="J353" s="1717"/>
      <c r="K353" s="1717"/>
      <c r="L353" s="1717"/>
      <c r="M353" s="1717"/>
      <c r="N353" s="1718"/>
    </row>
    <row r="354">
      <c r="A354" s="1721"/>
      <c r="C354" s="1026"/>
      <c r="D354" s="1714"/>
      <c r="E354" s="1720"/>
      <c r="F354" s="1720"/>
      <c r="G354" s="1716"/>
      <c r="H354" s="1715"/>
      <c r="I354" s="1715"/>
      <c r="J354" s="1717"/>
      <c r="K354" s="1717"/>
      <c r="L354" s="1717"/>
      <c r="M354" s="1717"/>
      <c r="N354" s="1718"/>
    </row>
    <row r="355">
      <c r="A355" s="1721"/>
      <c r="C355" s="1026"/>
      <c r="D355" s="1714"/>
      <c r="E355" s="1720"/>
      <c r="F355" s="1720"/>
      <c r="G355" s="1716"/>
      <c r="H355" s="1715"/>
      <c r="I355" s="1715"/>
      <c r="J355" s="1717"/>
      <c r="K355" s="1717"/>
      <c r="L355" s="1717"/>
      <c r="M355" s="1717"/>
      <c r="N355" s="1718"/>
    </row>
    <row r="356">
      <c r="A356" s="1721"/>
      <c r="C356" s="1026"/>
      <c r="D356" s="1714"/>
      <c r="E356" s="1720"/>
      <c r="F356" s="1720"/>
      <c r="G356" s="1716"/>
      <c r="H356" s="1715"/>
      <c r="I356" s="1715"/>
      <c r="J356" s="1717"/>
      <c r="K356" s="1717"/>
      <c r="L356" s="1717"/>
      <c r="M356" s="1717"/>
      <c r="N356" s="1718"/>
    </row>
    <row r="357">
      <c r="A357" s="1721"/>
      <c r="C357" s="1026"/>
      <c r="D357" s="1714"/>
      <c r="E357" s="1720"/>
      <c r="F357" s="1720"/>
      <c r="G357" s="1716"/>
      <c r="H357" s="1715"/>
      <c r="I357" s="1715"/>
      <c r="J357" s="1717"/>
      <c r="K357" s="1717"/>
      <c r="L357" s="1717"/>
      <c r="M357" s="1717"/>
      <c r="N357" s="1718"/>
    </row>
    <row r="358">
      <c r="A358" s="1721"/>
      <c r="C358" s="1026"/>
      <c r="D358" s="1714"/>
      <c r="E358" s="1720"/>
      <c r="F358" s="1720"/>
      <c r="G358" s="1716"/>
      <c r="H358" s="1715"/>
      <c r="I358" s="1715"/>
      <c r="J358" s="1717"/>
      <c r="K358" s="1717"/>
      <c r="L358" s="1717"/>
      <c r="M358" s="1717"/>
      <c r="N358" s="1718"/>
    </row>
    <row r="359">
      <c r="A359" s="1721"/>
      <c r="C359" s="1026"/>
      <c r="D359" s="1714"/>
      <c r="E359" s="1720"/>
      <c r="F359" s="1720"/>
      <c r="G359" s="1716"/>
      <c r="H359" s="1715"/>
      <c r="I359" s="1715"/>
      <c r="J359" s="1717"/>
      <c r="K359" s="1717"/>
      <c r="L359" s="1717"/>
      <c r="M359" s="1717"/>
      <c r="N359" s="1718"/>
    </row>
    <row r="360">
      <c r="A360" s="1721"/>
      <c r="C360" s="1026"/>
      <c r="D360" s="1714"/>
      <c r="E360" s="1720"/>
      <c r="F360" s="1720"/>
      <c r="G360" s="1716"/>
      <c r="H360" s="1715"/>
      <c r="I360" s="1715"/>
      <c r="J360" s="1717"/>
      <c r="K360" s="1717"/>
      <c r="L360" s="1717"/>
      <c r="M360" s="1717"/>
      <c r="N360" s="1718"/>
    </row>
    <row r="361">
      <c r="A361" s="1721"/>
      <c r="C361" s="1026"/>
      <c r="D361" s="1714"/>
      <c r="E361" s="1720"/>
      <c r="F361" s="1720"/>
      <c r="G361" s="1716"/>
      <c r="H361" s="1715"/>
      <c r="I361" s="1715"/>
      <c r="J361" s="1717"/>
      <c r="K361" s="1717"/>
      <c r="L361" s="1717"/>
      <c r="M361" s="1717"/>
      <c r="N361" s="1718"/>
    </row>
    <row r="362">
      <c r="A362" s="1721"/>
      <c r="C362" s="1026"/>
      <c r="D362" s="1714"/>
      <c r="E362" s="1720"/>
      <c r="F362" s="1720"/>
      <c r="G362" s="1716"/>
      <c r="H362" s="1715"/>
      <c r="I362" s="1715"/>
      <c r="J362" s="1717"/>
      <c r="K362" s="1717"/>
      <c r="L362" s="1717"/>
      <c r="M362" s="1717"/>
      <c r="N362" s="1718"/>
    </row>
    <row r="363">
      <c r="A363" s="1721"/>
      <c r="C363" s="1026"/>
      <c r="D363" s="1714"/>
      <c r="E363" s="1720"/>
      <c r="F363" s="1720"/>
      <c r="G363" s="1716"/>
      <c r="H363" s="1715"/>
      <c r="I363" s="1715"/>
      <c r="J363" s="1717"/>
      <c r="K363" s="1717"/>
      <c r="L363" s="1717"/>
      <c r="M363" s="1717"/>
      <c r="N363" s="1718"/>
    </row>
    <row r="364">
      <c r="A364" s="1721"/>
      <c r="C364" s="1026"/>
      <c r="D364" s="1714"/>
      <c r="E364" s="1720"/>
      <c r="F364" s="1720"/>
      <c r="G364" s="1716"/>
      <c r="H364" s="1715"/>
      <c r="I364" s="1715"/>
      <c r="J364" s="1717"/>
      <c r="K364" s="1717"/>
      <c r="L364" s="1717"/>
      <c r="M364" s="1717"/>
      <c r="N364" s="1718"/>
    </row>
    <row r="365">
      <c r="A365" s="1721"/>
      <c r="C365" s="1026"/>
      <c r="D365" s="1714"/>
      <c r="E365" s="1720"/>
      <c r="F365" s="1720"/>
      <c r="G365" s="1716"/>
      <c r="H365" s="1715"/>
      <c r="I365" s="1715"/>
      <c r="J365" s="1717"/>
      <c r="K365" s="1717"/>
      <c r="L365" s="1717"/>
      <c r="M365" s="1717"/>
      <c r="N365" s="1718"/>
    </row>
    <row r="366">
      <c r="A366" s="1721"/>
      <c r="C366" s="1026"/>
      <c r="D366" s="1714"/>
      <c r="E366" s="1720"/>
      <c r="F366" s="1720"/>
      <c r="G366" s="1716"/>
      <c r="H366" s="1715"/>
      <c r="I366" s="1715"/>
      <c r="J366" s="1717"/>
      <c r="K366" s="1717"/>
      <c r="L366" s="1717"/>
      <c r="M366" s="1717"/>
      <c r="N366" s="1718"/>
    </row>
    <row r="367">
      <c r="A367" s="1721"/>
      <c r="C367" s="1026"/>
      <c r="D367" s="1714"/>
      <c r="E367" s="1720"/>
      <c r="F367" s="1720"/>
      <c r="G367" s="1716"/>
      <c r="H367" s="1715"/>
      <c r="I367" s="1715"/>
      <c r="J367" s="1717"/>
      <c r="K367" s="1717"/>
      <c r="L367" s="1717"/>
      <c r="M367" s="1717"/>
      <c r="N367" s="1718"/>
    </row>
    <row r="368">
      <c r="A368" s="1721"/>
      <c r="C368" s="1026"/>
      <c r="D368" s="1714"/>
      <c r="E368" s="1720"/>
      <c r="F368" s="1720"/>
      <c r="G368" s="1716"/>
      <c r="H368" s="1715"/>
      <c r="I368" s="1715"/>
      <c r="J368" s="1717"/>
      <c r="K368" s="1717"/>
      <c r="L368" s="1717"/>
      <c r="M368" s="1717"/>
      <c r="N368" s="1718"/>
    </row>
    <row r="369">
      <c r="A369" s="1721"/>
      <c r="C369" s="1026"/>
      <c r="D369" s="1714"/>
      <c r="E369" s="1720"/>
      <c r="F369" s="1720"/>
      <c r="G369" s="1716"/>
      <c r="H369" s="1715"/>
      <c r="I369" s="1715"/>
      <c r="J369" s="1717"/>
      <c r="K369" s="1717"/>
      <c r="L369" s="1717"/>
      <c r="M369" s="1717"/>
      <c r="N369" s="1718"/>
    </row>
    <row r="370">
      <c r="A370" s="1721"/>
      <c r="C370" s="1026"/>
      <c r="D370" s="1714"/>
      <c r="E370" s="1720"/>
      <c r="F370" s="1720"/>
      <c r="G370" s="1716"/>
      <c r="H370" s="1715"/>
      <c r="I370" s="1715"/>
      <c r="J370" s="1717"/>
      <c r="K370" s="1717"/>
      <c r="L370" s="1717"/>
      <c r="M370" s="1717"/>
      <c r="N370" s="1718"/>
    </row>
    <row r="371">
      <c r="A371" s="1721"/>
      <c r="C371" s="1026"/>
      <c r="D371" s="1714"/>
      <c r="E371" s="1720"/>
      <c r="F371" s="1720"/>
      <c r="G371" s="1716"/>
      <c r="H371" s="1715"/>
      <c r="I371" s="1715"/>
      <c r="J371" s="1717"/>
      <c r="K371" s="1717"/>
      <c r="L371" s="1717"/>
      <c r="M371" s="1717"/>
      <c r="N371" s="1718"/>
    </row>
    <row r="372">
      <c r="A372" s="1721"/>
      <c r="C372" s="1026"/>
      <c r="D372" s="1714"/>
      <c r="E372" s="1720"/>
      <c r="F372" s="1720"/>
      <c r="G372" s="1716"/>
      <c r="H372" s="1715"/>
      <c r="I372" s="1715"/>
      <c r="J372" s="1717"/>
      <c r="K372" s="1717"/>
      <c r="L372" s="1717"/>
      <c r="M372" s="1717"/>
      <c r="N372" s="1718"/>
    </row>
    <row r="373">
      <c r="A373" s="1721"/>
      <c r="C373" s="1026"/>
      <c r="D373" s="1714"/>
      <c r="E373" s="1720"/>
      <c r="F373" s="1720"/>
      <c r="G373" s="1716"/>
      <c r="H373" s="1715"/>
      <c r="I373" s="1715"/>
      <c r="J373" s="1717"/>
      <c r="K373" s="1717"/>
      <c r="L373" s="1717"/>
      <c r="M373" s="1717"/>
      <c r="N373" s="1718"/>
    </row>
    <row r="374">
      <c r="A374" s="1721"/>
      <c r="C374" s="1026"/>
      <c r="D374" s="1714"/>
      <c r="E374" s="1720"/>
      <c r="F374" s="1720"/>
      <c r="G374" s="1716"/>
      <c r="H374" s="1715"/>
      <c r="I374" s="1715"/>
      <c r="J374" s="1717"/>
      <c r="K374" s="1717"/>
      <c r="L374" s="1717"/>
      <c r="M374" s="1717"/>
      <c r="N374" s="1718"/>
    </row>
    <row r="375">
      <c r="A375" s="1721"/>
      <c r="C375" s="1026"/>
      <c r="D375" s="1714"/>
      <c r="E375" s="1720"/>
      <c r="F375" s="1720"/>
      <c r="G375" s="1716"/>
      <c r="H375" s="1715"/>
      <c r="I375" s="1715"/>
      <c r="J375" s="1717"/>
      <c r="K375" s="1717"/>
      <c r="L375" s="1717"/>
      <c r="M375" s="1717"/>
      <c r="N375" s="1718"/>
    </row>
    <row r="376">
      <c r="A376" s="1721"/>
      <c r="C376" s="1026"/>
      <c r="D376" s="1714"/>
      <c r="E376" s="1720"/>
      <c r="F376" s="1720"/>
      <c r="G376" s="1716"/>
      <c r="H376" s="1715"/>
      <c r="I376" s="1715"/>
      <c r="J376" s="1717"/>
      <c r="K376" s="1717"/>
      <c r="L376" s="1717"/>
      <c r="M376" s="1717"/>
      <c r="N376" s="1718"/>
    </row>
    <row r="377">
      <c r="A377" s="1721"/>
      <c r="C377" s="1026"/>
      <c r="D377" s="1714"/>
      <c r="E377" s="1720"/>
      <c r="F377" s="1720"/>
      <c r="G377" s="1716"/>
      <c r="H377" s="1715"/>
      <c r="I377" s="1715"/>
      <c r="J377" s="1717"/>
      <c r="K377" s="1717"/>
      <c r="L377" s="1717"/>
      <c r="M377" s="1717"/>
      <c r="N377" s="1718"/>
    </row>
    <row r="378">
      <c r="A378" s="1721"/>
      <c r="C378" s="1026"/>
      <c r="D378" s="1714"/>
      <c r="E378" s="1720"/>
      <c r="F378" s="1720"/>
      <c r="G378" s="1716"/>
      <c r="H378" s="1715"/>
      <c r="I378" s="1715"/>
      <c r="J378" s="1717"/>
      <c r="K378" s="1717"/>
      <c r="L378" s="1717"/>
      <c r="M378" s="1717"/>
      <c r="N378" s="1718"/>
    </row>
    <row r="379">
      <c r="A379" s="1721"/>
      <c r="C379" s="1026"/>
      <c r="D379" s="1714"/>
      <c r="E379" s="1720"/>
      <c r="F379" s="1720"/>
      <c r="G379" s="1716"/>
      <c r="H379" s="1715"/>
      <c r="I379" s="1715"/>
      <c r="J379" s="1717"/>
      <c r="K379" s="1717"/>
      <c r="L379" s="1717"/>
      <c r="M379" s="1717"/>
      <c r="N379" s="1718"/>
    </row>
    <row r="380">
      <c r="A380" s="1721"/>
      <c r="C380" s="1026"/>
      <c r="D380" s="1714"/>
      <c r="E380" s="1720"/>
      <c r="F380" s="1720"/>
      <c r="G380" s="1716"/>
      <c r="H380" s="1715"/>
      <c r="I380" s="1715"/>
      <c r="J380" s="1717"/>
      <c r="K380" s="1717"/>
      <c r="L380" s="1717"/>
      <c r="M380" s="1717"/>
      <c r="N380" s="1718"/>
    </row>
    <row r="381">
      <c r="A381" s="1721"/>
      <c r="C381" s="1026"/>
      <c r="D381" s="1714"/>
      <c r="E381" s="1720"/>
      <c r="F381" s="1720"/>
      <c r="G381" s="1716"/>
      <c r="H381" s="1715"/>
      <c r="I381" s="1715"/>
      <c r="J381" s="1717"/>
      <c r="K381" s="1717"/>
      <c r="L381" s="1717"/>
      <c r="M381" s="1717"/>
      <c r="N381" s="1718"/>
    </row>
    <row r="382">
      <c r="A382" s="1721"/>
      <c r="C382" s="1026"/>
      <c r="D382" s="1714"/>
      <c r="E382" s="1720"/>
      <c r="F382" s="1720"/>
      <c r="G382" s="1716"/>
      <c r="H382" s="1715"/>
      <c r="I382" s="1715"/>
      <c r="J382" s="1717"/>
      <c r="K382" s="1717"/>
      <c r="L382" s="1717"/>
      <c r="M382" s="1717"/>
      <c r="N382" s="1718"/>
    </row>
    <row r="383">
      <c r="A383" s="1721"/>
      <c r="C383" s="1026"/>
      <c r="D383" s="1714"/>
      <c r="E383" s="1720"/>
      <c r="F383" s="1720"/>
      <c r="G383" s="1716"/>
      <c r="H383" s="1715"/>
      <c r="I383" s="1715"/>
      <c r="J383" s="1717"/>
      <c r="K383" s="1717"/>
      <c r="L383" s="1717"/>
      <c r="M383" s="1717"/>
      <c r="N383" s="1718"/>
    </row>
    <row r="384">
      <c r="A384" s="1721"/>
      <c r="C384" s="1026"/>
      <c r="D384" s="1714"/>
      <c r="E384" s="1720"/>
      <c r="F384" s="1720"/>
      <c r="G384" s="1716"/>
      <c r="H384" s="1715"/>
      <c r="I384" s="1715"/>
      <c r="J384" s="1717"/>
      <c r="K384" s="1717"/>
      <c r="L384" s="1717"/>
      <c r="M384" s="1717"/>
      <c r="N384" s="1718"/>
    </row>
    <row r="385">
      <c r="A385" s="1721"/>
      <c r="C385" s="1026"/>
      <c r="D385" s="1714"/>
      <c r="E385" s="1720"/>
      <c r="F385" s="1720"/>
      <c r="G385" s="1716"/>
      <c r="H385" s="1715"/>
      <c r="I385" s="1715"/>
      <c r="J385" s="1717"/>
      <c r="K385" s="1717"/>
      <c r="L385" s="1717"/>
      <c r="M385" s="1717"/>
      <c r="N385" s="1718"/>
    </row>
    <row r="386">
      <c r="A386" s="1721"/>
      <c r="C386" s="1026"/>
      <c r="D386" s="1714"/>
      <c r="E386" s="1720"/>
      <c r="F386" s="1720"/>
      <c r="G386" s="1716"/>
      <c r="H386" s="1715"/>
      <c r="I386" s="1715"/>
      <c r="J386" s="1717"/>
      <c r="K386" s="1717"/>
      <c r="L386" s="1717"/>
      <c r="M386" s="1717"/>
      <c r="N386" s="1718"/>
    </row>
    <row r="387">
      <c r="A387" s="1721"/>
      <c r="C387" s="1026"/>
      <c r="D387" s="1714"/>
      <c r="E387" s="1720"/>
      <c r="F387" s="1720"/>
      <c r="G387" s="1716"/>
      <c r="H387" s="1715"/>
      <c r="I387" s="1715"/>
      <c r="J387" s="1717"/>
      <c r="K387" s="1717"/>
      <c r="L387" s="1717"/>
      <c r="M387" s="1717"/>
      <c r="N387" s="1718"/>
    </row>
    <row r="388">
      <c r="A388" s="1721"/>
      <c r="C388" s="1026"/>
      <c r="D388" s="1714"/>
      <c r="E388" s="1720"/>
      <c r="F388" s="1720"/>
      <c r="G388" s="1716"/>
      <c r="H388" s="1715"/>
      <c r="I388" s="1715"/>
      <c r="J388" s="1717"/>
      <c r="K388" s="1717"/>
      <c r="L388" s="1717"/>
      <c r="M388" s="1717"/>
      <c r="N388" s="1718"/>
    </row>
    <row r="389">
      <c r="A389" s="1721"/>
      <c r="C389" s="1026"/>
      <c r="D389" s="1714"/>
      <c r="E389" s="1720"/>
      <c r="F389" s="1720"/>
      <c r="G389" s="1716"/>
      <c r="H389" s="1715"/>
      <c r="I389" s="1715"/>
      <c r="J389" s="1717"/>
      <c r="K389" s="1717"/>
      <c r="L389" s="1717"/>
      <c r="M389" s="1717"/>
      <c r="N389" s="1718"/>
    </row>
    <row r="390">
      <c r="A390" s="1721"/>
      <c r="C390" s="1026"/>
      <c r="D390" s="1714"/>
      <c r="E390" s="1720"/>
      <c r="F390" s="1720"/>
      <c r="G390" s="1716"/>
      <c r="H390" s="1715"/>
      <c r="I390" s="1715"/>
      <c r="J390" s="1717"/>
      <c r="K390" s="1717"/>
      <c r="L390" s="1717"/>
      <c r="M390" s="1717"/>
      <c r="N390" s="1718"/>
    </row>
    <row r="391">
      <c r="A391" s="1721"/>
      <c r="C391" s="1026"/>
      <c r="D391" s="1714"/>
      <c r="E391" s="1720"/>
      <c r="F391" s="1720"/>
      <c r="G391" s="1716"/>
      <c r="H391" s="1715"/>
      <c r="I391" s="1715"/>
      <c r="J391" s="1717"/>
      <c r="K391" s="1717"/>
      <c r="L391" s="1717"/>
      <c r="M391" s="1717"/>
      <c r="N391" s="1718"/>
    </row>
    <row r="392">
      <c r="A392" s="1721"/>
      <c r="C392" s="1026"/>
      <c r="D392" s="1714"/>
      <c r="E392" s="1720"/>
      <c r="F392" s="1720"/>
      <c r="G392" s="1716"/>
      <c r="H392" s="1715"/>
      <c r="I392" s="1715"/>
      <c r="J392" s="1717"/>
      <c r="K392" s="1717"/>
      <c r="L392" s="1717"/>
      <c r="M392" s="1717"/>
      <c r="N392" s="1718"/>
    </row>
    <row r="393">
      <c r="A393" s="1721"/>
      <c r="C393" s="1026"/>
      <c r="D393" s="1714"/>
      <c r="E393" s="1720"/>
      <c r="F393" s="1720"/>
      <c r="G393" s="1716"/>
      <c r="H393" s="1715"/>
      <c r="I393" s="1715"/>
      <c r="J393" s="1717"/>
      <c r="K393" s="1717"/>
      <c r="L393" s="1717"/>
      <c r="M393" s="1717"/>
      <c r="N393" s="1718"/>
    </row>
    <row r="394">
      <c r="A394" s="1721"/>
      <c r="C394" s="1026"/>
      <c r="D394" s="1714"/>
      <c r="E394" s="1720"/>
      <c r="F394" s="1720"/>
      <c r="G394" s="1716"/>
      <c r="H394" s="1715"/>
      <c r="I394" s="1715"/>
      <c r="J394" s="1717"/>
      <c r="K394" s="1717"/>
      <c r="L394" s="1717"/>
      <c r="M394" s="1717"/>
      <c r="N394" s="1718"/>
    </row>
    <row r="395">
      <c r="A395" s="1721"/>
      <c r="C395" s="1026"/>
      <c r="D395" s="1714"/>
      <c r="E395" s="1720"/>
      <c r="F395" s="1720"/>
      <c r="G395" s="1716"/>
      <c r="H395" s="1715"/>
      <c r="I395" s="1715"/>
      <c r="J395" s="1717"/>
      <c r="K395" s="1717"/>
      <c r="L395" s="1717"/>
      <c r="M395" s="1717"/>
      <c r="N395" s="1718"/>
    </row>
    <row r="396">
      <c r="A396" s="1721"/>
      <c r="C396" s="1026"/>
      <c r="D396" s="1714"/>
      <c r="E396" s="1720"/>
      <c r="F396" s="1720"/>
      <c r="G396" s="1716"/>
      <c r="H396" s="1715"/>
      <c r="I396" s="1715"/>
      <c r="J396" s="1717"/>
      <c r="K396" s="1717"/>
      <c r="L396" s="1717"/>
      <c r="M396" s="1717"/>
      <c r="N396" s="1718"/>
    </row>
    <row r="397">
      <c r="A397" s="1721"/>
      <c r="C397" s="1026"/>
      <c r="D397" s="1714"/>
      <c r="E397" s="1720"/>
      <c r="F397" s="1720"/>
      <c r="G397" s="1716"/>
      <c r="H397" s="1715"/>
      <c r="I397" s="1715"/>
      <c r="J397" s="1717"/>
      <c r="K397" s="1717"/>
      <c r="L397" s="1717"/>
      <c r="M397" s="1717"/>
      <c r="N397" s="1718"/>
    </row>
    <row r="398">
      <c r="A398" s="1721"/>
      <c r="C398" s="1026"/>
      <c r="D398" s="1714"/>
      <c r="E398" s="1720"/>
      <c r="F398" s="1720"/>
      <c r="G398" s="1716"/>
      <c r="H398" s="1715"/>
      <c r="I398" s="1715"/>
      <c r="J398" s="1717"/>
      <c r="K398" s="1717"/>
      <c r="L398" s="1717"/>
      <c r="M398" s="1717"/>
      <c r="N398" s="1718"/>
    </row>
    <row r="399">
      <c r="A399" s="1721"/>
      <c r="C399" s="1026"/>
      <c r="D399" s="1714"/>
      <c r="E399" s="1720"/>
      <c r="F399" s="1720"/>
      <c r="G399" s="1716"/>
      <c r="H399" s="1715"/>
      <c r="I399" s="1715"/>
      <c r="J399" s="1717"/>
      <c r="K399" s="1717"/>
      <c r="L399" s="1717"/>
      <c r="M399" s="1717"/>
      <c r="N399" s="1718"/>
    </row>
    <row r="400">
      <c r="A400" s="1721"/>
      <c r="C400" s="1026"/>
      <c r="D400" s="1714"/>
      <c r="E400" s="1720"/>
      <c r="F400" s="1720"/>
      <c r="G400" s="1716"/>
      <c r="H400" s="1715"/>
      <c r="I400" s="1715"/>
      <c r="J400" s="1717"/>
      <c r="K400" s="1717"/>
      <c r="L400" s="1717"/>
      <c r="M400" s="1717"/>
      <c r="N400" s="1718"/>
    </row>
    <row r="401">
      <c r="A401" s="1721"/>
      <c r="C401" s="1026"/>
      <c r="D401" s="1714"/>
      <c r="E401" s="1720"/>
      <c r="F401" s="1720"/>
      <c r="G401" s="1716"/>
      <c r="H401" s="1715"/>
      <c r="I401" s="1715"/>
      <c r="J401" s="1717"/>
      <c r="K401" s="1717"/>
      <c r="L401" s="1717"/>
      <c r="M401" s="1717"/>
      <c r="N401" s="1718"/>
    </row>
    <row r="402">
      <c r="A402" s="1721"/>
      <c r="C402" s="1026"/>
      <c r="D402" s="1714"/>
      <c r="E402" s="1720"/>
      <c r="F402" s="1720"/>
      <c r="G402" s="1716"/>
      <c r="H402" s="1715"/>
      <c r="I402" s="1715"/>
      <c r="J402" s="1717"/>
      <c r="K402" s="1717"/>
      <c r="L402" s="1717"/>
      <c r="M402" s="1717"/>
      <c r="N402" s="1718"/>
    </row>
    <row r="403">
      <c r="A403" s="1721"/>
      <c r="C403" s="1026"/>
      <c r="D403" s="1714"/>
      <c r="E403" s="1720"/>
      <c r="F403" s="1720"/>
      <c r="G403" s="1716"/>
      <c r="H403" s="1715"/>
      <c r="I403" s="1715"/>
      <c r="J403" s="1717"/>
      <c r="K403" s="1717"/>
      <c r="L403" s="1717"/>
      <c r="M403" s="1717"/>
      <c r="N403" s="1718"/>
    </row>
    <row r="404">
      <c r="A404" s="1721"/>
      <c r="C404" s="1026"/>
      <c r="D404" s="1714"/>
      <c r="E404" s="1720"/>
      <c r="F404" s="1720"/>
      <c r="G404" s="1716"/>
      <c r="H404" s="1715"/>
      <c r="I404" s="1715"/>
      <c r="J404" s="1717"/>
      <c r="K404" s="1717"/>
      <c r="L404" s="1717"/>
      <c r="M404" s="1717"/>
      <c r="N404" s="1718"/>
    </row>
    <row r="405">
      <c r="A405" s="1721"/>
      <c r="C405" s="1026"/>
      <c r="D405" s="1714"/>
      <c r="E405" s="1720"/>
      <c r="F405" s="1720"/>
      <c r="G405" s="1716"/>
      <c r="H405" s="1715"/>
      <c r="I405" s="1715"/>
      <c r="J405" s="1717"/>
      <c r="K405" s="1717"/>
      <c r="L405" s="1717"/>
      <c r="M405" s="1717"/>
      <c r="N405" s="1718"/>
    </row>
    <row r="406">
      <c r="A406" s="1721"/>
      <c r="C406" s="1026"/>
      <c r="D406" s="1714"/>
      <c r="E406" s="1720"/>
      <c r="F406" s="1720"/>
      <c r="G406" s="1716"/>
      <c r="H406" s="1715"/>
      <c r="I406" s="1715"/>
      <c r="J406" s="1717"/>
      <c r="K406" s="1717"/>
      <c r="L406" s="1717"/>
      <c r="M406" s="1717"/>
      <c r="N406" s="1718"/>
    </row>
    <row r="407">
      <c r="A407" s="1721"/>
      <c r="C407" s="1026"/>
      <c r="D407" s="1714"/>
      <c r="E407" s="1720"/>
      <c r="F407" s="1720"/>
      <c r="G407" s="1716"/>
      <c r="H407" s="1715"/>
      <c r="I407" s="1715"/>
      <c r="J407" s="1717"/>
      <c r="K407" s="1717"/>
      <c r="L407" s="1717"/>
      <c r="M407" s="1717"/>
      <c r="N407" s="1718"/>
    </row>
    <row r="408">
      <c r="A408" s="1721"/>
      <c r="C408" s="1026"/>
      <c r="D408" s="1714"/>
      <c r="E408" s="1720"/>
      <c r="F408" s="1720"/>
      <c r="G408" s="1716"/>
      <c r="H408" s="1715"/>
      <c r="I408" s="1715"/>
      <c r="J408" s="1717"/>
      <c r="K408" s="1717"/>
      <c r="L408" s="1717"/>
      <c r="M408" s="1717"/>
      <c r="N408" s="1718"/>
    </row>
    <row r="409">
      <c r="A409" s="1721"/>
      <c r="C409" s="1026"/>
      <c r="D409" s="1714"/>
      <c r="E409" s="1720"/>
      <c r="F409" s="1720"/>
      <c r="G409" s="1716"/>
      <c r="H409" s="1715"/>
      <c r="I409" s="1715"/>
      <c r="J409" s="1717"/>
      <c r="K409" s="1717"/>
      <c r="L409" s="1717"/>
      <c r="M409" s="1717"/>
      <c r="N409" s="1718"/>
    </row>
    <row r="410">
      <c r="A410" s="1721"/>
      <c r="C410" s="1026"/>
      <c r="D410" s="1714"/>
      <c r="E410" s="1720"/>
      <c r="F410" s="1720"/>
      <c r="G410" s="1716"/>
      <c r="H410" s="1715"/>
      <c r="I410" s="1715"/>
      <c r="J410" s="1717"/>
      <c r="K410" s="1717"/>
      <c r="L410" s="1717"/>
      <c r="M410" s="1717"/>
      <c r="N410" s="1718"/>
    </row>
    <row r="411">
      <c r="A411" s="1721"/>
      <c r="C411" s="1026"/>
      <c r="D411" s="1714"/>
      <c r="E411" s="1720"/>
      <c r="F411" s="1720"/>
      <c r="G411" s="1716"/>
      <c r="H411" s="1715"/>
      <c r="I411" s="1715"/>
      <c r="J411" s="1717"/>
      <c r="K411" s="1717"/>
      <c r="L411" s="1717"/>
      <c r="M411" s="1717"/>
      <c r="N411" s="1718"/>
    </row>
    <row r="412">
      <c r="A412" s="1721"/>
      <c r="C412" s="1026"/>
      <c r="D412" s="1714"/>
      <c r="E412" s="1720"/>
      <c r="F412" s="1720"/>
      <c r="G412" s="1716"/>
      <c r="H412" s="1715"/>
      <c r="I412" s="1715"/>
      <c r="J412" s="1717"/>
      <c r="K412" s="1717"/>
      <c r="L412" s="1717"/>
      <c r="M412" s="1717"/>
      <c r="N412" s="1718"/>
    </row>
    <row r="413">
      <c r="A413" s="1721"/>
      <c r="C413" s="1026"/>
      <c r="D413" s="1714"/>
      <c r="E413" s="1720"/>
      <c r="F413" s="1720"/>
      <c r="G413" s="1716"/>
      <c r="H413" s="1715"/>
      <c r="I413" s="1715"/>
      <c r="J413" s="1717"/>
      <c r="K413" s="1717"/>
      <c r="L413" s="1717"/>
      <c r="M413" s="1717"/>
      <c r="N413" s="1718"/>
    </row>
    <row r="414">
      <c r="A414" s="1721"/>
      <c r="C414" s="1026"/>
      <c r="D414" s="1714"/>
      <c r="E414" s="1720"/>
      <c r="F414" s="1720"/>
      <c r="G414" s="1716"/>
      <c r="H414" s="1715"/>
      <c r="I414" s="1715"/>
      <c r="J414" s="1717"/>
      <c r="K414" s="1717"/>
      <c r="L414" s="1717"/>
      <c r="M414" s="1717"/>
      <c r="N414" s="1718"/>
    </row>
    <row r="415">
      <c r="A415" s="1721"/>
      <c r="C415" s="1026"/>
      <c r="D415" s="1714"/>
      <c r="E415" s="1720"/>
      <c r="F415" s="1720"/>
      <c r="G415" s="1716"/>
      <c r="H415" s="1715"/>
      <c r="I415" s="1715"/>
      <c r="J415" s="1717"/>
      <c r="K415" s="1717"/>
      <c r="L415" s="1717"/>
      <c r="M415" s="1717"/>
      <c r="N415" s="1718"/>
    </row>
    <row r="416">
      <c r="A416" s="1721"/>
      <c r="C416" s="1026"/>
      <c r="D416" s="1714"/>
      <c r="E416" s="1720"/>
      <c r="F416" s="1720"/>
      <c r="G416" s="1716"/>
      <c r="H416" s="1715"/>
      <c r="I416" s="1715"/>
      <c r="J416" s="1717"/>
      <c r="K416" s="1717"/>
      <c r="L416" s="1717"/>
      <c r="M416" s="1717"/>
      <c r="N416" s="1718"/>
    </row>
    <row r="417">
      <c r="A417" s="1721"/>
      <c r="C417" s="1026"/>
      <c r="D417" s="1714"/>
      <c r="E417" s="1720"/>
      <c r="F417" s="1720"/>
      <c r="G417" s="1716"/>
      <c r="H417" s="1715"/>
      <c r="I417" s="1715"/>
      <c r="J417" s="1717"/>
      <c r="K417" s="1717"/>
      <c r="L417" s="1717"/>
      <c r="M417" s="1717"/>
      <c r="N417" s="1718"/>
    </row>
    <row r="418">
      <c r="A418" s="1721"/>
      <c r="C418" s="1026"/>
      <c r="D418" s="1714"/>
      <c r="E418" s="1720"/>
      <c r="F418" s="1720"/>
      <c r="G418" s="1716"/>
      <c r="H418" s="1715"/>
      <c r="I418" s="1715"/>
      <c r="J418" s="1717"/>
      <c r="K418" s="1717"/>
      <c r="L418" s="1717"/>
      <c r="M418" s="1717"/>
      <c r="N418" s="1718"/>
    </row>
    <row r="419">
      <c r="A419" s="1721"/>
      <c r="C419" s="1026"/>
      <c r="D419" s="1714"/>
      <c r="E419" s="1720"/>
      <c r="F419" s="1720"/>
      <c r="G419" s="1716"/>
      <c r="H419" s="1715"/>
      <c r="I419" s="1715"/>
      <c r="J419" s="1717"/>
      <c r="K419" s="1717"/>
      <c r="L419" s="1717"/>
      <c r="M419" s="1717"/>
      <c r="N419" s="1718"/>
    </row>
    <row r="420">
      <c r="A420" s="1721"/>
      <c r="C420" s="1026"/>
      <c r="D420" s="1714"/>
      <c r="E420" s="1720"/>
      <c r="F420" s="1720"/>
      <c r="G420" s="1716"/>
      <c r="H420" s="1715"/>
      <c r="I420" s="1715"/>
      <c r="J420" s="1717"/>
      <c r="K420" s="1717"/>
      <c r="L420" s="1717"/>
      <c r="M420" s="1717"/>
      <c r="N420" s="1718"/>
    </row>
    <row r="421">
      <c r="A421" s="1721"/>
      <c r="C421" s="1026"/>
      <c r="D421" s="1714"/>
      <c r="E421" s="1720"/>
      <c r="F421" s="1720"/>
      <c r="G421" s="1716"/>
      <c r="H421" s="1715"/>
      <c r="I421" s="1715"/>
      <c r="J421" s="1717"/>
      <c r="K421" s="1717"/>
      <c r="L421" s="1717"/>
      <c r="M421" s="1717"/>
      <c r="N421" s="1718"/>
    </row>
    <row r="422">
      <c r="A422" s="1721"/>
      <c r="C422" s="1026"/>
      <c r="D422" s="1714"/>
      <c r="E422" s="1720"/>
      <c r="F422" s="1720"/>
      <c r="G422" s="1716"/>
      <c r="H422" s="1715"/>
      <c r="I422" s="1715"/>
      <c r="J422" s="1717"/>
      <c r="K422" s="1717"/>
      <c r="L422" s="1717"/>
      <c r="M422" s="1717"/>
      <c r="N422" s="1718"/>
    </row>
    <row r="423">
      <c r="A423" s="1721"/>
      <c r="C423" s="1026"/>
      <c r="D423" s="1714"/>
      <c r="E423" s="1720"/>
      <c r="F423" s="1720"/>
      <c r="G423" s="1716"/>
      <c r="H423" s="1715"/>
      <c r="I423" s="1715"/>
      <c r="J423" s="1717"/>
      <c r="K423" s="1717"/>
      <c r="L423" s="1717"/>
      <c r="M423" s="1717"/>
      <c r="N423" s="1718"/>
    </row>
    <row r="424">
      <c r="A424" s="1721"/>
      <c r="C424" s="1026"/>
      <c r="D424" s="1714"/>
      <c r="E424" s="1720"/>
      <c r="F424" s="1720"/>
      <c r="G424" s="1716"/>
      <c r="H424" s="1715"/>
      <c r="I424" s="1715"/>
      <c r="J424" s="1717"/>
      <c r="K424" s="1717"/>
      <c r="L424" s="1717"/>
      <c r="M424" s="1717"/>
      <c r="N424" s="1718"/>
    </row>
    <row r="425">
      <c r="A425" s="1721"/>
      <c r="C425" s="1026"/>
      <c r="D425" s="1714"/>
      <c r="E425" s="1720"/>
      <c r="F425" s="1720"/>
      <c r="G425" s="1716"/>
      <c r="H425" s="1715"/>
      <c r="I425" s="1715"/>
      <c r="J425" s="1717"/>
      <c r="K425" s="1717"/>
      <c r="L425" s="1717"/>
      <c r="M425" s="1717"/>
      <c r="N425" s="1718"/>
    </row>
    <row r="426">
      <c r="A426" s="1721"/>
      <c r="C426" s="1026"/>
      <c r="D426" s="1714"/>
      <c r="E426" s="1720"/>
      <c r="F426" s="1720"/>
      <c r="G426" s="1716"/>
      <c r="H426" s="1715"/>
      <c r="I426" s="1715"/>
      <c r="J426" s="1717"/>
      <c r="K426" s="1717"/>
      <c r="L426" s="1717"/>
      <c r="M426" s="1717"/>
      <c r="N426" s="1718"/>
    </row>
    <row r="427">
      <c r="A427" s="1721"/>
      <c r="C427" s="1026"/>
      <c r="D427" s="1714"/>
      <c r="E427" s="1720"/>
      <c r="F427" s="1720"/>
      <c r="G427" s="1716"/>
      <c r="H427" s="1715"/>
      <c r="I427" s="1715"/>
      <c r="J427" s="1717"/>
      <c r="K427" s="1717"/>
      <c r="L427" s="1717"/>
      <c r="M427" s="1717"/>
      <c r="N427" s="1718"/>
    </row>
    <row r="428">
      <c r="A428" s="1721"/>
      <c r="C428" s="1026"/>
      <c r="D428" s="1714"/>
      <c r="E428" s="1720"/>
      <c r="F428" s="1720"/>
      <c r="G428" s="1716"/>
      <c r="H428" s="1715"/>
      <c r="I428" s="1715"/>
      <c r="J428" s="1717"/>
      <c r="K428" s="1717"/>
      <c r="L428" s="1717"/>
      <c r="M428" s="1717"/>
      <c r="N428" s="1718"/>
    </row>
    <row r="429">
      <c r="A429" s="1721"/>
      <c r="C429" s="1026"/>
      <c r="D429" s="1714"/>
      <c r="E429" s="1720"/>
      <c r="F429" s="1720"/>
      <c r="G429" s="1716"/>
      <c r="H429" s="1715"/>
      <c r="I429" s="1715"/>
      <c r="J429" s="1717"/>
      <c r="K429" s="1717"/>
      <c r="L429" s="1717"/>
      <c r="M429" s="1717"/>
      <c r="N429" s="1718"/>
    </row>
    <row r="430">
      <c r="A430" s="1721"/>
      <c r="C430" s="1026"/>
      <c r="D430" s="1714"/>
      <c r="E430" s="1720"/>
      <c r="F430" s="1720"/>
      <c r="G430" s="1716"/>
      <c r="H430" s="1715"/>
      <c r="I430" s="1715"/>
      <c r="J430" s="1717"/>
      <c r="K430" s="1717"/>
      <c r="L430" s="1717"/>
      <c r="M430" s="1717"/>
      <c r="N430" s="1718"/>
    </row>
    <row r="431">
      <c r="A431" s="1721"/>
      <c r="C431" s="1026"/>
      <c r="D431" s="1714"/>
      <c r="E431" s="1720"/>
      <c r="F431" s="1720"/>
      <c r="G431" s="1716"/>
      <c r="H431" s="1715"/>
      <c r="I431" s="1715"/>
      <c r="J431" s="1717"/>
      <c r="K431" s="1717"/>
      <c r="L431" s="1717"/>
      <c r="M431" s="1717"/>
      <c r="N431" s="1718"/>
    </row>
    <row r="432">
      <c r="A432" s="1721"/>
      <c r="C432" s="1026"/>
      <c r="D432" s="1714"/>
      <c r="E432" s="1720"/>
      <c r="F432" s="1720"/>
      <c r="G432" s="1716"/>
      <c r="H432" s="1715"/>
      <c r="I432" s="1715"/>
      <c r="J432" s="1717"/>
      <c r="K432" s="1717"/>
      <c r="L432" s="1717"/>
      <c r="M432" s="1717"/>
      <c r="N432" s="1718"/>
    </row>
    <row r="433">
      <c r="A433" s="1721"/>
      <c r="C433" s="1026"/>
      <c r="D433" s="1714"/>
      <c r="E433" s="1720"/>
      <c r="F433" s="1720"/>
      <c r="G433" s="1716"/>
      <c r="H433" s="1715"/>
      <c r="I433" s="1715"/>
      <c r="J433" s="1717"/>
      <c r="K433" s="1717"/>
      <c r="L433" s="1717"/>
      <c r="M433" s="1717"/>
      <c r="N433" s="1718"/>
    </row>
    <row r="434">
      <c r="A434" s="1721"/>
      <c r="C434" s="1026"/>
      <c r="D434" s="1714"/>
      <c r="E434" s="1720"/>
      <c r="F434" s="1720"/>
      <c r="G434" s="1716"/>
      <c r="H434" s="1715"/>
      <c r="I434" s="1715"/>
      <c r="J434" s="1717"/>
      <c r="K434" s="1717"/>
      <c r="L434" s="1717"/>
      <c r="M434" s="1717"/>
      <c r="N434" s="1718"/>
    </row>
    <row r="435">
      <c r="A435" s="1721"/>
      <c r="C435" s="1026"/>
      <c r="D435" s="1714"/>
      <c r="E435" s="1720"/>
      <c r="F435" s="1720"/>
      <c r="G435" s="1716"/>
      <c r="H435" s="1715"/>
      <c r="I435" s="1715"/>
      <c r="J435" s="1717"/>
      <c r="K435" s="1717"/>
      <c r="L435" s="1717"/>
      <c r="M435" s="1717"/>
      <c r="N435" s="1718"/>
    </row>
    <row r="436">
      <c r="A436" s="1721"/>
      <c r="C436" s="1026"/>
      <c r="D436" s="1714"/>
      <c r="E436" s="1720"/>
      <c r="F436" s="1720"/>
      <c r="G436" s="1716"/>
      <c r="H436" s="1715"/>
      <c r="I436" s="1715"/>
      <c r="J436" s="1717"/>
      <c r="K436" s="1717"/>
      <c r="L436" s="1717"/>
      <c r="M436" s="1717"/>
      <c r="N436" s="1718"/>
    </row>
    <row r="437">
      <c r="A437" s="1721"/>
      <c r="C437" s="1026"/>
      <c r="D437" s="1714"/>
      <c r="E437" s="1720"/>
      <c r="F437" s="1720"/>
      <c r="G437" s="1716"/>
      <c r="H437" s="1715"/>
      <c r="I437" s="1715"/>
      <c r="J437" s="1717"/>
      <c r="K437" s="1717"/>
      <c r="L437" s="1717"/>
      <c r="M437" s="1717"/>
      <c r="N437" s="1718"/>
    </row>
    <row r="438">
      <c r="A438" s="1721"/>
      <c r="C438" s="1026"/>
      <c r="D438" s="1714"/>
      <c r="E438" s="1720"/>
      <c r="F438" s="1720"/>
      <c r="G438" s="1716"/>
      <c r="H438" s="1715"/>
      <c r="I438" s="1715"/>
      <c r="J438" s="1717"/>
      <c r="K438" s="1717"/>
      <c r="L438" s="1717"/>
      <c r="M438" s="1717"/>
      <c r="N438" s="1718"/>
    </row>
    <row r="439">
      <c r="A439" s="1721"/>
      <c r="C439" s="1026"/>
      <c r="D439" s="1714"/>
      <c r="E439" s="1720"/>
      <c r="F439" s="1720"/>
      <c r="G439" s="1716"/>
      <c r="H439" s="1715"/>
      <c r="I439" s="1715"/>
      <c r="J439" s="1717"/>
      <c r="K439" s="1717"/>
      <c r="L439" s="1717"/>
      <c r="M439" s="1717"/>
      <c r="N439" s="1718"/>
    </row>
    <row r="440">
      <c r="A440" s="1721"/>
      <c r="C440" s="1026"/>
      <c r="D440" s="1714"/>
      <c r="E440" s="1720"/>
      <c r="F440" s="1720"/>
      <c r="G440" s="1716"/>
      <c r="H440" s="1715"/>
      <c r="I440" s="1715"/>
      <c r="J440" s="1717"/>
      <c r="K440" s="1717"/>
      <c r="L440" s="1717"/>
      <c r="M440" s="1717"/>
      <c r="N440" s="1718"/>
    </row>
    <row r="441">
      <c r="A441" s="1721"/>
      <c r="C441" s="1026"/>
      <c r="D441" s="1714"/>
      <c r="E441" s="1720"/>
      <c r="F441" s="1720"/>
      <c r="G441" s="1716"/>
      <c r="H441" s="1715"/>
      <c r="I441" s="1715"/>
      <c r="J441" s="1717"/>
      <c r="K441" s="1717"/>
      <c r="L441" s="1717"/>
      <c r="M441" s="1717"/>
      <c r="N441" s="1718"/>
    </row>
    <row r="442">
      <c r="A442" s="1721"/>
      <c r="C442" s="1026"/>
      <c r="D442" s="1714"/>
      <c r="E442" s="1720"/>
      <c r="F442" s="1720"/>
      <c r="G442" s="1716"/>
      <c r="H442" s="1715"/>
      <c r="I442" s="1715"/>
      <c r="J442" s="1717"/>
      <c r="K442" s="1717"/>
      <c r="L442" s="1717"/>
      <c r="M442" s="1717"/>
      <c r="N442" s="1718"/>
    </row>
    <row r="443">
      <c r="A443" s="1721"/>
      <c r="C443" s="1026"/>
      <c r="D443" s="1714"/>
      <c r="E443" s="1720"/>
      <c r="F443" s="1720"/>
      <c r="G443" s="1716"/>
      <c r="H443" s="1715"/>
      <c r="I443" s="1715"/>
      <c r="J443" s="1717"/>
      <c r="K443" s="1717"/>
      <c r="L443" s="1717"/>
      <c r="M443" s="1717"/>
      <c r="N443" s="1718"/>
    </row>
    <row r="444">
      <c r="A444" s="1721"/>
      <c r="C444" s="1026"/>
      <c r="D444" s="1714"/>
      <c r="E444" s="1720"/>
      <c r="F444" s="1720"/>
      <c r="G444" s="1716"/>
      <c r="H444" s="1715"/>
      <c r="I444" s="1715"/>
      <c r="J444" s="1717"/>
      <c r="K444" s="1717"/>
      <c r="L444" s="1717"/>
      <c r="M444" s="1717"/>
      <c r="N444" s="1718"/>
    </row>
    <row r="445">
      <c r="A445" s="1721"/>
      <c r="C445" s="1026"/>
      <c r="D445" s="1714"/>
      <c r="E445" s="1720"/>
      <c r="F445" s="1720"/>
      <c r="G445" s="1716"/>
      <c r="H445" s="1715"/>
      <c r="I445" s="1715"/>
      <c r="J445" s="1717"/>
      <c r="K445" s="1717"/>
      <c r="L445" s="1717"/>
      <c r="M445" s="1717"/>
      <c r="N445" s="1718"/>
    </row>
    <row r="446">
      <c r="A446" s="1721"/>
      <c r="C446" s="1026"/>
      <c r="D446" s="1714"/>
      <c r="E446" s="1720"/>
      <c r="F446" s="1720"/>
      <c r="G446" s="1716"/>
      <c r="H446" s="1715"/>
      <c r="I446" s="1715"/>
      <c r="J446" s="1717"/>
      <c r="K446" s="1717"/>
      <c r="L446" s="1717"/>
      <c r="M446" s="1717"/>
      <c r="N446" s="1718"/>
    </row>
    <row r="447">
      <c r="A447" s="1721"/>
      <c r="C447" s="1026"/>
      <c r="D447" s="1714"/>
      <c r="E447" s="1720"/>
      <c r="F447" s="1720"/>
      <c r="G447" s="1716"/>
      <c r="H447" s="1715"/>
      <c r="I447" s="1715"/>
      <c r="J447" s="1717"/>
      <c r="K447" s="1717"/>
      <c r="L447" s="1717"/>
      <c r="M447" s="1717"/>
      <c r="N447" s="1718"/>
    </row>
    <row r="448">
      <c r="A448" s="1721"/>
      <c r="C448" s="1026"/>
      <c r="D448" s="1714"/>
      <c r="E448" s="1720"/>
      <c r="F448" s="1720"/>
      <c r="G448" s="1716"/>
      <c r="H448" s="1715"/>
      <c r="I448" s="1715"/>
      <c r="J448" s="1717"/>
      <c r="K448" s="1717"/>
      <c r="L448" s="1717"/>
      <c r="M448" s="1717"/>
      <c r="N448" s="1718"/>
    </row>
    <row r="449">
      <c r="A449" s="1721"/>
      <c r="C449" s="1026"/>
      <c r="D449" s="1714"/>
      <c r="E449" s="1720"/>
      <c r="F449" s="1720"/>
      <c r="G449" s="1716"/>
      <c r="H449" s="1715"/>
      <c r="I449" s="1715"/>
      <c r="J449" s="1717"/>
      <c r="K449" s="1717"/>
      <c r="L449" s="1717"/>
      <c r="M449" s="1717"/>
      <c r="N449" s="1718"/>
    </row>
    <row r="450">
      <c r="A450" s="1721"/>
      <c r="C450" s="1026"/>
      <c r="D450" s="1714"/>
      <c r="E450" s="1720"/>
      <c r="F450" s="1720"/>
      <c r="G450" s="1716"/>
      <c r="H450" s="1715"/>
      <c r="I450" s="1715"/>
      <c r="J450" s="1717"/>
      <c r="K450" s="1717"/>
      <c r="L450" s="1717"/>
      <c r="M450" s="1717"/>
      <c r="N450" s="1718"/>
    </row>
    <row r="451">
      <c r="A451" s="1721"/>
      <c r="C451" s="1026"/>
      <c r="D451" s="1714"/>
      <c r="E451" s="1720"/>
      <c r="F451" s="1720"/>
      <c r="G451" s="1716"/>
      <c r="H451" s="1715"/>
      <c r="I451" s="1715"/>
      <c r="J451" s="1717"/>
      <c r="K451" s="1717"/>
      <c r="L451" s="1717"/>
      <c r="M451" s="1717"/>
      <c r="N451" s="1718"/>
    </row>
    <row r="452">
      <c r="A452" s="1721"/>
      <c r="C452" s="1026"/>
      <c r="D452" s="1714"/>
      <c r="E452" s="1720"/>
      <c r="F452" s="1720"/>
      <c r="G452" s="1716"/>
      <c r="H452" s="1715"/>
      <c r="I452" s="1715"/>
      <c r="J452" s="1717"/>
      <c r="K452" s="1717"/>
      <c r="L452" s="1717"/>
      <c r="M452" s="1717"/>
      <c r="N452" s="1718"/>
    </row>
    <row r="453">
      <c r="A453" s="1721"/>
      <c r="C453" s="1026"/>
      <c r="D453" s="1714"/>
      <c r="E453" s="1720"/>
      <c r="F453" s="1720"/>
      <c r="G453" s="1716"/>
      <c r="H453" s="1715"/>
      <c r="I453" s="1715"/>
      <c r="J453" s="1717"/>
      <c r="K453" s="1717"/>
      <c r="L453" s="1717"/>
      <c r="M453" s="1717"/>
      <c r="N453" s="1718"/>
    </row>
    <row r="454">
      <c r="A454" s="1721"/>
      <c r="C454" s="1026"/>
      <c r="D454" s="1714"/>
      <c r="E454" s="1720"/>
      <c r="F454" s="1720"/>
      <c r="G454" s="1716"/>
      <c r="H454" s="1715"/>
      <c r="I454" s="1715"/>
      <c r="J454" s="1717"/>
      <c r="K454" s="1717"/>
      <c r="L454" s="1717"/>
      <c r="M454" s="1717"/>
      <c r="N454" s="1718"/>
    </row>
    <row r="455">
      <c r="A455" s="1721"/>
      <c r="C455" s="1026"/>
      <c r="D455" s="1714"/>
      <c r="E455" s="1720"/>
      <c r="F455" s="1720"/>
      <c r="G455" s="1716"/>
      <c r="H455" s="1715"/>
      <c r="I455" s="1715"/>
      <c r="J455" s="1717"/>
      <c r="K455" s="1717"/>
      <c r="L455" s="1717"/>
      <c r="M455" s="1717"/>
      <c r="N455" s="1718"/>
    </row>
    <row r="456">
      <c r="A456" s="1721"/>
      <c r="C456" s="1026"/>
      <c r="D456" s="1714"/>
      <c r="E456" s="1720"/>
      <c r="F456" s="1720"/>
      <c r="G456" s="1716"/>
      <c r="H456" s="1715"/>
      <c r="I456" s="1715"/>
      <c r="J456" s="1717"/>
      <c r="K456" s="1717"/>
      <c r="L456" s="1717"/>
      <c r="M456" s="1717"/>
      <c r="N456" s="1718"/>
    </row>
    <row r="457">
      <c r="A457" s="1721"/>
      <c r="C457" s="1026"/>
      <c r="D457" s="1714"/>
      <c r="E457" s="1720"/>
      <c r="F457" s="1720"/>
      <c r="G457" s="1716"/>
      <c r="H457" s="1715"/>
      <c r="I457" s="1715"/>
      <c r="J457" s="1717"/>
      <c r="K457" s="1717"/>
      <c r="L457" s="1717"/>
      <c r="M457" s="1717"/>
      <c r="N457" s="1718"/>
    </row>
    <row r="458">
      <c r="A458" s="1721"/>
      <c r="C458" s="1026"/>
      <c r="D458" s="1714"/>
      <c r="E458" s="1720"/>
      <c r="F458" s="1720"/>
      <c r="G458" s="1716"/>
      <c r="H458" s="1715"/>
      <c r="I458" s="1715"/>
      <c r="J458" s="1717"/>
      <c r="K458" s="1717"/>
      <c r="L458" s="1717"/>
      <c r="M458" s="1717"/>
      <c r="N458" s="1718"/>
    </row>
    <row r="459">
      <c r="A459" s="1721"/>
      <c r="C459" s="1026"/>
      <c r="D459" s="1714"/>
      <c r="E459" s="1720"/>
      <c r="F459" s="1720"/>
      <c r="G459" s="1716"/>
      <c r="H459" s="1715"/>
      <c r="I459" s="1715"/>
      <c r="J459" s="1717"/>
      <c r="K459" s="1717"/>
      <c r="L459" s="1717"/>
      <c r="M459" s="1717"/>
      <c r="N459" s="1718"/>
    </row>
    <row r="460">
      <c r="A460" s="1721"/>
      <c r="C460" s="1026"/>
      <c r="D460" s="1714"/>
      <c r="E460" s="1720"/>
      <c r="F460" s="1720"/>
      <c r="G460" s="1716"/>
      <c r="H460" s="1715"/>
      <c r="I460" s="1715"/>
      <c r="J460" s="1717"/>
      <c r="K460" s="1717"/>
      <c r="L460" s="1717"/>
      <c r="M460" s="1717"/>
      <c r="N460" s="1718"/>
    </row>
    <row r="461">
      <c r="A461" s="1721"/>
      <c r="C461" s="1026"/>
      <c r="D461" s="1714"/>
      <c r="E461" s="1720"/>
      <c r="F461" s="1720"/>
      <c r="G461" s="1716"/>
      <c r="H461" s="1715"/>
      <c r="I461" s="1715"/>
      <c r="J461" s="1717"/>
      <c r="K461" s="1717"/>
      <c r="L461" s="1717"/>
      <c r="M461" s="1717"/>
      <c r="N461" s="1718"/>
    </row>
    <row r="462">
      <c r="A462" s="1721"/>
      <c r="C462" s="1026"/>
      <c r="D462" s="1714"/>
      <c r="E462" s="1720"/>
      <c r="F462" s="1720"/>
      <c r="G462" s="1716"/>
      <c r="H462" s="1715"/>
      <c r="I462" s="1715"/>
      <c r="J462" s="1717"/>
      <c r="K462" s="1717"/>
      <c r="L462" s="1717"/>
      <c r="M462" s="1717"/>
      <c r="N462" s="1718"/>
    </row>
    <row r="463">
      <c r="A463" s="1721"/>
      <c r="C463" s="1026"/>
      <c r="D463" s="1714"/>
      <c r="E463" s="1720"/>
      <c r="F463" s="1720"/>
      <c r="G463" s="1716"/>
      <c r="H463" s="1715"/>
      <c r="I463" s="1715"/>
      <c r="J463" s="1717"/>
      <c r="K463" s="1717"/>
      <c r="L463" s="1717"/>
      <c r="M463" s="1717"/>
      <c r="N463" s="1718"/>
    </row>
    <row r="464">
      <c r="A464" s="1721"/>
      <c r="C464" s="1026"/>
      <c r="D464" s="1714"/>
      <c r="E464" s="1720"/>
      <c r="F464" s="1720"/>
      <c r="G464" s="1716"/>
      <c r="H464" s="1715"/>
      <c r="I464" s="1715"/>
      <c r="J464" s="1717"/>
      <c r="K464" s="1717"/>
      <c r="L464" s="1717"/>
      <c r="M464" s="1717"/>
      <c r="N464" s="1718"/>
    </row>
    <row r="465">
      <c r="A465" s="1721"/>
      <c r="C465" s="1026"/>
      <c r="D465" s="1714"/>
      <c r="E465" s="1720"/>
      <c r="F465" s="1720"/>
      <c r="G465" s="1716"/>
      <c r="H465" s="1715"/>
      <c r="I465" s="1715"/>
      <c r="J465" s="1717"/>
      <c r="K465" s="1717"/>
      <c r="L465" s="1717"/>
      <c r="M465" s="1717"/>
      <c r="N465" s="1718"/>
    </row>
    <row r="466">
      <c r="A466" s="1721"/>
      <c r="C466" s="1026"/>
      <c r="D466" s="1714"/>
      <c r="E466" s="1720"/>
      <c r="F466" s="1720"/>
      <c r="G466" s="1716"/>
      <c r="H466" s="1715"/>
      <c r="I466" s="1715"/>
      <c r="J466" s="1717"/>
      <c r="K466" s="1717"/>
      <c r="L466" s="1717"/>
      <c r="M466" s="1717"/>
      <c r="N466" s="1718"/>
    </row>
    <row r="467">
      <c r="A467" s="1721"/>
      <c r="C467" s="1026"/>
      <c r="D467" s="1714"/>
      <c r="E467" s="1720"/>
      <c r="F467" s="1720"/>
      <c r="G467" s="1716"/>
      <c r="H467" s="1715"/>
      <c r="I467" s="1715"/>
      <c r="J467" s="1717"/>
      <c r="K467" s="1717"/>
      <c r="L467" s="1717"/>
      <c r="M467" s="1717"/>
      <c r="N467" s="1718"/>
    </row>
    <row r="468">
      <c r="A468" s="1721"/>
      <c r="C468" s="1026"/>
      <c r="D468" s="1714"/>
      <c r="E468" s="1720"/>
      <c r="F468" s="1720"/>
      <c r="G468" s="1716"/>
      <c r="H468" s="1715"/>
      <c r="I468" s="1715"/>
      <c r="J468" s="1717"/>
      <c r="K468" s="1717"/>
      <c r="L468" s="1717"/>
      <c r="M468" s="1717"/>
      <c r="N468" s="1718"/>
    </row>
    <row r="469">
      <c r="A469" s="1721"/>
      <c r="C469" s="1026"/>
      <c r="D469" s="1714"/>
      <c r="E469" s="1720"/>
      <c r="F469" s="1720"/>
      <c r="G469" s="1716"/>
      <c r="H469" s="1715"/>
      <c r="I469" s="1715"/>
      <c r="J469" s="1717"/>
      <c r="K469" s="1717"/>
      <c r="L469" s="1717"/>
      <c r="M469" s="1717"/>
      <c r="N469" s="1718"/>
    </row>
    <row r="470">
      <c r="A470" s="1721"/>
      <c r="C470" s="1026"/>
      <c r="D470" s="1714"/>
      <c r="E470" s="1720"/>
      <c r="F470" s="1720"/>
      <c r="G470" s="1716"/>
      <c r="H470" s="1715"/>
      <c r="I470" s="1715"/>
      <c r="J470" s="1717"/>
      <c r="K470" s="1717"/>
      <c r="L470" s="1717"/>
      <c r="M470" s="1717"/>
      <c r="N470" s="1718"/>
    </row>
    <row r="471">
      <c r="A471" s="1721"/>
      <c r="C471" s="1026"/>
      <c r="D471" s="1714"/>
      <c r="E471" s="1720"/>
      <c r="F471" s="1720"/>
      <c r="G471" s="1716"/>
      <c r="H471" s="1715"/>
      <c r="I471" s="1715"/>
      <c r="J471" s="1717"/>
      <c r="K471" s="1717"/>
      <c r="L471" s="1717"/>
      <c r="M471" s="1717"/>
      <c r="N471" s="1718"/>
    </row>
    <row r="472">
      <c r="A472" s="1721"/>
      <c r="C472" s="1026"/>
      <c r="D472" s="1714"/>
      <c r="E472" s="1720"/>
      <c r="F472" s="1720"/>
      <c r="G472" s="1716"/>
      <c r="H472" s="1715"/>
      <c r="I472" s="1715"/>
      <c r="J472" s="1717"/>
      <c r="K472" s="1717"/>
      <c r="L472" s="1717"/>
      <c r="M472" s="1717"/>
      <c r="N472" s="1718"/>
    </row>
    <row r="473">
      <c r="A473" s="1721"/>
      <c r="C473" s="1026"/>
      <c r="D473" s="1714"/>
      <c r="E473" s="1720"/>
      <c r="F473" s="1720"/>
      <c r="G473" s="1716"/>
      <c r="H473" s="1715"/>
      <c r="I473" s="1715"/>
      <c r="J473" s="1717"/>
      <c r="K473" s="1717"/>
      <c r="L473" s="1717"/>
      <c r="M473" s="1717"/>
      <c r="N473" s="1718"/>
    </row>
    <row r="474">
      <c r="A474" s="1721"/>
      <c r="C474" s="1026"/>
      <c r="D474" s="1714"/>
      <c r="E474" s="1720"/>
      <c r="F474" s="1720"/>
      <c r="G474" s="1716"/>
      <c r="H474" s="1715"/>
      <c r="I474" s="1715"/>
      <c r="J474" s="1717"/>
      <c r="K474" s="1717"/>
      <c r="L474" s="1717"/>
      <c r="M474" s="1717"/>
      <c r="N474" s="1718"/>
    </row>
    <row r="475">
      <c r="A475" s="1721"/>
      <c r="C475" s="1026"/>
      <c r="D475" s="1714"/>
      <c r="E475" s="1720"/>
      <c r="F475" s="1720"/>
      <c r="G475" s="1716"/>
      <c r="H475" s="1715"/>
      <c r="I475" s="1715"/>
      <c r="J475" s="1717"/>
      <c r="K475" s="1717"/>
      <c r="L475" s="1717"/>
      <c r="M475" s="1717"/>
      <c r="N475" s="1718"/>
    </row>
    <row r="476">
      <c r="A476" s="1721"/>
      <c r="C476" s="1026"/>
      <c r="D476" s="1714"/>
      <c r="E476" s="1720"/>
      <c r="F476" s="1720"/>
      <c r="G476" s="1716"/>
      <c r="H476" s="1715"/>
      <c r="I476" s="1715"/>
      <c r="J476" s="1717"/>
      <c r="K476" s="1717"/>
      <c r="L476" s="1717"/>
      <c r="M476" s="1717"/>
      <c r="N476" s="1718"/>
    </row>
    <row r="477">
      <c r="A477" s="1721"/>
      <c r="C477" s="1026"/>
      <c r="D477" s="1714"/>
      <c r="E477" s="1720"/>
      <c r="F477" s="1720"/>
      <c r="G477" s="1716"/>
      <c r="H477" s="1715"/>
      <c r="I477" s="1715"/>
      <c r="J477" s="1717"/>
      <c r="K477" s="1717"/>
      <c r="L477" s="1717"/>
      <c r="M477" s="1717"/>
      <c r="N477" s="1718"/>
    </row>
    <row r="478">
      <c r="A478" s="1721"/>
      <c r="C478" s="1026"/>
      <c r="D478" s="1714"/>
      <c r="E478" s="1720"/>
      <c r="F478" s="1720"/>
      <c r="G478" s="1716"/>
      <c r="H478" s="1715"/>
      <c r="I478" s="1715"/>
      <c r="J478" s="1717"/>
      <c r="K478" s="1717"/>
      <c r="L478" s="1717"/>
      <c r="M478" s="1717"/>
      <c r="N478" s="1718"/>
    </row>
    <row r="479">
      <c r="A479" s="1721"/>
      <c r="C479" s="1026"/>
      <c r="D479" s="1714"/>
      <c r="E479" s="1720"/>
      <c r="F479" s="1720"/>
      <c r="G479" s="1716"/>
      <c r="H479" s="1715"/>
      <c r="I479" s="1715"/>
      <c r="J479" s="1717"/>
      <c r="K479" s="1717"/>
      <c r="L479" s="1717"/>
      <c r="M479" s="1717"/>
      <c r="N479" s="1718"/>
    </row>
    <row r="480">
      <c r="A480" s="1721"/>
      <c r="C480" s="1026"/>
      <c r="D480" s="1714"/>
      <c r="E480" s="1720"/>
      <c r="F480" s="1720"/>
      <c r="G480" s="1716"/>
      <c r="H480" s="1715"/>
      <c r="I480" s="1715"/>
      <c r="J480" s="1717"/>
      <c r="K480" s="1717"/>
      <c r="L480" s="1717"/>
      <c r="M480" s="1717"/>
      <c r="N480" s="1718"/>
    </row>
    <row r="481">
      <c r="A481" s="1721"/>
      <c r="C481" s="1026"/>
      <c r="D481" s="1714"/>
      <c r="E481" s="1720"/>
      <c r="F481" s="1720"/>
      <c r="G481" s="1716"/>
      <c r="H481" s="1715"/>
      <c r="I481" s="1715"/>
      <c r="J481" s="1717"/>
      <c r="K481" s="1717"/>
      <c r="L481" s="1717"/>
      <c r="M481" s="1717"/>
      <c r="N481" s="1718"/>
    </row>
    <row r="482">
      <c r="A482" s="1721"/>
      <c r="C482" s="1026"/>
      <c r="D482" s="1714"/>
      <c r="E482" s="1720"/>
      <c r="F482" s="1720"/>
      <c r="G482" s="1716"/>
      <c r="H482" s="1715"/>
      <c r="I482" s="1715"/>
      <c r="J482" s="1717"/>
      <c r="K482" s="1717"/>
      <c r="L482" s="1717"/>
      <c r="M482" s="1717"/>
      <c r="N482" s="1718"/>
    </row>
    <row r="483">
      <c r="A483" s="1721"/>
      <c r="C483" s="1026"/>
      <c r="D483" s="1714"/>
      <c r="E483" s="1720"/>
      <c r="F483" s="1720"/>
      <c r="G483" s="1716"/>
      <c r="H483" s="1715"/>
      <c r="I483" s="1715"/>
      <c r="J483" s="1717"/>
      <c r="K483" s="1717"/>
      <c r="L483" s="1717"/>
      <c r="M483" s="1717"/>
      <c r="N483" s="1718"/>
    </row>
    <row r="484">
      <c r="A484" s="1721"/>
      <c r="C484" s="1026"/>
      <c r="D484" s="1714"/>
      <c r="E484" s="1720"/>
      <c r="F484" s="1720"/>
      <c r="G484" s="1716"/>
      <c r="H484" s="1715"/>
      <c r="I484" s="1715"/>
      <c r="J484" s="1717"/>
      <c r="K484" s="1717"/>
      <c r="L484" s="1717"/>
      <c r="M484" s="1717"/>
      <c r="N484" s="1718"/>
    </row>
    <row r="485">
      <c r="A485" s="1721"/>
      <c r="C485" s="1026"/>
      <c r="D485" s="1714"/>
      <c r="E485" s="1720"/>
      <c r="F485" s="1720"/>
      <c r="G485" s="1716"/>
      <c r="H485" s="1715"/>
      <c r="I485" s="1715"/>
      <c r="J485" s="1717"/>
      <c r="K485" s="1717"/>
      <c r="L485" s="1717"/>
      <c r="M485" s="1717"/>
      <c r="N485" s="1718"/>
    </row>
    <row r="486">
      <c r="A486" s="1721"/>
      <c r="C486" s="1026"/>
      <c r="D486" s="1714"/>
      <c r="E486" s="1720"/>
      <c r="F486" s="1720"/>
      <c r="G486" s="1716"/>
      <c r="H486" s="1715"/>
      <c r="I486" s="1715"/>
      <c r="J486" s="1717"/>
      <c r="K486" s="1717"/>
      <c r="L486" s="1717"/>
      <c r="M486" s="1717"/>
      <c r="N486" s="1718"/>
    </row>
    <row r="487">
      <c r="A487" s="1721"/>
      <c r="C487" s="1026"/>
      <c r="D487" s="1714"/>
      <c r="E487" s="1720"/>
      <c r="F487" s="1720"/>
      <c r="G487" s="1716"/>
      <c r="H487" s="1715"/>
      <c r="I487" s="1715"/>
      <c r="J487" s="1717"/>
      <c r="K487" s="1717"/>
      <c r="L487" s="1717"/>
      <c r="M487" s="1717"/>
      <c r="N487" s="1718"/>
    </row>
    <row r="488">
      <c r="A488" s="1721"/>
      <c r="C488" s="1026"/>
      <c r="D488" s="1714"/>
      <c r="E488" s="1720"/>
      <c r="F488" s="1720"/>
      <c r="G488" s="1716"/>
      <c r="H488" s="1715"/>
      <c r="I488" s="1715"/>
      <c r="J488" s="1717"/>
      <c r="K488" s="1717"/>
      <c r="L488" s="1717"/>
      <c r="M488" s="1717"/>
      <c r="N488" s="1718"/>
    </row>
    <row r="489">
      <c r="A489" s="1721"/>
      <c r="C489" s="1026"/>
      <c r="D489" s="1714"/>
      <c r="E489" s="1720"/>
      <c r="F489" s="1720"/>
      <c r="G489" s="1716"/>
      <c r="H489" s="1715"/>
      <c r="I489" s="1715"/>
      <c r="J489" s="1717"/>
      <c r="K489" s="1717"/>
      <c r="L489" s="1717"/>
      <c r="M489" s="1717"/>
      <c r="N489" s="1718"/>
    </row>
    <row r="490">
      <c r="A490" s="1721"/>
      <c r="C490" s="1026"/>
      <c r="D490" s="1714"/>
      <c r="E490" s="1720"/>
      <c r="F490" s="1720"/>
      <c r="G490" s="1716"/>
      <c r="H490" s="1715"/>
      <c r="I490" s="1715"/>
      <c r="J490" s="1717"/>
      <c r="K490" s="1717"/>
      <c r="L490" s="1717"/>
      <c r="M490" s="1717"/>
      <c r="N490" s="1718"/>
    </row>
    <row r="491">
      <c r="A491" s="1721"/>
      <c r="C491" s="1026"/>
      <c r="D491" s="1714"/>
      <c r="E491" s="1720"/>
      <c r="F491" s="1720"/>
      <c r="G491" s="1716"/>
      <c r="H491" s="1715"/>
      <c r="I491" s="1715"/>
      <c r="J491" s="1717"/>
      <c r="K491" s="1717"/>
      <c r="L491" s="1717"/>
      <c r="M491" s="1717"/>
      <c r="N491" s="1718"/>
    </row>
    <row r="492">
      <c r="A492" s="1721"/>
      <c r="C492" s="1026"/>
      <c r="D492" s="1714"/>
      <c r="E492" s="1720"/>
      <c r="F492" s="1720"/>
      <c r="G492" s="1716"/>
      <c r="H492" s="1715"/>
      <c r="I492" s="1715"/>
      <c r="J492" s="1717"/>
      <c r="K492" s="1717"/>
      <c r="L492" s="1717"/>
      <c r="M492" s="1717"/>
      <c r="N492" s="1718"/>
    </row>
    <row r="493">
      <c r="A493" s="1721"/>
      <c r="C493" s="1026"/>
      <c r="D493" s="1714"/>
      <c r="E493" s="1720"/>
      <c r="F493" s="1720"/>
      <c r="G493" s="1716"/>
      <c r="H493" s="1715"/>
      <c r="I493" s="1715"/>
      <c r="J493" s="1717"/>
      <c r="K493" s="1717"/>
      <c r="L493" s="1717"/>
      <c r="M493" s="1717"/>
      <c r="N493" s="1718"/>
    </row>
    <row r="494">
      <c r="A494" s="1721"/>
      <c r="C494" s="1026"/>
      <c r="D494" s="1714"/>
      <c r="E494" s="1720"/>
      <c r="F494" s="1720"/>
      <c r="G494" s="1716"/>
      <c r="H494" s="1715"/>
      <c r="I494" s="1715"/>
      <c r="J494" s="1717"/>
      <c r="K494" s="1717"/>
      <c r="L494" s="1717"/>
      <c r="M494" s="1717"/>
      <c r="N494" s="1718"/>
    </row>
    <row r="495">
      <c r="A495" s="1721"/>
      <c r="C495" s="1026"/>
      <c r="D495" s="1714"/>
      <c r="E495" s="1720"/>
      <c r="F495" s="1720"/>
      <c r="G495" s="1716"/>
      <c r="H495" s="1715"/>
      <c r="I495" s="1715"/>
      <c r="J495" s="1717"/>
      <c r="K495" s="1717"/>
      <c r="L495" s="1717"/>
      <c r="M495" s="1717"/>
      <c r="N495" s="1718"/>
    </row>
    <row r="496">
      <c r="A496" s="1721"/>
      <c r="C496" s="1026"/>
      <c r="D496" s="1714"/>
      <c r="E496" s="1720"/>
      <c r="F496" s="1720"/>
      <c r="G496" s="1716"/>
      <c r="H496" s="1715"/>
      <c r="I496" s="1715"/>
      <c r="J496" s="1717"/>
      <c r="K496" s="1717"/>
      <c r="L496" s="1717"/>
      <c r="M496" s="1717"/>
      <c r="N496" s="1718"/>
    </row>
    <row r="497">
      <c r="A497" s="1721"/>
      <c r="C497" s="1026"/>
      <c r="D497" s="1714"/>
      <c r="E497" s="1720"/>
      <c r="F497" s="1720"/>
      <c r="G497" s="1716"/>
      <c r="H497" s="1715"/>
      <c r="I497" s="1715"/>
      <c r="J497" s="1717"/>
      <c r="K497" s="1717"/>
      <c r="L497" s="1717"/>
      <c r="M497" s="1717"/>
      <c r="N497" s="1718"/>
    </row>
    <row r="498">
      <c r="A498" s="1721"/>
      <c r="C498" s="1026"/>
      <c r="D498" s="1714"/>
      <c r="E498" s="1720"/>
      <c r="F498" s="1720"/>
      <c r="G498" s="1716"/>
      <c r="H498" s="1715"/>
      <c r="I498" s="1715"/>
      <c r="J498" s="1717"/>
      <c r="K498" s="1717"/>
      <c r="L498" s="1717"/>
      <c r="M498" s="1717"/>
      <c r="N498" s="1718"/>
    </row>
    <row r="499">
      <c r="A499" s="1721"/>
      <c r="C499" s="1026"/>
      <c r="D499" s="1714"/>
      <c r="E499" s="1720"/>
      <c r="F499" s="1720"/>
      <c r="G499" s="1716"/>
      <c r="H499" s="1715"/>
      <c r="I499" s="1715"/>
      <c r="J499" s="1717"/>
      <c r="K499" s="1717"/>
      <c r="L499" s="1717"/>
      <c r="M499" s="1717"/>
      <c r="N499" s="1718"/>
    </row>
    <row r="500">
      <c r="A500" s="1721"/>
      <c r="C500" s="1026"/>
      <c r="D500" s="1714"/>
      <c r="E500" s="1720"/>
      <c r="F500" s="1720"/>
      <c r="G500" s="1716"/>
      <c r="H500" s="1715"/>
      <c r="I500" s="1715"/>
      <c r="J500" s="1717"/>
      <c r="K500" s="1717"/>
      <c r="L500" s="1717"/>
      <c r="M500" s="1717"/>
      <c r="N500" s="1718"/>
    </row>
    <row r="501">
      <c r="A501" s="1721"/>
      <c r="C501" s="1026"/>
      <c r="D501" s="1714"/>
      <c r="E501" s="1720"/>
      <c r="F501" s="1720"/>
      <c r="G501" s="1716"/>
      <c r="H501" s="1715"/>
      <c r="I501" s="1715"/>
      <c r="J501" s="1717"/>
      <c r="K501" s="1717"/>
      <c r="L501" s="1717"/>
      <c r="M501" s="1717"/>
      <c r="N501" s="1718"/>
    </row>
    <row r="502">
      <c r="A502" s="1721"/>
      <c r="C502" s="1026"/>
      <c r="D502" s="1714"/>
      <c r="E502" s="1720"/>
      <c r="F502" s="1720"/>
      <c r="G502" s="1716"/>
      <c r="H502" s="1715"/>
      <c r="I502" s="1715"/>
      <c r="J502" s="1717"/>
      <c r="K502" s="1717"/>
      <c r="L502" s="1717"/>
      <c r="M502" s="1717"/>
      <c r="N502" s="1718"/>
    </row>
    <row r="503">
      <c r="A503" s="1721"/>
      <c r="C503" s="1026"/>
      <c r="D503" s="1714"/>
      <c r="E503" s="1720"/>
      <c r="F503" s="1720"/>
      <c r="G503" s="1716"/>
      <c r="H503" s="1715"/>
      <c r="I503" s="1715"/>
      <c r="J503" s="1717"/>
      <c r="K503" s="1717"/>
      <c r="L503" s="1717"/>
      <c r="M503" s="1717"/>
      <c r="N503" s="1718"/>
    </row>
    <row r="504">
      <c r="A504" s="1721"/>
      <c r="C504" s="1026"/>
      <c r="D504" s="1714"/>
      <c r="E504" s="1720"/>
      <c r="F504" s="1720"/>
      <c r="G504" s="1716"/>
      <c r="H504" s="1715"/>
      <c r="I504" s="1715"/>
      <c r="J504" s="1717"/>
      <c r="K504" s="1717"/>
      <c r="L504" s="1717"/>
      <c r="M504" s="1717"/>
      <c r="N504" s="1718"/>
    </row>
    <row r="505">
      <c r="A505" s="1721"/>
      <c r="C505" s="1026"/>
      <c r="D505" s="1714"/>
      <c r="E505" s="1720"/>
      <c r="F505" s="1720"/>
      <c r="G505" s="1716"/>
      <c r="H505" s="1715"/>
      <c r="I505" s="1715"/>
      <c r="J505" s="1717"/>
      <c r="K505" s="1717"/>
      <c r="L505" s="1717"/>
      <c r="M505" s="1717"/>
      <c r="N505" s="1718"/>
    </row>
    <row r="506">
      <c r="A506" s="1721"/>
      <c r="C506" s="1026"/>
      <c r="D506" s="1714"/>
      <c r="E506" s="1720"/>
      <c r="F506" s="1720"/>
      <c r="G506" s="1716"/>
      <c r="H506" s="1715"/>
      <c r="I506" s="1715"/>
      <c r="J506" s="1717"/>
      <c r="K506" s="1717"/>
      <c r="L506" s="1717"/>
      <c r="M506" s="1717"/>
      <c r="N506" s="1718"/>
    </row>
    <row r="507">
      <c r="A507" s="1721"/>
      <c r="C507" s="1026"/>
      <c r="D507" s="1714"/>
      <c r="E507" s="1720"/>
      <c r="F507" s="1720"/>
      <c r="G507" s="1716"/>
      <c r="H507" s="1715"/>
      <c r="I507" s="1715"/>
      <c r="J507" s="1717"/>
      <c r="K507" s="1717"/>
      <c r="L507" s="1717"/>
      <c r="M507" s="1717"/>
      <c r="N507" s="1718"/>
    </row>
    <row r="508">
      <c r="A508" s="1721"/>
      <c r="C508" s="1026"/>
      <c r="D508" s="1714"/>
      <c r="E508" s="1720"/>
      <c r="F508" s="1720"/>
      <c r="G508" s="1716"/>
      <c r="H508" s="1715"/>
      <c r="I508" s="1715"/>
      <c r="J508" s="1717"/>
      <c r="K508" s="1717"/>
      <c r="L508" s="1717"/>
      <c r="M508" s="1717"/>
      <c r="N508" s="1718"/>
    </row>
    <row r="509">
      <c r="A509" s="1721"/>
      <c r="C509" s="1026"/>
      <c r="D509" s="1714"/>
      <c r="E509" s="1720"/>
      <c r="F509" s="1720"/>
      <c r="G509" s="1716"/>
      <c r="H509" s="1715"/>
      <c r="I509" s="1715"/>
      <c r="J509" s="1717"/>
      <c r="K509" s="1717"/>
      <c r="L509" s="1717"/>
      <c r="M509" s="1717"/>
      <c r="N509" s="1718"/>
    </row>
    <row r="510">
      <c r="A510" s="1721"/>
      <c r="C510" s="1026"/>
      <c r="D510" s="1714"/>
      <c r="E510" s="1720"/>
      <c r="F510" s="1720"/>
      <c r="G510" s="1716"/>
      <c r="H510" s="1715"/>
      <c r="I510" s="1715"/>
      <c r="J510" s="1717"/>
      <c r="K510" s="1717"/>
      <c r="L510" s="1717"/>
      <c r="M510" s="1717"/>
      <c r="N510" s="1718"/>
    </row>
    <row r="511">
      <c r="A511" s="1721"/>
      <c r="C511" s="1026"/>
      <c r="D511" s="1714"/>
      <c r="E511" s="1720"/>
      <c r="F511" s="1720"/>
      <c r="G511" s="1716"/>
      <c r="H511" s="1715"/>
      <c r="I511" s="1715"/>
      <c r="J511" s="1717"/>
      <c r="K511" s="1717"/>
      <c r="L511" s="1717"/>
      <c r="M511" s="1717"/>
      <c r="N511" s="1718"/>
    </row>
    <row r="512">
      <c r="A512" s="1721"/>
      <c r="C512" s="1026"/>
      <c r="D512" s="1714"/>
      <c r="E512" s="1720"/>
      <c r="F512" s="1720"/>
      <c r="G512" s="1716"/>
      <c r="H512" s="1715"/>
      <c r="I512" s="1715"/>
      <c r="J512" s="1717"/>
      <c r="K512" s="1717"/>
      <c r="L512" s="1717"/>
      <c r="M512" s="1717"/>
      <c r="N512" s="1718"/>
    </row>
    <row r="513">
      <c r="A513" s="1721"/>
      <c r="C513" s="1026"/>
      <c r="D513" s="1714"/>
      <c r="E513" s="1720"/>
      <c r="F513" s="1720"/>
      <c r="G513" s="1716"/>
      <c r="H513" s="1715"/>
      <c r="I513" s="1715"/>
      <c r="J513" s="1717"/>
      <c r="K513" s="1717"/>
      <c r="L513" s="1717"/>
      <c r="M513" s="1717"/>
      <c r="N513" s="1718"/>
    </row>
    <row r="514">
      <c r="A514" s="1721"/>
      <c r="C514" s="1026"/>
      <c r="D514" s="1714"/>
      <c r="E514" s="1720"/>
      <c r="F514" s="1720"/>
      <c r="G514" s="1716"/>
      <c r="H514" s="1715"/>
      <c r="I514" s="1715"/>
      <c r="J514" s="1717"/>
      <c r="K514" s="1717"/>
      <c r="L514" s="1717"/>
      <c r="M514" s="1717"/>
      <c r="N514" s="1718"/>
    </row>
    <row r="515">
      <c r="A515" s="1721"/>
      <c r="C515" s="1026"/>
      <c r="D515" s="1714"/>
      <c r="E515" s="1720"/>
      <c r="F515" s="1720"/>
      <c r="G515" s="1716"/>
      <c r="H515" s="1715"/>
      <c r="I515" s="1715"/>
      <c r="J515" s="1717"/>
      <c r="K515" s="1717"/>
      <c r="L515" s="1717"/>
      <c r="M515" s="1717"/>
      <c r="N515" s="1718"/>
    </row>
    <row r="516">
      <c r="A516" s="1721"/>
      <c r="C516" s="1026"/>
      <c r="D516" s="1714"/>
      <c r="E516" s="1720"/>
      <c r="F516" s="1720"/>
      <c r="G516" s="1716"/>
      <c r="H516" s="1715"/>
      <c r="I516" s="1715"/>
      <c r="J516" s="1717"/>
      <c r="K516" s="1717"/>
      <c r="L516" s="1717"/>
      <c r="M516" s="1717"/>
      <c r="N516" s="1718"/>
    </row>
    <row r="517">
      <c r="A517" s="1721"/>
      <c r="C517" s="1026"/>
      <c r="D517" s="1714"/>
      <c r="E517" s="1720"/>
      <c r="F517" s="1720"/>
      <c r="G517" s="1716"/>
      <c r="H517" s="1715"/>
      <c r="I517" s="1715"/>
      <c r="J517" s="1717"/>
      <c r="K517" s="1717"/>
      <c r="L517" s="1717"/>
      <c r="M517" s="1717"/>
      <c r="N517" s="1718"/>
    </row>
    <row r="518">
      <c r="A518" s="1721"/>
      <c r="C518" s="1026"/>
      <c r="D518" s="1714"/>
      <c r="E518" s="1720"/>
      <c r="F518" s="1720"/>
      <c r="G518" s="1716"/>
      <c r="H518" s="1715"/>
      <c r="I518" s="1715"/>
      <c r="J518" s="1717"/>
      <c r="K518" s="1717"/>
      <c r="L518" s="1717"/>
      <c r="M518" s="1717"/>
      <c r="N518" s="1718"/>
    </row>
    <row r="519">
      <c r="A519" s="1721"/>
      <c r="C519" s="1026"/>
      <c r="D519" s="1714"/>
      <c r="E519" s="1720"/>
      <c r="F519" s="1720"/>
      <c r="G519" s="1716"/>
      <c r="H519" s="1715"/>
      <c r="I519" s="1715"/>
      <c r="J519" s="1717"/>
      <c r="K519" s="1717"/>
      <c r="L519" s="1717"/>
      <c r="M519" s="1717"/>
      <c r="N519" s="1718"/>
    </row>
    <row r="520">
      <c r="A520" s="1721"/>
      <c r="C520" s="1026"/>
      <c r="D520" s="1714"/>
      <c r="E520" s="1720"/>
      <c r="F520" s="1720"/>
      <c r="G520" s="1716"/>
      <c r="H520" s="1715"/>
      <c r="I520" s="1715"/>
      <c r="J520" s="1717"/>
      <c r="K520" s="1717"/>
      <c r="L520" s="1717"/>
      <c r="M520" s="1717"/>
      <c r="N520" s="1718"/>
    </row>
    <row r="521">
      <c r="A521" s="1721"/>
      <c r="C521" s="1026"/>
      <c r="D521" s="1714"/>
      <c r="E521" s="1720"/>
      <c r="F521" s="1720"/>
      <c r="G521" s="1716"/>
      <c r="H521" s="1715"/>
      <c r="I521" s="1715"/>
      <c r="J521" s="1717"/>
      <c r="K521" s="1717"/>
      <c r="L521" s="1717"/>
      <c r="M521" s="1717"/>
      <c r="N521" s="1718"/>
    </row>
    <row r="522">
      <c r="A522" s="1721"/>
      <c r="C522" s="1026"/>
      <c r="D522" s="1714"/>
      <c r="E522" s="1720"/>
      <c r="F522" s="1720"/>
      <c r="G522" s="1716"/>
      <c r="H522" s="1715"/>
      <c r="I522" s="1715"/>
      <c r="J522" s="1717"/>
      <c r="K522" s="1717"/>
      <c r="L522" s="1717"/>
      <c r="M522" s="1717"/>
      <c r="N522" s="1718"/>
    </row>
    <row r="523">
      <c r="A523" s="1721"/>
      <c r="C523" s="1026"/>
      <c r="D523" s="1714"/>
      <c r="E523" s="1720"/>
      <c r="F523" s="1720"/>
      <c r="G523" s="1716"/>
      <c r="H523" s="1715"/>
      <c r="I523" s="1715"/>
      <c r="J523" s="1717"/>
      <c r="K523" s="1717"/>
      <c r="L523" s="1717"/>
      <c r="M523" s="1717"/>
      <c r="N523" s="1718"/>
    </row>
    <row r="524">
      <c r="A524" s="1721"/>
      <c r="C524" s="1026"/>
      <c r="D524" s="1714"/>
      <c r="E524" s="1720"/>
      <c r="F524" s="1720"/>
      <c r="G524" s="1716"/>
      <c r="H524" s="1715"/>
      <c r="I524" s="1715"/>
      <c r="J524" s="1717"/>
      <c r="K524" s="1717"/>
      <c r="L524" s="1717"/>
      <c r="M524" s="1717"/>
      <c r="N524" s="1718"/>
    </row>
    <row r="525">
      <c r="A525" s="1721"/>
      <c r="C525" s="1026"/>
      <c r="D525" s="1714"/>
      <c r="E525" s="1720"/>
      <c r="F525" s="1720"/>
      <c r="G525" s="1716"/>
      <c r="H525" s="1715"/>
      <c r="I525" s="1715"/>
      <c r="J525" s="1717"/>
      <c r="K525" s="1717"/>
      <c r="L525" s="1717"/>
      <c r="M525" s="1717"/>
      <c r="N525" s="1718"/>
    </row>
    <row r="526">
      <c r="A526" s="1721"/>
      <c r="C526" s="1026"/>
      <c r="D526" s="1714"/>
      <c r="E526" s="1720"/>
      <c r="F526" s="1720"/>
      <c r="G526" s="1716"/>
      <c r="H526" s="1715"/>
      <c r="I526" s="1715"/>
      <c r="J526" s="1717"/>
      <c r="K526" s="1717"/>
      <c r="L526" s="1717"/>
      <c r="M526" s="1717"/>
      <c r="N526" s="1718"/>
    </row>
    <row r="527">
      <c r="A527" s="1721"/>
      <c r="C527" s="1026"/>
      <c r="D527" s="1714"/>
      <c r="E527" s="1720"/>
      <c r="F527" s="1720"/>
      <c r="G527" s="1716"/>
      <c r="H527" s="1715"/>
      <c r="I527" s="1715"/>
      <c r="J527" s="1717"/>
      <c r="K527" s="1717"/>
      <c r="L527" s="1717"/>
      <c r="M527" s="1717"/>
      <c r="N527" s="1718"/>
    </row>
    <row r="528">
      <c r="A528" s="1721"/>
      <c r="C528" s="1026"/>
      <c r="D528" s="1714"/>
      <c r="E528" s="1720"/>
      <c r="F528" s="1720"/>
      <c r="G528" s="1716"/>
      <c r="H528" s="1715"/>
      <c r="I528" s="1715"/>
      <c r="J528" s="1717"/>
      <c r="K528" s="1717"/>
      <c r="L528" s="1717"/>
      <c r="M528" s="1717"/>
      <c r="N528" s="1718"/>
    </row>
    <row r="529">
      <c r="A529" s="1721"/>
      <c r="C529" s="1026"/>
      <c r="D529" s="1714"/>
      <c r="E529" s="1720"/>
      <c r="F529" s="1720"/>
      <c r="G529" s="1716"/>
      <c r="H529" s="1715"/>
      <c r="I529" s="1715"/>
      <c r="J529" s="1717"/>
      <c r="K529" s="1717"/>
      <c r="L529" s="1717"/>
      <c r="M529" s="1717"/>
      <c r="N529" s="1718"/>
    </row>
    <row r="530">
      <c r="A530" s="1721"/>
      <c r="C530" s="1026"/>
      <c r="D530" s="1714"/>
      <c r="E530" s="1720"/>
      <c r="F530" s="1720"/>
      <c r="G530" s="1716"/>
      <c r="H530" s="1715"/>
      <c r="I530" s="1715"/>
      <c r="J530" s="1717"/>
      <c r="K530" s="1717"/>
      <c r="L530" s="1717"/>
      <c r="M530" s="1717"/>
      <c r="N530" s="1718"/>
    </row>
    <row r="531">
      <c r="A531" s="1721"/>
      <c r="C531" s="1026"/>
      <c r="D531" s="1714"/>
      <c r="E531" s="1720"/>
      <c r="F531" s="1720"/>
      <c r="G531" s="1716"/>
      <c r="H531" s="1715"/>
      <c r="I531" s="1715"/>
      <c r="J531" s="1717"/>
      <c r="K531" s="1717"/>
      <c r="L531" s="1717"/>
      <c r="M531" s="1717"/>
      <c r="N531" s="1718"/>
    </row>
    <row r="532">
      <c r="A532" s="1721"/>
      <c r="C532" s="1026"/>
      <c r="D532" s="1714"/>
      <c r="E532" s="1720"/>
      <c r="F532" s="1720"/>
      <c r="G532" s="1716"/>
      <c r="H532" s="1715"/>
      <c r="I532" s="1715"/>
      <c r="J532" s="1717"/>
      <c r="K532" s="1717"/>
      <c r="L532" s="1717"/>
      <c r="M532" s="1717"/>
      <c r="N532" s="1718"/>
    </row>
    <row r="533">
      <c r="A533" s="1721"/>
      <c r="C533" s="1026"/>
      <c r="D533" s="1714"/>
      <c r="E533" s="1720"/>
      <c r="F533" s="1720"/>
      <c r="G533" s="1716"/>
      <c r="H533" s="1715"/>
      <c r="I533" s="1715"/>
      <c r="J533" s="1717"/>
      <c r="K533" s="1717"/>
      <c r="L533" s="1717"/>
      <c r="M533" s="1717"/>
      <c r="N533" s="1718"/>
    </row>
    <row r="534">
      <c r="A534" s="1721"/>
      <c r="C534" s="1026"/>
      <c r="D534" s="1714"/>
      <c r="E534" s="1720"/>
      <c r="F534" s="1720"/>
      <c r="G534" s="1716"/>
      <c r="H534" s="1715"/>
      <c r="I534" s="1715"/>
      <c r="J534" s="1717"/>
      <c r="K534" s="1717"/>
      <c r="L534" s="1717"/>
      <c r="M534" s="1717"/>
      <c r="N534" s="1718"/>
    </row>
    <row r="535">
      <c r="A535" s="1721"/>
      <c r="C535" s="1026"/>
      <c r="D535" s="1714"/>
      <c r="E535" s="1720"/>
      <c r="F535" s="1720"/>
      <c r="G535" s="1716"/>
      <c r="H535" s="1715"/>
      <c r="I535" s="1715"/>
      <c r="J535" s="1717"/>
      <c r="K535" s="1717"/>
      <c r="L535" s="1717"/>
      <c r="M535" s="1717"/>
      <c r="N535" s="1718"/>
    </row>
    <row r="536">
      <c r="A536" s="1721"/>
      <c r="C536" s="1026"/>
      <c r="D536" s="1714"/>
      <c r="E536" s="1720"/>
      <c r="F536" s="1720"/>
      <c r="G536" s="1716"/>
      <c r="H536" s="1715"/>
      <c r="I536" s="1715"/>
      <c r="J536" s="1717"/>
      <c r="K536" s="1717"/>
      <c r="L536" s="1717"/>
      <c r="M536" s="1717"/>
      <c r="N536" s="1718"/>
    </row>
    <row r="537">
      <c r="A537" s="1721"/>
      <c r="C537" s="1026"/>
      <c r="D537" s="1714"/>
      <c r="E537" s="1720"/>
      <c r="F537" s="1720"/>
      <c r="G537" s="1716"/>
      <c r="H537" s="1715"/>
      <c r="I537" s="1715"/>
      <c r="J537" s="1717"/>
      <c r="K537" s="1717"/>
      <c r="L537" s="1717"/>
      <c r="M537" s="1717"/>
      <c r="N537" s="1718"/>
    </row>
    <row r="538">
      <c r="A538" s="1721"/>
      <c r="C538" s="1026"/>
      <c r="D538" s="1714"/>
      <c r="E538" s="1720"/>
      <c r="F538" s="1720"/>
      <c r="G538" s="1716"/>
      <c r="H538" s="1715"/>
      <c r="I538" s="1715"/>
      <c r="J538" s="1717"/>
      <c r="K538" s="1717"/>
      <c r="L538" s="1717"/>
      <c r="M538" s="1717"/>
      <c r="N538" s="1718"/>
    </row>
    <row r="539">
      <c r="A539" s="1721"/>
      <c r="C539" s="1026"/>
      <c r="D539" s="1714"/>
      <c r="E539" s="1720"/>
      <c r="F539" s="1720"/>
      <c r="G539" s="1716"/>
      <c r="H539" s="1715"/>
      <c r="I539" s="1715"/>
      <c r="J539" s="1717"/>
      <c r="K539" s="1717"/>
      <c r="L539" s="1717"/>
      <c r="M539" s="1717"/>
      <c r="N539" s="1718"/>
    </row>
    <row r="540">
      <c r="A540" s="1721"/>
      <c r="C540" s="1026"/>
      <c r="D540" s="1714"/>
      <c r="E540" s="1720"/>
      <c r="F540" s="1720"/>
      <c r="G540" s="1716"/>
      <c r="H540" s="1715"/>
      <c r="I540" s="1715"/>
      <c r="J540" s="1717"/>
      <c r="K540" s="1717"/>
      <c r="L540" s="1717"/>
      <c r="M540" s="1717"/>
      <c r="N540" s="1718"/>
    </row>
    <row r="541">
      <c r="A541" s="1721"/>
      <c r="C541" s="1026"/>
      <c r="D541" s="1714"/>
      <c r="E541" s="1720"/>
      <c r="F541" s="1720"/>
      <c r="G541" s="1716"/>
      <c r="H541" s="1715"/>
      <c r="I541" s="1715"/>
      <c r="J541" s="1717"/>
      <c r="K541" s="1717"/>
      <c r="L541" s="1717"/>
      <c r="M541" s="1717"/>
      <c r="N541" s="1718"/>
    </row>
    <row r="542">
      <c r="A542" s="1721"/>
      <c r="C542" s="1026"/>
      <c r="D542" s="1714"/>
      <c r="E542" s="1720"/>
      <c r="F542" s="1720"/>
      <c r="G542" s="1716"/>
      <c r="H542" s="1715"/>
      <c r="I542" s="1715"/>
      <c r="J542" s="1717"/>
      <c r="K542" s="1717"/>
      <c r="L542" s="1717"/>
      <c r="M542" s="1717"/>
      <c r="N542" s="1718"/>
    </row>
    <row r="543">
      <c r="A543" s="1721"/>
      <c r="C543" s="1026"/>
      <c r="D543" s="1714"/>
      <c r="E543" s="1720"/>
      <c r="F543" s="1720"/>
      <c r="G543" s="1716"/>
      <c r="H543" s="1715"/>
      <c r="I543" s="1715"/>
      <c r="J543" s="1717"/>
      <c r="K543" s="1717"/>
      <c r="L543" s="1717"/>
      <c r="M543" s="1717"/>
      <c r="N543" s="1718"/>
    </row>
    <row r="544">
      <c r="A544" s="1721"/>
      <c r="C544" s="1026"/>
      <c r="D544" s="1714"/>
      <c r="E544" s="1720"/>
      <c r="F544" s="1720"/>
      <c r="G544" s="1716"/>
      <c r="H544" s="1715"/>
      <c r="I544" s="1715"/>
      <c r="J544" s="1717"/>
      <c r="K544" s="1717"/>
      <c r="L544" s="1717"/>
      <c r="M544" s="1717"/>
      <c r="N544" s="1718"/>
    </row>
    <row r="545">
      <c r="A545" s="1721"/>
      <c r="C545" s="1026"/>
      <c r="D545" s="1714"/>
      <c r="E545" s="1720"/>
      <c r="F545" s="1720"/>
      <c r="G545" s="1716"/>
      <c r="H545" s="1715"/>
      <c r="I545" s="1715"/>
      <c r="J545" s="1717"/>
      <c r="K545" s="1717"/>
      <c r="L545" s="1717"/>
      <c r="M545" s="1717"/>
      <c r="N545" s="1718"/>
    </row>
    <row r="546">
      <c r="A546" s="1721"/>
      <c r="C546" s="1026"/>
      <c r="D546" s="1714"/>
      <c r="E546" s="1720"/>
      <c r="F546" s="1720"/>
      <c r="G546" s="1716"/>
      <c r="H546" s="1715"/>
      <c r="I546" s="1715"/>
      <c r="J546" s="1717"/>
      <c r="K546" s="1717"/>
      <c r="L546" s="1717"/>
      <c r="M546" s="1717"/>
      <c r="N546" s="1718"/>
    </row>
    <row r="547">
      <c r="A547" s="1721"/>
      <c r="C547" s="1026"/>
      <c r="D547" s="1714"/>
      <c r="E547" s="1720"/>
      <c r="F547" s="1720"/>
      <c r="G547" s="1716"/>
      <c r="H547" s="1715"/>
      <c r="I547" s="1715"/>
      <c r="J547" s="1717"/>
      <c r="K547" s="1717"/>
      <c r="L547" s="1717"/>
      <c r="M547" s="1717"/>
      <c r="N547" s="1718"/>
    </row>
    <row r="548">
      <c r="A548" s="1721"/>
      <c r="C548" s="1026"/>
      <c r="D548" s="1714"/>
      <c r="E548" s="1720"/>
      <c r="F548" s="1720"/>
      <c r="G548" s="1716"/>
      <c r="H548" s="1715"/>
      <c r="I548" s="1715"/>
      <c r="J548" s="1717"/>
      <c r="K548" s="1717"/>
      <c r="L548" s="1717"/>
      <c r="M548" s="1717"/>
      <c r="N548" s="1718"/>
    </row>
    <row r="549">
      <c r="A549" s="1721"/>
      <c r="C549" s="1026"/>
      <c r="D549" s="1714"/>
      <c r="E549" s="1720"/>
      <c r="F549" s="1720"/>
      <c r="G549" s="1716"/>
      <c r="H549" s="1715"/>
      <c r="I549" s="1715"/>
      <c r="J549" s="1717"/>
      <c r="K549" s="1717"/>
      <c r="L549" s="1717"/>
      <c r="M549" s="1717"/>
      <c r="N549" s="1718"/>
    </row>
    <row r="550">
      <c r="A550" s="1721"/>
      <c r="C550" s="1026"/>
      <c r="D550" s="1714"/>
      <c r="E550" s="1720"/>
      <c r="F550" s="1720"/>
      <c r="G550" s="1716"/>
      <c r="H550" s="1715"/>
      <c r="I550" s="1715"/>
      <c r="J550" s="1717"/>
      <c r="K550" s="1717"/>
      <c r="L550" s="1717"/>
      <c r="M550" s="1717"/>
      <c r="N550" s="1718"/>
    </row>
    <row r="551">
      <c r="A551" s="1721"/>
      <c r="C551" s="1026"/>
      <c r="D551" s="1714"/>
      <c r="E551" s="1720"/>
      <c r="F551" s="1720"/>
      <c r="G551" s="1716"/>
      <c r="H551" s="1715"/>
      <c r="I551" s="1715"/>
      <c r="J551" s="1717"/>
      <c r="K551" s="1717"/>
      <c r="L551" s="1717"/>
      <c r="M551" s="1717"/>
      <c r="N551" s="1718"/>
    </row>
    <row r="552">
      <c r="A552" s="1721"/>
      <c r="C552" s="1026"/>
      <c r="D552" s="1714"/>
      <c r="E552" s="1720"/>
      <c r="F552" s="1720"/>
      <c r="G552" s="1716"/>
      <c r="H552" s="1715"/>
      <c r="I552" s="1715"/>
      <c r="J552" s="1717"/>
      <c r="K552" s="1717"/>
      <c r="L552" s="1717"/>
      <c r="M552" s="1717"/>
      <c r="N552" s="1718"/>
    </row>
    <row r="553">
      <c r="A553" s="1721"/>
      <c r="C553" s="1026"/>
      <c r="D553" s="1714"/>
      <c r="E553" s="1720"/>
      <c r="F553" s="1720"/>
      <c r="G553" s="1716"/>
      <c r="H553" s="1715"/>
      <c r="I553" s="1715"/>
      <c r="J553" s="1717"/>
      <c r="K553" s="1717"/>
      <c r="L553" s="1717"/>
      <c r="M553" s="1717"/>
      <c r="N553" s="1718"/>
    </row>
    <row r="554">
      <c r="A554" s="1721"/>
      <c r="C554" s="1026"/>
      <c r="D554" s="1714"/>
      <c r="E554" s="1720"/>
      <c r="F554" s="1720"/>
      <c r="G554" s="1716"/>
      <c r="H554" s="1715"/>
      <c r="I554" s="1715"/>
      <c r="J554" s="1717"/>
      <c r="K554" s="1717"/>
      <c r="L554" s="1717"/>
      <c r="M554" s="1717"/>
      <c r="N554" s="1718"/>
    </row>
    <row r="555">
      <c r="A555" s="1721"/>
      <c r="C555" s="1026"/>
      <c r="D555" s="1714"/>
      <c r="E555" s="1720"/>
      <c r="F555" s="1720"/>
      <c r="G555" s="1716"/>
      <c r="H555" s="1715"/>
      <c r="I555" s="1715"/>
      <c r="J555" s="1717"/>
      <c r="K555" s="1717"/>
      <c r="L555" s="1717"/>
      <c r="M555" s="1717"/>
      <c r="N555" s="1718"/>
    </row>
    <row r="556">
      <c r="A556" s="1721"/>
      <c r="C556" s="1026"/>
      <c r="D556" s="1714"/>
      <c r="E556" s="1720"/>
      <c r="F556" s="1720"/>
      <c r="G556" s="1716"/>
      <c r="H556" s="1715"/>
      <c r="I556" s="1715"/>
      <c r="J556" s="1717"/>
      <c r="K556" s="1717"/>
      <c r="L556" s="1717"/>
      <c r="M556" s="1717"/>
      <c r="N556" s="1718"/>
    </row>
    <row r="557">
      <c r="A557" s="1721"/>
      <c r="C557" s="1026"/>
      <c r="D557" s="1714"/>
      <c r="E557" s="1720"/>
      <c r="F557" s="1720"/>
      <c r="G557" s="1716"/>
      <c r="H557" s="1715"/>
      <c r="I557" s="1715"/>
      <c r="J557" s="1717"/>
      <c r="K557" s="1717"/>
      <c r="L557" s="1717"/>
      <c r="M557" s="1717"/>
      <c r="N557" s="1718"/>
    </row>
    <row r="558">
      <c r="A558" s="1721"/>
      <c r="C558" s="1026"/>
      <c r="D558" s="1714"/>
      <c r="E558" s="1720"/>
      <c r="F558" s="1720"/>
      <c r="G558" s="1716"/>
      <c r="H558" s="1715"/>
      <c r="I558" s="1715"/>
      <c r="J558" s="1717"/>
      <c r="K558" s="1717"/>
      <c r="L558" s="1717"/>
      <c r="M558" s="1717"/>
      <c r="N558" s="1718"/>
    </row>
    <row r="559">
      <c r="A559" s="1721"/>
      <c r="C559" s="1026"/>
      <c r="D559" s="1714"/>
      <c r="E559" s="1720"/>
      <c r="F559" s="1720"/>
      <c r="G559" s="1716"/>
      <c r="H559" s="1715"/>
      <c r="I559" s="1715"/>
      <c r="J559" s="1717"/>
      <c r="K559" s="1717"/>
      <c r="L559" s="1717"/>
      <c r="M559" s="1717"/>
      <c r="N559" s="1718"/>
    </row>
    <row r="560">
      <c r="A560" s="1721"/>
      <c r="C560" s="1026"/>
      <c r="D560" s="1714"/>
      <c r="E560" s="1720"/>
      <c r="F560" s="1720"/>
      <c r="G560" s="1716"/>
      <c r="H560" s="1715"/>
      <c r="I560" s="1715"/>
      <c r="J560" s="1717"/>
      <c r="K560" s="1717"/>
      <c r="L560" s="1717"/>
      <c r="M560" s="1717"/>
      <c r="N560" s="1718"/>
    </row>
    <row r="561">
      <c r="A561" s="1721"/>
      <c r="C561" s="1026"/>
      <c r="D561" s="1714"/>
      <c r="E561" s="1720"/>
      <c r="F561" s="1720"/>
      <c r="G561" s="1716"/>
      <c r="H561" s="1715"/>
      <c r="I561" s="1715"/>
      <c r="J561" s="1717"/>
      <c r="K561" s="1717"/>
      <c r="L561" s="1717"/>
      <c r="M561" s="1717"/>
      <c r="N561" s="1718"/>
    </row>
    <row r="562">
      <c r="A562" s="1721"/>
      <c r="C562" s="1026"/>
      <c r="D562" s="1714"/>
      <c r="E562" s="1720"/>
      <c r="F562" s="1720"/>
      <c r="G562" s="1716"/>
      <c r="H562" s="1715"/>
      <c r="I562" s="1715"/>
      <c r="J562" s="1717"/>
      <c r="K562" s="1717"/>
      <c r="L562" s="1717"/>
      <c r="M562" s="1717"/>
      <c r="N562" s="1718"/>
    </row>
    <row r="563">
      <c r="A563" s="1721"/>
      <c r="C563" s="1026"/>
      <c r="D563" s="1714"/>
      <c r="E563" s="1720"/>
      <c r="F563" s="1720"/>
      <c r="G563" s="1716"/>
      <c r="H563" s="1715"/>
      <c r="I563" s="1715"/>
      <c r="J563" s="1717"/>
      <c r="K563" s="1717"/>
      <c r="L563" s="1717"/>
      <c r="M563" s="1717"/>
      <c r="N563" s="1718"/>
    </row>
    <row r="564">
      <c r="A564" s="1721"/>
      <c r="C564" s="1026"/>
      <c r="D564" s="1714"/>
      <c r="E564" s="1720"/>
      <c r="F564" s="1720"/>
      <c r="G564" s="1716"/>
      <c r="H564" s="1715"/>
      <c r="I564" s="1715"/>
      <c r="J564" s="1717"/>
      <c r="K564" s="1717"/>
      <c r="L564" s="1717"/>
      <c r="M564" s="1717"/>
      <c r="N564" s="1718"/>
    </row>
    <row r="565">
      <c r="A565" s="1721"/>
      <c r="C565" s="1026"/>
      <c r="D565" s="1714"/>
      <c r="E565" s="1720"/>
      <c r="F565" s="1720"/>
      <c r="G565" s="1716"/>
      <c r="H565" s="1715"/>
      <c r="I565" s="1715"/>
      <c r="J565" s="1717"/>
      <c r="K565" s="1717"/>
      <c r="L565" s="1717"/>
      <c r="M565" s="1717"/>
      <c r="N565" s="1718"/>
    </row>
    <row r="566">
      <c r="A566" s="1721"/>
      <c r="C566" s="1026"/>
      <c r="D566" s="1714"/>
      <c r="E566" s="1720"/>
      <c r="F566" s="1720"/>
      <c r="G566" s="1716"/>
      <c r="H566" s="1715"/>
      <c r="I566" s="1715"/>
      <c r="J566" s="1717"/>
      <c r="K566" s="1717"/>
      <c r="L566" s="1717"/>
      <c r="M566" s="1717"/>
      <c r="N566" s="1718"/>
    </row>
    <row r="567">
      <c r="A567" s="1721"/>
      <c r="C567" s="1026"/>
      <c r="D567" s="1714"/>
      <c r="E567" s="1720"/>
      <c r="F567" s="1720"/>
      <c r="G567" s="1716"/>
      <c r="H567" s="1715"/>
      <c r="I567" s="1715"/>
      <c r="J567" s="1717"/>
      <c r="K567" s="1717"/>
      <c r="L567" s="1717"/>
      <c r="M567" s="1717"/>
      <c r="N567" s="1718"/>
    </row>
    <row r="568">
      <c r="A568" s="1721"/>
      <c r="C568" s="1026"/>
      <c r="D568" s="1714"/>
      <c r="E568" s="1720"/>
      <c r="F568" s="1720"/>
      <c r="G568" s="1716"/>
      <c r="H568" s="1715"/>
      <c r="I568" s="1715"/>
      <c r="J568" s="1717"/>
      <c r="K568" s="1717"/>
      <c r="L568" s="1717"/>
      <c r="M568" s="1717"/>
      <c r="N568" s="1718"/>
    </row>
    <row r="569">
      <c r="A569" s="1721"/>
      <c r="C569" s="1026"/>
      <c r="D569" s="1714"/>
      <c r="E569" s="1720"/>
      <c r="F569" s="1720"/>
      <c r="G569" s="1716"/>
      <c r="H569" s="1715"/>
      <c r="I569" s="1715"/>
      <c r="J569" s="1717"/>
      <c r="K569" s="1717"/>
      <c r="L569" s="1717"/>
      <c r="M569" s="1717"/>
      <c r="N569" s="1718"/>
    </row>
    <row r="570">
      <c r="A570" s="1721"/>
      <c r="C570" s="1026"/>
      <c r="D570" s="1714"/>
      <c r="E570" s="1720"/>
      <c r="F570" s="1720"/>
      <c r="G570" s="1716"/>
      <c r="H570" s="1715"/>
      <c r="I570" s="1715"/>
      <c r="J570" s="1717"/>
      <c r="K570" s="1717"/>
      <c r="L570" s="1717"/>
      <c r="M570" s="1717"/>
      <c r="N570" s="1718"/>
    </row>
    <row r="571">
      <c r="A571" s="1721"/>
      <c r="C571" s="1026"/>
      <c r="D571" s="1714"/>
      <c r="E571" s="1720"/>
      <c r="F571" s="1720"/>
      <c r="G571" s="1716"/>
      <c r="H571" s="1715"/>
      <c r="I571" s="1715"/>
      <c r="J571" s="1717"/>
      <c r="K571" s="1717"/>
      <c r="L571" s="1717"/>
      <c r="M571" s="1717"/>
      <c r="N571" s="1718"/>
    </row>
    <row r="572">
      <c r="A572" s="1721"/>
      <c r="C572" s="1026"/>
      <c r="D572" s="1714"/>
      <c r="E572" s="1720"/>
      <c r="F572" s="1720"/>
      <c r="G572" s="1716"/>
      <c r="H572" s="1715"/>
      <c r="I572" s="1715"/>
      <c r="J572" s="1717"/>
      <c r="K572" s="1717"/>
      <c r="L572" s="1717"/>
      <c r="M572" s="1717"/>
      <c r="N572" s="1718"/>
    </row>
    <row r="573">
      <c r="A573" s="1721"/>
      <c r="C573" s="1026"/>
      <c r="D573" s="1714"/>
      <c r="E573" s="1720"/>
      <c r="F573" s="1720"/>
      <c r="G573" s="1716"/>
      <c r="H573" s="1715"/>
      <c r="I573" s="1715"/>
      <c r="J573" s="1717"/>
      <c r="K573" s="1717"/>
      <c r="L573" s="1717"/>
      <c r="M573" s="1717"/>
      <c r="N573" s="1718"/>
    </row>
    <row r="574">
      <c r="A574" s="1721"/>
      <c r="C574" s="1026"/>
      <c r="D574" s="1714"/>
      <c r="E574" s="1720"/>
      <c r="F574" s="1720"/>
      <c r="G574" s="1716"/>
      <c r="H574" s="1715"/>
      <c r="I574" s="1715"/>
      <c r="J574" s="1717"/>
      <c r="K574" s="1717"/>
      <c r="L574" s="1717"/>
      <c r="M574" s="1717"/>
      <c r="N574" s="1718"/>
    </row>
    <row r="575">
      <c r="A575" s="1721"/>
      <c r="C575" s="1026"/>
      <c r="D575" s="1714"/>
      <c r="E575" s="1720"/>
      <c r="F575" s="1720"/>
      <c r="G575" s="1716"/>
      <c r="H575" s="1715"/>
      <c r="I575" s="1715"/>
      <c r="J575" s="1717"/>
      <c r="K575" s="1717"/>
      <c r="L575" s="1717"/>
      <c r="M575" s="1717"/>
      <c r="N575" s="1718"/>
    </row>
    <row r="576">
      <c r="A576" s="1721"/>
      <c r="C576" s="1026"/>
      <c r="D576" s="1714"/>
      <c r="E576" s="1720"/>
      <c r="F576" s="1720"/>
      <c r="G576" s="1716"/>
      <c r="H576" s="1715"/>
      <c r="I576" s="1715"/>
      <c r="J576" s="1717"/>
      <c r="K576" s="1717"/>
      <c r="L576" s="1717"/>
      <c r="M576" s="1717"/>
      <c r="N576" s="1718"/>
    </row>
    <row r="577">
      <c r="A577" s="1721"/>
      <c r="C577" s="1026"/>
      <c r="D577" s="1714"/>
      <c r="E577" s="1720"/>
      <c r="F577" s="1720"/>
      <c r="G577" s="1716"/>
      <c r="H577" s="1715"/>
      <c r="I577" s="1715"/>
      <c r="J577" s="1717"/>
      <c r="K577" s="1717"/>
      <c r="L577" s="1717"/>
      <c r="M577" s="1717"/>
      <c r="N577" s="1718"/>
    </row>
    <row r="578">
      <c r="A578" s="1721"/>
      <c r="C578" s="1026"/>
      <c r="D578" s="1714"/>
      <c r="E578" s="1720"/>
      <c r="F578" s="1720"/>
      <c r="G578" s="1716"/>
      <c r="H578" s="1715"/>
      <c r="I578" s="1715"/>
      <c r="J578" s="1717"/>
      <c r="K578" s="1717"/>
      <c r="L578" s="1717"/>
      <c r="M578" s="1717"/>
      <c r="N578" s="1718"/>
    </row>
    <row r="579">
      <c r="A579" s="1721"/>
      <c r="C579" s="1026"/>
      <c r="D579" s="1714"/>
      <c r="E579" s="1720"/>
      <c r="F579" s="1720"/>
      <c r="G579" s="1716"/>
      <c r="H579" s="1715"/>
      <c r="I579" s="1715"/>
      <c r="J579" s="1717"/>
      <c r="K579" s="1717"/>
      <c r="L579" s="1717"/>
      <c r="M579" s="1717"/>
      <c r="N579" s="1718"/>
    </row>
    <row r="580">
      <c r="A580" s="1721"/>
      <c r="C580" s="1026"/>
      <c r="D580" s="1714"/>
      <c r="E580" s="1720"/>
      <c r="F580" s="1720"/>
      <c r="G580" s="1716"/>
      <c r="H580" s="1715"/>
      <c r="I580" s="1715"/>
      <c r="J580" s="1717"/>
      <c r="K580" s="1717"/>
      <c r="L580" s="1717"/>
      <c r="M580" s="1717"/>
      <c r="N580" s="1718"/>
    </row>
    <row r="581">
      <c r="A581" s="1721"/>
      <c r="C581" s="1026"/>
      <c r="D581" s="1714"/>
      <c r="E581" s="1720"/>
      <c r="F581" s="1720"/>
      <c r="G581" s="1716"/>
      <c r="H581" s="1715"/>
      <c r="I581" s="1715"/>
      <c r="J581" s="1717"/>
      <c r="K581" s="1717"/>
      <c r="L581" s="1717"/>
      <c r="M581" s="1717"/>
      <c r="N581" s="1718"/>
    </row>
    <row r="582">
      <c r="A582" s="1721"/>
      <c r="C582" s="1026"/>
      <c r="D582" s="1714"/>
      <c r="E582" s="1720"/>
      <c r="F582" s="1720"/>
      <c r="G582" s="1716"/>
      <c r="H582" s="1715"/>
      <c r="I582" s="1715"/>
      <c r="J582" s="1717"/>
      <c r="K582" s="1717"/>
      <c r="L582" s="1717"/>
      <c r="M582" s="1717"/>
      <c r="N582" s="1718"/>
    </row>
    <row r="583">
      <c r="A583" s="1721"/>
      <c r="C583" s="1026"/>
      <c r="D583" s="1714"/>
      <c r="E583" s="1720"/>
      <c r="F583" s="1720"/>
      <c r="G583" s="1716"/>
      <c r="H583" s="1715"/>
      <c r="I583" s="1715"/>
      <c r="J583" s="1717"/>
      <c r="K583" s="1717"/>
      <c r="L583" s="1717"/>
      <c r="M583" s="1717"/>
      <c r="N583" s="1718"/>
    </row>
    <row r="584">
      <c r="A584" s="1721"/>
      <c r="C584" s="1026"/>
      <c r="D584" s="1714"/>
      <c r="E584" s="1720"/>
      <c r="F584" s="1720"/>
      <c r="G584" s="1716"/>
      <c r="H584" s="1715"/>
      <c r="I584" s="1715"/>
      <c r="J584" s="1717"/>
      <c r="K584" s="1717"/>
      <c r="L584" s="1717"/>
      <c r="M584" s="1717"/>
      <c r="N584" s="1718"/>
    </row>
    <row r="585">
      <c r="A585" s="1721"/>
      <c r="C585" s="1026"/>
      <c r="D585" s="1714"/>
      <c r="E585" s="1720"/>
      <c r="F585" s="1720"/>
      <c r="G585" s="1716"/>
      <c r="H585" s="1715"/>
      <c r="I585" s="1715"/>
      <c r="J585" s="1717"/>
      <c r="K585" s="1717"/>
      <c r="L585" s="1717"/>
      <c r="M585" s="1717"/>
      <c r="N585" s="1718"/>
    </row>
    <row r="586">
      <c r="A586" s="1721"/>
      <c r="C586" s="1026"/>
      <c r="D586" s="1714"/>
      <c r="E586" s="1720"/>
      <c r="F586" s="1720"/>
      <c r="G586" s="1716"/>
      <c r="H586" s="1715"/>
      <c r="I586" s="1715"/>
      <c r="J586" s="1717"/>
      <c r="K586" s="1717"/>
      <c r="L586" s="1717"/>
      <c r="M586" s="1717"/>
      <c r="N586" s="1718"/>
    </row>
    <row r="587">
      <c r="A587" s="1721"/>
      <c r="C587" s="1026"/>
      <c r="D587" s="1714"/>
      <c r="E587" s="1720"/>
      <c r="F587" s="1720"/>
      <c r="G587" s="1716"/>
      <c r="H587" s="1715"/>
      <c r="I587" s="1715"/>
      <c r="J587" s="1717"/>
      <c r="K587" s="1717"/>
      <c r="L587" s="1717"/>
      <c r="M587" s="1717"/>
      <c r="N587" s="1718"/>
    </row>
    <row r="588">
      <c r="A588" s="1721"/>
      <c r="C588" s="1026"/>
      <c r="D588" s="1714"/>
      <c r="E588" s="1720"/>
      <c r="F588" s="1720"/>
      <c r="G588" s="1716"/>
      <c r="H588" s="1715"/>
      <c r="I588" s="1715"/>
      <c r="J588" s="1717"/>
      <c r="K588" s="1717"/>
      <c r="L588" s="1717"/>
      <c r="M588" s="1717"/>
      <c r="N588" s="1718"/>
    </row>
    <row r="589">
      <c r="A589" s="1721"/>
      <c r="C589" s="1026"/>
      <c r="D589" s="1714"/>
      <c r="E589" s="1720"/>
      <c r="F589" s="1720"/>
      <c r="G589" s="1716"/>
      <c r="H589" s="1715"/>
      <c r="I589" s="1715"/>
      <c r="J589" s="1717"/>
      <c r="K589" s="1717"/>
      <c r="L589" s="1717"/>
      <c r="M589" s="1717"/>
      <c r="N589" s="1718"/>
    </row>
    <row r="590">
      <c r="A590" s="1721"/>
      <c r="C590" s="1026"/>
      <c r="D590" s="1714"/>
      <c r="E590" s="1720"/>
      <c r="F590" s="1720"/>
      <c r="G590" s="1716"/>
      <c r="H590" s="1715"/>
      <c r="I590" s="1715"/>
      <c r="J590" s="1717"/>
      <c r="K590" s="1717"/>
      <c r="L590" s="1717"/>
      <c r="M590" s="1717"/>
      <c r="N590" s="1718"/>
    </row>
    <row r="591">
      <c r="A591" s="1721"/>
      <c r="C591" s="1026"/>
      <c r="D591" s="1714"/>
      <c r="E591" s="1720"/>
      <c r="F591" s="1720"/>
      <c r="G591" s="1716"/>
      <c r="H591" s="1715"/>
      <c r="I591" s="1715"/>
      <c r="J591" s="1717"/>
      <c r="K591" s="1717"/>
      <c r="L591" s="1717"/>
      <c r="M591" s="1717"/>
      <c r="N591" s="1718"/>
    </row>
    <row r="592">
      <c r="A592" s="1721"/>
      <c r="C592" s="1026"/>
      <c r="D592" s="1714"/>
      <c r="E592" s="1720"/>
      <c r="F592" s="1720"/>
      <c r="G592" s="1716"/>
      <c r="H592" s="1715"/>
      <c r="I592" s="1715"/>
      <c r="J592" s="1717"/>
      <c r="K592" s="1717"/>
      <c r="L592" s="1717"/>
      <c r="M592" s="1717"/>
      <c r="N592" s="1718"/>
    </row>
    <row r="593">
      <c r="A593" s="1721"/>
      <c r="C593" s="1026"/>
      <c r="D593" s="1714"/>
      <c r="E593" s="1720"/>
      <c r="F593" s="1720"/>
      <c r="G593" s="1716"/>
      <c r="H593" s="1715"/>
      <c r="I593" s="1715"/>
      <c r="J593" s="1717"/>
      <c r="K593" s="1717"/>
      <c r="L593" s="1717"/>
      <c r="M593" s="1717"/>
      <c r="N593" s="1718"/>
    </row>
    <row r="594">
      <c r="A594" s="1721"/>
      <c r="C594" s="1026"/>
      <c r="D594" s="1714"/>
      <c r="E594" s="1720"/>
      <c r="F594" s="1720"/>
      <c r="G594" s="1716"/>
      <c r="H594" s="1715"/>
      <c r="I594" s="1715"/>
      <c r="J594" s="1717"/>
      <c r="K594" s="1717"/>
      <c r="L594" s="1717"/>
      <c r="M594" s="1717"/>
      <c r="N594" s="1718"/>
    </row>
    <row r="595">
      <c r="A595" s="1721"/>
      <c r="C595" s="1026"/>
      <c r="D595" s="1714"/>
      <c r="E595" s="1720"/>
      <c r="F595" s="1720"/>
      <c r="G595" s="1716"/>
      <c r="H595" s="1715"/>
      <c r="I595" s="1715"/>
      <c r="J595" s="1717"/>
      <c r="K595" s="1717"/>
      <c r="L595" s="1717"/>
      <c r="M595" s="1717"/>
      <c r="N595" s="1718"/>
    </row>
    <row r="596">
      <c r="A596" s="1721"/>
      <c r="C596" s="1026"/>
      <c r="D596" s="1714"/>
      <c r="E596" s="1720"/>
      <c r="F596" s="1720"/>
      <c r="G596" s="1716"/>
      <c r="H596" s="1715"/>
      <c r="I596" s="1715"/>
      <c r="J596" s="1717"/>
      <c r="K596" s="1717"/>
      <c r="L596" s="1717"/>
      <c r="M596" s="1717"/>
      <c r="N596" s="1718"/>
    </row>
    <row r="597">
      <c r="A597" s="1721"/>
      <c r="C597" s="1026"/>
      <c r="D597" s="1714"/>
      <c r="E597" s="1720"/>
      <c r="F597" s="1720"/>
      <c r="G597" s="1716"/>
      <c r="H597" s="1715"/>
      <c r="I597" s="1715"/>
      <c r="J597" s="1717"/>
      <c r="K597" s="1717"/>
      <c r="L597" s="1717"/>
      <c r="M597" s="1717"/>
      <c r="N597" s="1718"/>
    </row>
    <row r="598">
      <c r="A598" s="1721"/>
      <c r="C598" s="1026"/>
      <c r="D598" s="1714"/>
      <c r="E598" s="1720"/>
      <c r="F598" s="1720"/>
      <c r="G598" s="1716"/>
      <c r="H598" s="1715"/>
      <c r="I598" s="1715"/>
      <c r="J598" s="1717"/>
      <c r="K598" s="1717"/>
      <c r="L598" s="1717"/>
      <c r="M598" s="1717"/>
      <c r="N598" s="1718"/>
    </row>
    <row r="599">
      <c r="A599" s="1721"/>
      <c r="C599" s="1026"/>
      <c r="D599" s="1714"/>
      <c r="E599" s="1720"/>
      <c r="F599" s="1720"/>
      <c r="G599" s="1716"/>
      <c r="H599" s="1715"/>
      <c r="I599" s="1715"/>
      <c r="J599" s="1717"/>
      <c r="K599" s="1717"/>
      <c r="L599" s="1717"/>
      <c r="M599" s="1717"/>
      <c r="N599" s="1718"/>
    </row>
    <row r="600">
      <c r="A600" s="1721"/>
      <c r="C600" s="1026"/>
      <c r="D600" s="1714"/>
      <c r="E600" s="1720"/>
      <c r="F600" s="1720"/>
      <c r="G600" s="1716"/>
      <c r="H600" s="1715"/>
      <c r="I600" s="1715"/>
      <c r="J600" s="1717"/>
      <c r="K600" s="1717"/>
      <c r="L600" s="1717"/>
      <c r="M600" s="1717"/>
      <c r="N600" s="1718"/>
    </row>
    <row r="601">
      <c r="A601" s="1721"/>
      <c r="C601" s="1026"/>
      <c r="D601" s="1714"/>
      <c r="E601" s="1720"/>
      <c r="F601" s="1720"/>
      <c r="G601" s="1716"/>
      <c r="H601" s="1715"/>
      <c r="I601" s="1715"/>
      <c r="J601" s="1717"/>
      <c r="K601" s="1717"/>
      <c r="L601" s="1717"/>
      <c r="M601" s="1717"/>
      <c r="N601" s="1718"/>
    </row>
    <row r="602">
      <c r="A602" s="1721"/>
      <c r="C602" s="1026"/>
      <c r="D602" s="1714"/>
      <c r="E602" s="1720"/>
      <c r="F602" s="1720"/>
      <c r="G602" s="1716"/>
      <c r="H602" s="1715"/>
      <c r="I602" s="1715"/>
      <c r="J602" s="1717"/>
      <c r="K602" s="1717"/>
      <c r="L602" s="1717"/>
      <c r="M602" s="1717"/>
      <c r="N602" s="1718"/>
    </row>
    <row r="603">
      <c r="A603" s="1721"/>
      <c r="C603" s="1026"/>
      <c r="D603" s="1714"/>
      <c r="E603" s="1720"/>
      <c r="F603" s="1720"/>
      <c r="G603" s="1716"/>
      <c r="H603" s="1715"/>
      <c r="I603" s="1715"/>
      <c r="J603" s="1717"/>
      <c r="K603" s="1717"/>
      <c r="L603" s="1717"/>
      <c r="M603" s="1717"/>
      <c r="N603" s="1718"/>
    </row>
    <row r="604">
      <c r="A604" s="1721"/>
      <c r="C604" s="1026"/>
      <c r="D604" s="1714"/>
      <c r="E604" s="1720"/>
      <c r="F604" s="1720"/>
      <c r="G604" s="1716"/>
      <c r="H604" s="1715"/>
      <c r="I604" s="1715"/>
      <c r="J604" s="1717"/>
      <c r="K604" s="1717"/>
      <c r="L604" s="1717"/>
      <c r="M604" s="1717"/>
      <c r="N604" s="1718"/>
    </row>
    <row r="605">
      <c r="A605" s="1721"/>
      <c r="C605" s="1026"/>
      <c r="D605" s="1714"/>
      <c r="E605" s="1720"/>
      <c r="F605" s="1720"/>
      <c r="G605" s="1716"/>
      <c r="H605" s="1715"/>
      <c r="I605" s="1715"/>
      <c r="J605" s="1717"/>
      <c r="K605" s="1717"/>
      <c r="L605" s="1717"/>
      <c r="M605" s="1717"/>
      <c r="N605" s="1718"/>
    </row>
    <row r="606">
      <c r="A606" s="1721"/>
      <c r="C606" s="1026"/>
      <c r="D606" s="1714"/>
      <c r="E606" s="1720"/>
      <c r="F606" s="1720"/>
      <c r="G606" s="1716"/>
      <c r="H606" s="1715"/>
      <c r="I606" s="1715"/>
      <c r="J606" s="1717"/>
      <c r="K606" s="1717"/>
      <c r="L606" s="1717"/>
      <c r="M606" s="1717"/>
      <c r="N606" s="1718"/>
    </row>
    <row r="607">
      <c r="A607" s="1721"/>
      <c r="C607" s="1026"/>
      <c r="D607" s="1714"/>
      <c r="E607" s="1720"/>
      <c r="F607" s="1720"/>
      <c r="G607" s="1716"/>
      <c r="H607" s="1715"/>
      <c r="I607" s="1715"/>
      <c r="J607" s="1717"/>
      <c r="K607" s="1717"/>
      <c r="L607" s="1717"/>
      <c r="M607" s="1717"/>
      <c r="N607" s="1718"/>
    </row>
    <row r="608">
      <c r="A608" s="1721"/>
      <c r="C608" s="1026"/>
      <c r="D608" s="1714"/>
      <c r="E608" s="1720"/>
      <c r="F608" s="1720"/>
      <c r="G608" s="1716"/>
      <c r="H608" s="1715"/>
      <c r="I608" s="1715"/>
      <c r="J608" s="1717"/>
      <c r="K608" s="1717"/>
      <c r="L608" s="1717"/>
      <c r="M608" s="1717"/>
      <c r="N608" s="1718"/>
    </row>
    <row r="609">
      <c r="A609" s="1721"/>
      <c r="C609" s="1026"/>
      <c r="D609" s="1714"/>
      <c r="E609" s="1720"/>
      <c r="F609" s="1720"/>
      <c r="G609" s="1716"/>
      <c r="H609" s="1715"/>
      <c r="I609" s="1715"/>
      <c r="J609" s="1717"/>
      <c r="K609" s="1717"/>
      <c r="L609" s="1717"/>
      <c r="M609" s="1717"/>
      <c r="N609" s="1718"/>
    </row>
    <row r="610">
      <c r="A610" s="1721"/>
      <c r="C610" s="1026"/>
      <c r="D610" s="1714"/>
      <c r="E610" s="1720"/>
      <c r="F610" s="1720"/>
      <c r="G610" s="1716"/>
      <c r="H610" s="1715"/>
      <c r="I610" s="1715"/>
      <c r="J610" s="1717"/>
      <c r="K610" s="1717"/>
      <c r="L610" s="1717"/>
      <c r="M610" s="1717"/>
      <c r="N610" s="1718"/>
    </row>
    <row r="611">
      <c r="A611" s="1721"/>
      <c r="C611" s="1026"/>
      <c r="D611" s="1714"/>
      <c r="E611" s="1720"/>
      <c r="F611" s="1720"/>
      <c r="G611" s="1716"/>
      <c r="H611" s="1715"/>
      <c r="I611" s="1715"/>
      <c r="J611" s="1717"/>
      <c r="K611" s="1717"/>
      <c r="L611" s="1717"/>
      <c r="M611" s="1717"/>
      <c r="N611" s="1718"/>
    </row>
    <row r="612">
      <c r="A612" s="1721"/>
      <c r="C612" s="1026"/>
      <c r="D612" s="1714"/>
      <c r="E612" s="1720"/>
      <c r="F612" s="1720"/>
      <c r="G612" s="1716"/>
      <c r="H612" s="1715"/>
      <c r="I612" s="1715"/>
      <c r="J612" s="1717"/>
      <c r="K612" s="1717"/>
      <c r="L612" s="1717"/>
      <c r="M612" s="1717"/>
      <c r="N612" s="1718"/>
    </row>
    <row r="613">
      <c r="A613" s="1721"/>
      <c r="C613" s="1026"/>
      <c r="D613" s="1714"/>
      <c r="E613" s="1720"/>
      <c r="F613" s="1720"/>
      <c r="G613" s="1716"/>
      <c r="H613" s="1715"/>
      <c r="I613" s="1715"/>
      <c r="J613" s="1717"/>
      <c r="K613" s="1717"/>
      <c r="L613" s="1717"/>
      <c r="M613" s="1717"/>
      <c r="N613" s="1718"/>
    </row>
    <row r="614">
      <c r="A614" s="1721"/>
      <c r="C614" s="1026"/>
      <c r="D614" s="1714"/>
      <c r="E614" s="1720"/>
      <c r="F614" s="1720"/>
      <c r="G614" s="1716"/>
      <c r="H614" s="1715"/>
      <c r="I614" s="1715"/>
      <c r="J614" s="1717"/>
      <c r="K614" s="1717"/>
      <c r="L614" s="1717"/>
      <c r="M614" s="1717"/>
      <c r="N614" s="1718"/>
    </row>
    <row r="615">
      <c r="A615" s="1721"/>
      <c r="C615" s="1026"/>
      <c r="D615" s="1714"/>
      <c r="E615" s="1720"/>
      <c r="F615" s="1720"/>
      <c r="G615" s="1716"/>
      <c r="H615" s="1715"/>
      <c r="I615" s="1715"/>
      <c r="J615" s="1717"/>
      <c r="K615" s="1717"/>
      <c r="L615" s="1717"/>
      <c r="M615" s="1717"/>
      <c r="N615" s="1718"/>
    </row>
    <row r="616">
      <c r="A616" s="1721"/>
      <c r="C616" s="1026"/>
      <c r="D616" s="1714"/>
      <c r="E616" s="1720"/>
      <c r="F616" s="1720"/>
      <c r="G616" s="1716"/>
      <c r="H616" s="1715"/>
      <c r="I616" s="1715"/>
      <c r="J616" s="1717"/>
      <c r="K616" s="1717"/>
      <c r="L616" s="1717"/>
      <c r="M616" s="1717"/>
      <c r="N616" s="1718"/>
    </row>
    <row r="617">
      <c r="A617" s="1721"/>
      <c r="C617" s="1026"/>
      <c r="D617" s="1714"/>
      <c r="E617" s="1720"/>
      <c r="F617" s="1720"/>
      <c r="G617" s="1716"/>
      <c r="H617" s="1715"/>
      <c r="I617" s="1715"/>
      <c r="J617" s="1717"/>
      <c r="K617" s="1717"/>
      <c r="L617" s="1717"/>
      <c r="M617" s="1717"/>
      <c r="N617" s="1718"/>
    </row>
    <row r="618">
      <c r="A618" s="1721"/>
      <c r="C618" s="1026"/>
      <c r="D618" s="1714"/>
      <c r="E618" s="1720"/>
      <c r="F618" s="1720"/>
      <c r="G618" s="1716"/>
      <c r="H618" s="1715"/>
      <c r="I618" s="1715"/>
      <c r="J618" s="1717"/>
      <c r="K618" s="1717"/>
      <c r="L618" s="1717"/>
      <c r="M618" s="1717"/>
      <c r="N618" s="1718"/>
    </row>
    <row r="619">
      <c r="A619" s="1721"/>
      <c r="C619" s="1026"/>
      <c r="D619" s="1714"/>
      <c r="E619" s="1720"/>
      <c r="F619" s="1720"/>
      <c r="G619" s="1716"/>
      <c r="H619" s="1715"/>
      <c r="I619" s="1715"/>
      <c r="J619" s="1717"/>
      <c r="K619" s="1717"/>
      <c r="L619" s="1717"/>
      <c r="M619" s="1717"/>
      <c r="N619" s="1718"/>
    </row>
    <row r="620">
      <c r="A620" s="1721"/>
      <c r="C620" s="1026"/>
      <c r="D620" s="1714"/>
      <c r="E620" s="1720"/>
      <c r="F620" s="1720"/>
      <c r="G620" s="1716"/>
      <c r="H620" s="1715"/>
      <c r="I620" s="1715"/>
      <c r="J620" s="1717"/>
      <c r="K620" s="1717"/>
      <c r="L620" s="1717"/>
      <c r="M620" s="1717"/>
      <c r="N620" s="1718"/>
    </row>
    <row r="621">
      <c r="A621" s="1721"/>
      <c r="C621" s="1026"/>
      <c r="D621" s="1714"/>
      <c r="E621" s="1720"/>
      <c r="F621" s="1720"/>
      <c r="G621" s="1716"/>
      <c r="H621" s="1715"/>
      <c r="I621" s="1715"/>
      <c r="J621" s="1717"/>
      <c r="K621" s="1717"/>
      <c r="L621" s="1717"/>
      <c r="M621" s="1717"/>
      <c r="N621" s="1718"/>
    </row>
    <row r="622">
      <c r="A622" s="1721"/>
      <c r="C622" s="1026"/>
      <c r="D622" s="1714"/>
      <c r="E622" s="1720"/>
      <c r="F622" s="1720"/>
      <c r="G622" s="1716"/>
      <c r="H622" s="1715"/>
      <c r="I622" s="1715"/>
      <c r="J622" s="1717"/>
      <c r="K622" s="1717"/>
      <c r="L622" s="1717"/>
      <c r="M622" s="1717"/>
      <c r="N622" s="1718"/>
    </row>
    <row r="623">
      <c r="A623" s="1721"/>
      <c r="C623" s="1026"/>
      <c r="D623" s="1714"/>
      <c r="E623" s="1720"/>
      <c r="F623" s="1720"/>
      <c r="G623" s="1716"/>
      <c r="H623" s="1715"/>
      <c r="I623" s="1715"/>
      <c r="J623" s="1717"/>
      <c r="K623" s="1717"/>
      <c r="L623" s="1717"/>
      <c r="M623" s="1717"/>
      <c r="N623" s="1718"/>
    </row>
    <row r="624">
      <c r="A624" s="1721"/>
      <c r="C624" s="1026"/>
      <c r="D624" s="1714"/>
      <c r="E624" s="1720"/>
      <c r="F624" s="1720"/>
      <c r="G624" s="1716"/>
      <c r="H624" s="1715"/>
      <c r="I624" s="1715"/>
      <c r="J624" s="1717"/>
      <c r="K624" s="1717"/>
      <c r="L624" s="1717"/>
      <c r="M624" s="1717"/>
      <c r="N624" s="1718"/>
    </row>
    <row r="625">
      <c r="A625" s="1721"/>
      <c r="C625" s="1026"/>
      <c r="D625" s="1714"/>
      <c r="E625" s="1720"/>
      <c r="F625" s="1720"/>
      <c r="G625" s="1716"/>
      <c r="H625" s="1715"/>
      <c r="I625" s="1715"/>
      <c r="J625" s="1717"/>
      <c r="K625" s="1717"/>
      <c r="L625" s="1717"/>
      <c r="M625" s="1717"/>
      <c r="N625" s="1718"/>
    </row>
    <row r="626">
      <c r="A626" s="1721"/>
      <c r="C626" s="1026"/>
      <c r="D626" s="1714"/>
      <c r="E626" s="1720"/>
      <c r="F626" s="1720"/>
      <c r="G626" s="1716"/>
      <c r="H626" s="1715"/>
      <c r="I626" s="1715"/>
      <c r="J626" s="1717"/>
      <c r="K626" s="1717"/>
      <c r="L626" s="1717"/>
      <c r="M626" s="1717"/>
      <c r="N626" s="1718"/>
    </row>
    <row r="627">
      <c r="A627" s="1721"/>
      <c r="C627" s="1026"/>
      <c r="D627" s="1714"/>
      <c r="E627" s="1720"/>
      <c r="F627" s="1720"/>
      <c r="G627" s="1716"/>
      <c r="H627" s="1715"/>
      <c r="I627" s="1715"/>
      <c r="J627" s="1717"/>
      <c r="K627" s="1717"/>
      <c r="L627" s="1717"/>
      <c r="M627" s="1717"/>
      <c r="N627" s="1718"/>
    </row>
    <row r="628">
      <c r="A628" s="1721"/>
      <c r="C628" s="1026"/>
      <c r="D628" s="1714"/>
      <c r="E628" s="1720"/>
      <c r="F628" s="1720"/>
      <c r="G628" s="1716"/>
      <c r="H628" s="1715"/>
      <c r="I628" s="1715"/>
      <c r="J628" s="1717"/>
      <c r="K628" s="1717"/>
      <c r="L628" s="1717"/>
      <c r="M628" s="1717"/>
      <c r="N628" s="1718"/>
    </row>
    <row r="629">
      <c r="A629" s="1721"/>
      <c r="C629" s="1026"/>
      <c r="D629" s="1714"/>
      <c r="E629" s="1720"/>
      <c r="F629" s="1720"/>
      <c r="G629" s="1716"/>
      <c r="H629" s="1715"/>
      <c r="I629" s="1715"/>
      <c r="J629" s="1717"/>
      <c r="K629" s="1717"/>
      <c r="L629" s="1717"/>
      <c r="M629" s="1717"/>
      <c r="N629" s="1718"/>
    </row>
    <row r="630">
      <c r="A630" s="1721"/>
      <c r="C630" s="1026"/>
      <c r="D630" s="1714"/>
      <c r="E630" s="1720"/>
      <c r="F630" s="1720"/>
      <c r="G630" s="1716"/>
      <c r="H630" s="1715"/>
      <c r="I630" s="1715"/>
      <c r="J630" s="1717"/>
      <c r="K630" s="1717"/>
      <c r="L630" s="1717"/>
      <c r="M630" s="1717"/>
      <c r="N630" s="1718"/>
    </row>
    <row r="631">
      <c r="A631" s="1721"/>
      <c r="C631" s="1026"/>
      <c r="D631" s="1714"/>
      <c r="E631" s="1720"/>
      <c r="F631" s="1720"/>
      <c r="G631" s="1716"/>
      <c r="H631" s="1715"/>
      <c r="I631" s="1715"/>
      <c r="J631" s="1717"/>
      <c r="K631" s="1717"/>
      <c r="L631" s="1717"/>
      <c r="M631" s="1717"/>
      <c r="N631" s="1718"/>
    </row>
    <row r="632">
      <c r="A632" s="1721"/>
      <c r="C632" s="1026"/>
      <c r="D632" s="1714"/>
      <c r="E632" s="1720"/>
      <c r="F632" s="1720"/>
      <c r="G632" s="1716"/>
      <c r="H632" s="1715"/>
      <c r="I632" s="1715"/>
      <c r="J632" s="1717"/>
      <c r="K632" s="1717"/>
      <c r="L632" s="1717"/>
      <c r="M632" s="1717"/>
      <c r="N632" s="1718"/>
    </row>
    <row r="633">
      <c r="A633" s="1721"/>
      <c r="C633" s="1026"/>
      <c r="D633" s="1714"/>
      <c r="E633" s="1720"/>
      <c r="F633" s="1720"/>
      <c r="G633" s="1716"/>
      <c r="H633" s="1715"/>
      <c r="I633" s="1715"/>
      <c r="J633" s="1717"/>
      <c r="K633" s="1717"/>
      <c r="L633" s="1717"/>
      <c r="M633" s="1717"/>
      <c r="N633" s="1718"/>
    </row>
    <row r="634">
      <c r="A634" s="1721"/>
      <c r="C634" s="1026"/>
      <c r="D634" s="1714"/>
      <c r="E634" s="1720"/>
      <c r="F634" s="1720"/>
      <c r="G634" s="1716"/>
      <c r="H634" s="1715"/>
      <c r="I634" s="1715"/>
      <c r="J634" s="1717"/>
      <c r="K634" s="1717"/>
      <c r="L634" s="1717"/>
      <c r="M634" s="1717"/>
      <c r="N634" s="1718"/>
    </row>
    <row r="635">
      <c r="A635" s="1721"/>
      <c r="C635" s="1026"/>
      <c r="D635" s="1714"/>
      <c r="E635" s="1720"/>
      <c r="F635" s="1720"/>
      <c r="G635" s="1716"/>
      <c r="H635" s="1715"/>
      <c r="I635" s="1715"/>
      <c r="J635" s="1717"/>
      <c r="K635" s="1717"/>
      <c r="L635" s="1717"/>
      <c r="M635" s="1717"/>
      <c r="N635" s="1718"/>
    </row>
    <row r="636">
      <c r="A636" s="1721"/>
      <c r="C636" s="1026"/>
      <c r="D636" s="1714"/>
      <c r="E636" s="1720"/>
      <c r="F636" s="1720"/>
      <c r="G636" s="1716"/>
      <c r="H636" s="1715"/>
      <c r="I636" s="1715"/>
      <c r="J636" s="1717"/>
      <c r="K636" s="1717"/>
      <c r="L636" s="1717"/>
      <c r="M636" s="1717"/>
      <c r="N636" s="1718"/>
    </row>
    <row r="637">
      <c r="A637" s="1721"/>
      <c r="C637" s="1026"/>
      <c r="D637" s="1714"/>
      <c r="E637" s="1720"/>
      <c r="F637" s="1720"/>
      <c r="G637" s="1716"/>
      <c r="H637" s="1715"/>
      <c r="I637" s="1715"/>
      <c r="J637" s="1717"/>
      <c r="K637" s="1717"/>
      <c r="L637" s="1717"/>
      <c r="M637" s="1717"/>
      <c r="N637" s="1718"/>
    </row>
    <row r="638">
      <c r="A638" s="1721"/>
      <c r="C638" s="1026"/>
      <c r="D638" s="1714"/>
      <c r="E638" s="1720"/>
      <c r="F638" s="1720"/>
      <c r="G638" s="1716"/>
      <c r="H638" s="1715"/>
      <c r="I638" s="1715"/>
      <c r="J638" s="1717"/>
      <c r="K638" s="1717"/>
      <c r="L638" s="1717"/>
      <c r="M638" s="1717"/>
      <c r="N638" s="1718"/>
    </row>
    <row r="639">
      <c r="A639" s="1721"/>
      <c r="C639" s="1026"/>
      <c r="D639" s="1714"/>
      <c r="E639" s="1720"/>
      <c r="F639" s="1720"/>
      <c r="G639" s="1716"/>
      <c r="H639" s="1715"/>
      <c r="I639" s="1715"/>
      <c r="J639" s="1717"/>
      <c r="K639" s="1717"/>
      <c r="L639" s="1717"/>
      <c r="M639" s="1717"/>
      <c r="N639" s="1718"/>
    </row>
    <row r="640">
      <c r="A640" s="1721"/>
      <c r="C640" s="1026"/>
      <c r="D640" s="1714"/>
      <c r="E640" s="1720"/>
      <c r="F640" s="1720"/>
      <c r="G640" s="1716"/>
      <c r="H640" s="1715"/>
      <c r="I640" s="1715"/>
      <c r="J640" s="1717"/>
      <c r="K640" s="1717"/>
      <c r="L640" s="1717"/>
      <c r="M640" s="1717"/>
      <c r="N640" s="1718"/>
    </row>
    <row r="641">
      <c r="A641" s="1721"/>
      <c r="C641" s="1026"/>
      <c r="D641" s="1714"/>
      <c r="E641" s="1720"/>
      <c r="F641" s="1720"/>
      <c r="G641" s="1716"/>
      <c r="H641" s="1715"/>
      <c r="I641" s="1715"/>
      <c r="J641" s="1717"/>
      <c r="K641" s="1717"/>
      <c r="L641" s="1717"/>
      <c r="M641" s="1717"/>
      <c r="N641" s="1718"/>
    </row>
    <row r="642">
      <c r="A642" s="1721"/>
      <c r="C642" s="1026"/>
      <c r="D642" s="1714"/>
      <c r="E642" s="1720"/>
      <c r="F642" s="1720"/>
      <c r="G642" s="1716"/>
      <c r="H642" s="1715"/>
      <c r="I642" s="1715"/>
      <c r="J642" s="1717"/>
      <c r="K642" s="1717"/>
      <c r="L642" s="1717"/>
      <c r="M642" s="1717"/>
      <c r="N642" s="1718"/>
    </row>
    <row r="643">
      <c r="A643" s="1721"/>
      <c r="C643" s="1026"/>
      <c r="D643" s="1714"/>
      <c r="E643" s="1720"/>
      <c r="F643" s="1720"/>
      <c r="G643" s="1716"/>
      <c r="H643" s="1715"/>
      <c r="I643" s="1715"/>
      <c r="J643" s="1717"/>
      <c r="K643" s="1717"/>
      <c r="L643" s="1717"/>
      <c r="M643" s="1717"/>
      <c r="N643" s="1718"/>
    </row>
    <row r="644">
      <c r="A644" s="1721"/>
      <c r="C644" s="1026"/>
      <c r="D644" s="1714"/>
      <c r="E644" s="1720"/>
      <c r="F644" s="1720"/>
      <c r="G644" s="1716"/>
      <c r="H644" s="1715"/>
      <c r="I644" s="1715"/>
      <c r="J644" s="1717"/>
      <c r="K644" s="1717"/>
      <c r="L644" s="1717"/>
      <c r="M644" s="1717"/>
      <c r="N644" s="1718"/>
    </row>
    <row r="645">
      <c r="A645" s="1721"/>
      <c r="C645" s="1026"/>
      <c r="D645" s="1714"/>
      <c r="E645" s="1720"/>
      <c r="F645" s="1720"/>
      <c r="G645" s="1716"/>
      <c r="H645" s="1715"/>
      <c r="I645" s="1715"/>
      <c r="J645" s="1717"/>
      <c r="K645" s="1717"/>
      <c r="L645" s="1717"/>
      <c r="M645" s="1717"/>
      <c r="N645" s="1718"/>
    </row>
    <row r="646">
      <c r="A646" s="1721"/>
      <c r="C646" s="1026"/>
      <c r="D646" s="1714"/>
      <c r="E646" s="1720"/>
      <c r="F646" s="1720"/>
      <c r="G646" s="1716"/>
      <c r="H646" s="1715"/>
      <c r="I646" s="1715"/>
      <c r="J646" s="1717"/>
      <c r="K646" s="1717"/>
      <c r="L646" s="1717"/>
      <c r="M646" s="1717"/>
      <c r="N646" s="1718"/>
    </row>
    <row r="647">
      <c r="A647" s="1721"/>
      <c r="C647" s="1026"/>
      <c r="D647" s="1714"/>
      <c r="E647" s="1720"/>
      <c r="F647" s="1720"/>
      <c r="G647" s="1716"/>
      <c r="H647" s="1715"/>
      <c r="I647" s="1715"/>
      <c r="J647" s="1717"/>
      <c r="K647" s="1717"/>
      <c r="L647" s="1717"/>
      <c r="M647" s="1717"/>
      <c r="N647" s="1718"/>
    </row>
    <row r="648">
      <c r="A648" s="1721"/>
      <c r="C648" s="1026"/>
      <c r="D648" s="1714"/>
      <c r="E648" s="1720"/>
      <c r="F648" s="1720"/>
      <c r="G648" s="1716"/>
      <c r="H648" s="1715"/>
      <c r="I648" s="1715"/>
      <c r="J648" s="1717"/>
      <c r="K648" s="1717"/>
      <c r="L648" s="1717"/>
      <c r="M648" s="1717"/>
      <c r="N648" s="1718"/>
    </row>
    <row r="649">
      <c r="A649" s="1721"/>
      <c r="C649" s="1026"/>
      <c r="D649" s="1714"/>
      <c r="E649" s="1720"/>
      <c r="F649" s="1720"/>
      <c r="G649" s="1716"/>
      <c r="H649" s="1715"/>
      <c r="I649" s="1715"/>
      <c r="J649" s="1717"/>
      <c r="K649" s="1717"/>
      <c r="L649" s="1717"/>
      <c r="M649" s="1717"/>
      <c r="N649" s="1718"/>
    </row>
    <row r="650">
      <c r="A650" s="1721"/>
      <c r="C650" s="1026"/>
      <c r="D650" s="1714"/>
      <c r="E650" s="1720"/>
      <c r="F650" s="1720"/>
      <c r="G650" s="1716"/>
      <c r="H650" s="1715"/>
      <c r="I650" s="1715"/>
      <c r="J650" s="1717"/>
      <c r="K650" s="1717"/>
      <c r="L650" s="1717"/>
      <c r="M650" s="1717"/>
      <c r="N650" s="1718"/>
    </row>
    <row r="651">
      <c r="A651" s="1721"/>
      <c r="C651" s="1026"/>
      <c r="D651" s="1714"/>
      <c r="E651" s="1720"/>
      <c r="F651" s="1720"/>
      <c r="G651" s="1716"/>
      <c r="H651" s="1715"/>
      <c r="I651" s="1715"/>
      <c r="J651" s="1717"/>
      <c r="K651" s="1717"/>
      <c r="L651" s="1717"/>
      <c r="M651" s="1717"/>
      <c r="N651" s="1718"/>
    </row>
    <row r="652">
      <c r="A652" s="1721"/>
      <c r="C652" s="1026"/>
      <c r="D652" s="1714"/>
      <c r="E652" s="1720"/>
      <c r="F652" s="1720"/>
      <c r="G652" s="1716"/>
      <c r="H652" s="1715"/>
      <c r="I652" s="1715"/>
      <c r="J652" s="1717"/>
      <c r="K652" s="1717"/>
      <c r="L652" s="1717"/>
      <c r="M652" s="1717"/>
      <c r="N652" s="1718"/>
    </row>
    <row r="653">
      <c r="A653" s="1721"/>
      <c r="C653" s="1026"/>
      <c r="D653" s="1714"/>
      <c r="E653" s="1720"/>
      <c r="F653" s="1720"/>
      <c r="G653" s="1716"/>
      <c r="H653" s="1715"/>
      <c r="I653" s="1715"/>
      <c r="J653" s="1717"/>
      <c r="K653" s="1717"/>
      <c r="L653" s="1717"/>
      <c r="M653" s="1717"/>
      <c r="N653" s="1718"/>
    </row>
    <row r="654">
      <c r="A654" s="1721"/>
      <c r="C654" s="1026"/>
      <c r="D654" s="1714"/>
      <c r="E654" s="1720"/>
      <c r="F654" s="1720"/>
      <c r="G654" s="1716"/>
      <c r="H654" s="1715"/>
      <c r="I654" s="1715"/>
      <c r="J654" s="1717"/>
      <c r="K654" s="1717"/>
      <c r="L654" s="1717"/>
      <c r="M654" s="1717"/>
      <c r="N654" s="1718"/>
    </row>
    <row r="655">
      <c r="A655" s="1721"/>
      <c r="C655" s="1026"/>
      <c r="D655" s="1714"/>
      <c r="E655" s="1720"/>
      <c r="F655" s="1720"/>
      <c r="G655" s="1716"/>
      <c r="H655" s="1715"/>
      <c r="I655" s="1715"/>
      <c r="J655" s="1717"/>
      <c r="K655" s="1717"/>
      <c r="L655" s="1717"/>
      <c r="M655" s="1717"/>
      <c r="N655" s="1718"/>
    </row>
    <row r="656">
      <c r="A656" s="1721"/>
      <c r="C656" s="1026"/>
      <c r="D656" s="1714"/>
      <c r="E656" s="1720"/>
      <c r="F656" s="1720"/>
      <c r="G656" s="1716"/>
      <c r="H656" s="1715"/>
      <c r="I656" s="1715"/>
      <c r="J656" s="1717"/>
      <c r="K656" s="1717"/>
      <c r="L656" s="1717"/>
      <c r="M656" s="1717"/>
      <c r="N656" s="1718"/>
    </row>
    <row r="657">
      <c r="A657" s="1721"/>
      <c r="C657" s="1026"/>
      <c r="D657" s="1714"/>
      <c r="E657" s="1720"/>
      <c r="F657" s="1720"/>
      <c r="G657" s="1716"/>
      <c r="H657" s="1715"/>
      <c r="I657" s="1715"/>
      <c r="J657" s="1717"/>
      <c r="K657" s="1717"/>
      <c r="L657" s="1717"/>
      <c r="M657" s="1717"/>
      <c r="N657" s="1718"/>
    </row>
    <row r="658">
      <c r="A658" s="1721"/>
      <c r="C658" s="1026"/>
      <c r="D658" s="1714"/>
      <c r="E658" s="1720"/>
      <c r="F658" s="1720"/>
      <c r="G658" s="1716"/>
      <c r="H658" s="1715"/>
      <c r="I658" s="1715"/>
      <c r="J658" s="1717"/>
      <c r="K658" s="1717"/>
      <c r="L658" s="1717"/>
      <c r="M658" s="1717"/>
      <c r="N658" s="1718"/>
    </row>
    <row r="659">
      <c r="A659" s="1721"/>
      <c r="C659" s="1026"/>
      <c r="D659" s="1714"/>
      <c r="E659" s="1720"/>
      <c r="F659" s="1720"/>
      <c r="G659" s="1716"/>
      <c r="H659" s="1715"/>
      <c r="I659" s="1715"/>
      <c r="J659" s="1717"/>
      <c r="K659" s="1717"/>
      <c r="L659" s="1717"/>
      <c r="M659" s="1717"/>
      <c r="N659" s="1718"/>
    </row>
    <row r="660">
      <c r="A660" s="1721"/>
      <c r="C660" s="1026"/>
      <c r="D660" s="1714"/>
      <c r="E660" s="1720"/>
      <c r="F660" s="1720"/>
      <c r="G660" s="1716"/>
      <c r="H660" s="1715"/>
      <c r="I660" s="1715"/>
      <c r="J660" s="1717"/>
      <c r="K660" s="1717"/>
      <c r="L660" s="1717"/>
      <c r="M660" s="1717"/>
      <c r="N660" s="1718"/>
    </row>
    <row r="661">
      <c r="A661" s="1721"/>
      <c r="C661" s="1026"/>
      <c r="D661" s="1714"/>
      <c r="E661" s="1720"/>
      <c r="F661" s="1720"/>
      <c r="G661" s="1716"/>
      <c r="H661" s="1715"/>
      <c r="I661" s="1715"/>
      <c r="J661" s="1717"/>
      <c r="K661" s="1717"/>
      <c r="L661" s="1717"/>
      <c r="M661" s="1717"/>
      <c r="N661" s="1718"/>
    </row>
    <row r="662">
      <c r="A662" s="1721"/>
      <c r="C662" s="1026"/>
      <c r="D662" s="1714"/>
      <c r="E662" s="1720"/>
      <c r="F662" s="1720"/>
      <c r="G662" s="1716"/>
      <c r="H662" s="1715"/>
      <c r="I662" s="1715"/>
      <c r="J662" s="1717"/>
      <c r="K662" s="1717"/>
      <c r="L662" s="1717"/>
      <c r="M662" s="1717"/>
      <c r="N662" s="1718"/>
    </row>
    <row r="663">
      <c r="A663" s="1721"/>
      <c r="C663" s="1026"/>
      <c r="D663" s="1714"/>
      <c r="E663" s="1720"/>
      <c r="F663" s="1720"/>
      <c r="G663" s="1716"/>
      <c r="H663" s="1715"/>
      <c r="I663" s="1715"/>
      <c r="J663" s="1717"/>
      <c r="K663" s="1717"/>
      <c r="L663" s="1717"/>
      <c r="M663" s="1717"/>
      <c r="N663" s="1718"/>
    </row>
    <row r="664">
      <c r="A664" s="1721"/>
      <c r="C664" s="1026"/>
      <c r="D664" s="1714"/>
      <c r="E664" s="1720"/>
      <c r="F664" s="1720"/>
      <c r="G664" s="1716"/>
      <c r="H664" s="1715"/>
      <c r="I664" s="1715"/>
      <c r="J664" s="1717"/>
      <c r="K664" s="1717"/>
      <c r="L664" s="1717"/>
      <c r="M664" s="1717"/>
      <c r="N664" s="1718"/>
    </row>
    <row r="665">
      <c r="A665" s="1721"/>
      <c r="C665" s="1026"/>
      <c r="D665" s="1714"/>
      <c r="E665" s="1720"/>
      <c r="F665" s="1720"/>
      <c r="G665" s="1716"/>
      <c r="H665" s="1715"/>
      <c r="I665" s="1715"/>
      <c r="J665" s="1717"/>
      <c r="K665" s="1717"/>
      <c r="L665" s="1717"/>
      <c r="M665" s="1717"/>
      <c r="N665" s="1718"/>
    </row>
    <row r="666">
      <c r="A666" s="1721"/>
      <c r="C666" s="1026"/>
      <c r="D666" s="1714"/>
      <c r="E666" s="1720"/>
      <c r="F666" s="1720"/>
      <c r="G666" s="1716"/>
      <c r="H666" s="1715"/>
      <c r="I666" s="1715"/>
      <c r="J666" s="1717"/>
      <c r="K666" s="1717"/>
      <c r="L666" s="1717"/>
      <c r="M666" s="1717"/>
      <c r="N666" s="1718"/>
    </row>
    <row r="667">
      <c r="A667" s="1721"/>
      <c r="C667" s="1026"/>
      <c r="D667" s="1714"/>
      <c r="E667" s="1720"/>
      <c r="F667" s="1720"/>
      <c r="G667" s="1716"/>
      <c r="H667" s="1715"/>
      <c r="I667" s="1715"/>
      <c r="J667" s="1717"/>
      <c r="K667" s="1717"/>
      <c r="L667" s="1717"/>
      <c r="M667" s="1717"/>
      <c r="N667" s="1718"/>
    </row>
    <row r="668">
      <c r="A668" s="1721"/>
      <c r="C668" s="1026"/>
      <c r="D668" s="1714"/>
      <c r="E668" s="1720"/>
      <c r="F668" s="1720"/>
      <c r="G668" s="1716"/>
      <c r="H668" s="1715"/>
      <c r="I668" s="1715"/>
      <c r="J668" s="1717"/>
      <c r="K668" s="1717"/>
      <c r="L668" s="1717"/>
      <c r="M668" s="1717"/>
      <c r="N668" s="1718"/>
    </row>
    <row r="669">
      <c r="A669" s="1721"/>
      <c r="C669" s="1026"/>
      <c r="D669" s="1714"/>
      <c r="E669" s="1720"/>
      <c r="F669" s="1720"/>
      <c r="G669" s="1716"/>
      <c r="H669" s="1715"/>
      <c r="I669" s="1715"/>
      <c r="J669" s="1717"/>
      <c r="K669" s="1717"/>
      <c r="L669" s="1717"/>
      <c r="M669" s="1717"/>
      <c r="N669" s="1718"/>
    </row>
    <row r="670">
      <c r="A670" s="1721"/>
      <c r="C670" s="1026"/>
      <c r="D670" s="1714"/>
      <c r="E670" s="1720"/>
      <c r="F670" s="1720"/>
      <c r="G670" s="1716"/>
      <c r="H670" s="1715"/>
      <c r="I670" s="1715"/>
      <c r="J670" s="1717"/>
      <c r="K670" s="1717"/>
      <c r="L670" s="1717"/>
      <c r="M670" s="1717"/>
      <c r="N670" s="1718"/>
    </row>
    <row r="671">
      <c r="A671" s="1721"/>
      <c r="C671" s="1026"/>
      <c r="D671" s="1714"/>
      <c r="E671" s="1720"/>
      <c r="F671" s="1720"/>
      <c r="G671" s="1716"/>
      <c r="H671" s="1715"/>
      <c r="I671" s="1715"/>
      <c r="J671" s="1717"/>
      <c r="K671" s="1717"/>
      <c r="L671" s="1717"/>
      <c r="M671" s="1717"/>
      <c r="N671" s="1718"/>
    </row>
    <row r="672">
      <c r="A672" s="1721"/>
      <c r="C672" s="1026"/>
      <c r="D672" s="1714"/>
      <c r="E672" s="1720"/>
      <c r="F672" s="1720"/>
      <c r="G672" s="1716"/>
      <c r="H672" s="1715"/>
      <c r="I672" s="1715"/>
      <c r="J672" s="1717"/>
      <c r="K672" s="1717"/>
      <c r="L672" s="1717"/>
      <c r="M672" s="1717"/>
      <c r="N672" s="1718"/>
    </row>
    <row r="673">
      <c r="A673" s="1721"/>
      <c r="C673" s="1026"/>
      <c r="D673" s="1714"/>
      <c r="E673" s="1720"/>
      <c r="F673" s="1720"/>
      <c r="G673" s="1716"/>
      <c r="H673" s="1715"/>
      <c r="I673" s="1715"/>
      <c r="J673" s="1717"/>
      <c r="K673" s="1717"/>
      <c r="L673" s="1717"/>
      <c r="M673" s="1717"/>
      <c r="N673" s="1718"/>
    </row>
    <row r="674">
      <c r="A674" s="1721"/>
      <c r="C674" s="1026"/>
      <c r="D674" s="1714"/>
      <c r="E674" s="1720"/>
      <c r="F674" s="1720"/>
      <c r="G674" s="1716"/>
      <c r="H674" s="1715"/>
      <c r="I674" s="1715"/>
      <c r="J674" s="1717"/>
      <c r="K674" s="1717"/>
      <c r="L674" s="1717"/>
      <c r="M674" s="1717"/>
      <c r="N674" s="1718"/>
    </row>
    <row r="675">
      <c r="A675" s="1721"/>
      <c r="C675" s="1026"/>
      <c r="D675" s="1714"/>
      <c r="E675" s="1720"/>
      <c r="F675" s="1720"/>
      <c r="G675" s="1716"/>
      <c r="H675" s="1715"/>
      <c r="I675" s="1715"/>
      <c r="J675" s="1717"/>
      <c r="K675" s="1717"/>
      <c r="L675" s="1717"/>
      <c r="M675" s="1717"/>
      <c r="N675" s="1718"/>
    </row>
    <row r="676">
      <c r="A676" s="1721"/>
      <c r="C676" s="1026"/>
      <c r="D676" s="1714"/>
      <c r="E676" s="1720"/>
      <c r="F676" s="1720"/>
      <c r="G676" s="1716"/>
      <c r="H676" s="1715"/>
      <c r="I676" s="1715"/>
      <c r="J676" s="1717"/>
      <c r="K676" s="1717"/>
      <c r="L676" s="1717"/>
      <c r="M676" s="1717"/>
      <c r="N676" s="1718"/>
    </row>
    <row r="677">
      <c r="A677" s="1721"/>
      <c r="C677" s="1026"/>
      <c r="D677" s="1714"/>
      <c r="E677" s="1720"/>
      <c r="F677" s="1720"/>
      <c r="G677" s="1716"/>
      <c r="H677" s="1715"/>
      <c r="I677" s="1715"/>
      <c r="J677" s="1717"/>
      <c r="K677" s="1717"/>
      <c r="L677" s="1717"/>
      <c r="M677" s="1717"/>
      <c r="N677" s="1718"/>
    </row>
    <row r="678">
      <c r="A678" s="1721"/>
      <c r="C678" s="1026"/>
      <c r="D678" s="1714"/>
      <c r="E678" s="1720"/>
      <c r="F678" s="1720"/>
      <c r="G678" s="1716"/>
      <c r="H678" s="1715"/>
      <c r="I678" s="1715"/>
      <c r="J678" s="1717"/>
      <c r="K678" s="1717"/>
      <c r="L678" s="1717"/>
      <c r="M678" s="1717"/>
      <c r="N678" s="1718"/>
    </row>
    <row r="679">
      <c r="A679" s="1721"/>
      <c r="C679" s="1026"/>
      <c r="D679" s="1714"/>
      <c r="E679" s="1720"/>
      <c r="F679" s="1720"/>
      <c r="G679" s="1716"/>
      <c r="H679" s="1715"/>
      <c r="I679" s="1715"/>
      <c r="J679" s="1717"/>
      <c r="K679" s="1717"/>
      <c r="L679" s="1717"/>
      <c r="M679" s="1717"/>
      <c r="N679" s="1718"/>
    </row>
    <row r="680">
      <c r="A680" s="1721"/>
      <c r="C680" s="1026"/>
      <c r="D680" s="1714"/>
      <c r="E680" s="1720"/>
      <c r="F680" s="1720"/>
      <c r="G680" s="1716"/>
      <c r="H680" s="1715"/>
      <c r="I680" s="1715"/>
      <c r="J680" s="1717"/>
      <c r="K680" s="1717"/>
      <c r="L680" s="1717"/>
      <c r="M680" s="1717"/>
      <c r="N680" s="1718"/>
    </row>
    <row r="681">
      <c r="A681" s="1721"/>
      <c r="C681" s="1026"/>
      <c r="D681" s="1714"/>
      <c r="E681" s="1720"/>
      <c r="F681" s="1720"/>
      <c r="G681" s="1716"/>
      <c r="H681" s="1715"/>
      <c r="I681" s="1715"/>
      <c r="J681" s="1717"/>
      <c r="K681" s="1717"/>
      <c r="L681" s="1717"/>
      <c r="M681" s="1717"/>
      <c r="N681" s="1718"/>
    </row>
    <row r="682">
      <c r="A682" s="1721"/>
      <c r="C682" s="1026"/>
      <c r="D682" s="1714"/>
      <c r="E682" s="1720"/>
      <c r="F682" s="1720"/>
      <c r="G682" s="1716"/>
      <c r="H682" s="1715"/>
      <c r="I682" s="1715"/>
      <c r="J682" s="1717"/>
      <c r="K682" s="1717"/>
      <c r="L682" s="1717"/>
      <c r="M682" s="1717"/>
      <c r="N682" s="1718"/>
    </row>
    <row r="683">
      <c r="A683" s="1721"/>
      <c r="C683" s="1026"/>
      <c r="D683" s="1714"/>
      <c r="E683" s="1720"/>
      <c r="F683" s="1720"/>
      <c r="G683" s="1716"/>
      <c r="H683" s="1715"/>
      <c r="I683" s="1715"/>
      <c r="J683" s="1717"/>
      <c r="K683" s="1717"/>
      <c r="L683" s="1717"/>
      <c r="M683" s="1717"/>
      <c r="N683" s="1718"/>
    </row>
    <row r="684">
      <c r="A684" s="1721"/>
      <c r="C684" s="1026"/>
      <c r="D684" s="1714"/>
      <c r="E684" s="1720"/>
      <c r="F684" s="1720"/>
      <c r="G684" s="1716"/>
      <c r="H684" s="1715"/>
      <c r="I684" s="1715"/>
      <c r="J684" s="1717"/>
      <c r="K684" s="1717"/>
      <c r="L684" s="1717"/>
      <c r="M684" s="1717"/>
      <c r="N684" s="1718"/>
    </row>
    <row r="685">
      <c r="A685" s="1721"/>
      <c r="C685" s="1026"/>
      <c r="D685" s="1714"/>
      <c r="E685" s="1720"/>
      <c r="F685" s="1720"/>
      <c r="G685" s="1716"/>
      <c r="H685" s="1715"/>
      <c r="I685" s="1715"/>
      <c r="J685" s="1717"/>
      <c r="K685" s="1717"/>
      <c r="L685" s="1717"/>
      <c r="M685" s="1717"/>
      <c r="N685" s="1718"/>
    </row>
    <row r="686">
      <c r="A686" s="1721"/>
      <c r="C686" s="1026"/>
      <c r="D686" s="1714"/>
      <c r="E686" s="1720"/>
      <c r="F686" s="1720"/>
      <c r="G686" s="1716"/>
      <c r="H686" s="1715"/>
      <c r="I686" s="1715"/>
      <c r="J686" s="1717"/>
      <c r="K686" s="1717"/>
      <c r="L686" s="1717"/>
      <c r="M686" s="1717"/>
      <c r="N686" s="1718"/>
    </row>
    <row r="687">
      <c r="A687" s="1721"/>
      <c r="C687" s="1026"/>
      <c r="D687" s="1714"/>
      <c r="E687" s="1720"/>
      <c r="F687" s="1720"/>
      <c r="G687" s="1716"/>
      <c r="H687" s="1715"/>
      <c r="I687" s="1715"/>
      <c r="J687" s="1717"/>
      <c r="K687" s="1717"/>
      <c r="L687" s="1717"/>
      <c r="M687" s="1717"/>
      <c r="N687" s="1718"/>
    </row>
    <row r="688">
      <c r="A688" s="1721"/>
      <c r="C688" s="1026"/>
      <c r="D688" s="1714"/>
      <c r="E688" s="1720"/>
      <c r="F688" s="1720"/>
      <c r="G688" s="1716"/>
      <c r="H688" s="1715"/>
      <c r="I688" s="1715"/>
      <c r="J688" s="1717"/>
      <c r="K688" s="1717"/>
      <c r="L688" s="1717"/>
      <c r="M688" s="1717"/>
      <c r="N688" s="1718"/>
    </row>
    <row r="689">
      <c r="A689" s="1721"/>
      <c r="C689" s="1026"/>
      <c r="D689" s="1714"/>
      <c r="E689" s="1720"/>
      <c r="F689" s="1720"/>
      <c r="G689" s="1716"/>
      <c r="H689" s="1715"/>
      <c r="I689" s="1715"/>
      <c r="J689" s="1717"/>
      <c r="K689" s="1717"/>
      <c r="L689" s="1717"/>
      <c r="M689" s="1717"/>
      <c r="N689" s="1718"/>
    </row>
    <row r="690">
      <c r="A690" s="1721"/>
      <c r="C690" s="1026"/>
      <c r="D690" s="1714"/>
      <c r="E690" s="1720"/>
      <c r="F690" s="1720"/>
      <c r="G690" s="1716"/>
      <c r="H690" s="1715"/>
      <c r="I690" s="1715"/>
      <c r="J690" s="1717"/>
      <c r="K690" s="1717"/>
      <c r="L690" s="1717"/>
      <c r="M690" s="1717"/>
      <c r="N690" s="1718"/>
    </row>
    <row r="691">
      <c r="A691" s="1721"/>
      <c r="C691" s="1026"/>
      <c r="D691" s="1714"/>
      <c r="E691" s="1720"/>
      <c r="F691" s="1720"/>
      <c r="G691" s="1716"/>
      <c r="H691" s="1715"/>
      <c r="I691" s="1715"/>
      <c r="J691" s="1717"/>
      <c r="K691" s="1717"/>
      <c r="L691" s="1717"/>
      <c r="M691" s="1717"/>
      <c r="N691" s="1718"/>
    </row>
    <row r="692">
      <c r="A692" s="1721"/>
      <c r="C692" s="1026"/>
      <c r="D692" s="1714"/>
      <c r="E692" s="1720"/>
      <c r="F692" s="1720"/>
      <c r="G692" s="1716"/>
      <c r="H692" s="1715"/>
      <c r="I692" s="1715"/>
      <c r="J692" s="1717"/>
      <c r="K692" s="1717"/>
      <c r="L692" s="1717"/>
      <c r="M692" s="1717"/>
      <c r="N692" s="1718"/>
    </row>
    <row r="693">
      <c r="A693" s="1721"/>
      <c r="C693" s="1026"/>
      <c r="D693" s="1714"/>
      <c r="E693" s="1720"/>
      <c r="F693" s="1720"/>
      <c r="G693" s="1716"/>
      <c r="H693" s="1715"/>
      <c r="I693" s="1715"/>
      <c r="J693" s="1717"/>
      <c r="K693" s="1717"/>
      <c r="L693" s="1717"/>
      <c r="M693" s="1717"/>
      <c r="N693" s="1718"/>
    </row>
    <row r="694">
      <c r="A694" s="1721"/>
      <c r="C694" s="1026"/>
      <c r="D694" s="1714"/>
      <c r="E694" s="1720"/>
      <c r="F694" s="1720"/>
      <c r="G694" s="1716"/>
      <c r="H694" s="1715"/>
      <c r="I694" s="1715"/>
      <c r="J694" s="1717"/>
      <c r="K694" s="1717"/>
      <c r="L694" s="1717"/>
      <c r="M694" s="1717"/>
      <c r="N694" s="1718"/>
    </row>
    <row r="695">
      <c r="A695" s="1721"/>
      <c r="C695" s="1026"/>
      <c r="D695" s="1714"/>
      <c r="E695" s="1720"/>
      <c r="F695" s="1720"/>
      <c r="G695" s="1716"/>
      <c r="H695" s="1715"/>
      <c r="I695" s="1715"/>
      <c r="J695" s="1717"/>
      <c r="K695" s="1717"/>
      <c r="L695" s="1717"/>
      <c r="M695" s="1717"/>
      <c r="N695" s="1718"/>
    </row>
    <row r="696">
      <c r="A696" s="1721"/>
      <c r="C696" s="1026"/>
      <c r="D696" s="1714"/>
      <c r="E696" s="1720"/>
      <c r="F696" s="1720"/>
      <c r="G696" s="1716"/>
      <c r="H696" s="1715"/>
      <c r="I696" s="1715"/>
      <c r="J696" s="1717"/>
      <c r="K696" s="1717"/>
      <c r="L696" s="1717"/>
      <c r="M696" s="1717"/>
      <c r="N696" s="1718"/>
    </row>
    <row r="697">
      <c r="A697" s="1721"/>
      <c r="C697" s="1026"/>
      <c r="D697" s="1714"/>
      <c r="E697" s="1720"/>
      <c r="F697" s="1720"/>
      <c r="G697" s="1716"/>
      <c r="H697" s="1715"/>
      <c r="I697" s="1715"/>
      <c r="J697" s="1717"/>
      <c r="K697" s="1717"/>
      <c r="L697" s="1717"/>
      <c r="M697" s="1717"/>
      <c r="N697" s="1718"/>
    </row>
    <row r="698">
      <c r="A698" s="1721"/>
      <c r="C698" s="1026"/>
      <c r="D698" s="1714"/>
      <c r="E698" s="1720"/>
      <c r="F698" s="1720"/>
      <c r="G698" s="1716"/>
      <c r="H698" s="1715"/>
      <c r="I698" s="1715"/>
      <c r="J698" s="1717"/>
      <c r="K698" s="1717"/>
      <c r="L698" s="1717"/>
      <c r="M698" s="1717"/>
      <c r="N698" s="1718"/>
    </row>
    <row r="699">
      <c r="A699" s="1721"/>
      <c r="C699" s="1026"/>
      <c r="D699" s="1714"/>
      <c r="E699" s="1720"/>
      <c r="F699" s="1720"/>
      <c r="G699" s="1716"/>
      <c r="H699" s="1715"/>
      <c r="I699" s="1715"/>
      <c r="J699" s="1717"/>
      <c r="K699" s="1717"/>
      <c r="L699" s="1717"/>
      <c r="M699" s="1717"/>
      <c r="N699" s="1718"/>
    </row>
    <row r="700">
      <c r="A700" s="1721"/>
      <c r="C700" s="1026"/>
      <c r="D700" s="1714"/>
      <c r="E700" s="1720"/>
      <c r="F700" s="1720"/>
      <c r="G700" s="1716"/>
      <c r="H700" s="1715"/>
      <c r="I700" s="1715"/>
      <c r="J700" s="1717"/>
      <c r="K700" s="1717"/>
      <c r="L700" s="1717"/>
      <c r="M700" s="1717"/>
      <c r="N700" s="1718"/>
    </row>
    <row r="701">
      <c r="A701" s="1721"/>
      <c r="C701" s="1026"/>
      <c r="D701" s="1714"/>
      <c r="E701" s="1720"/>
      <c r="F701" s="1720"/>
      <c r="G701" s="1716"/>
      <c r="H701" s="1715"/>
      <c r="I701" s="1715"/>
      <c r="J701" s="1717"/>
      <c r="K701" s="1717"/>
      <c r="L701" s="1717"/>
      <c r="M701" s="1717"/>
      <c r="N701" s="1718"/>
    </row>
    <row r="702">
      <c r="A702" s="1721"/>
      <c r="C702" s="1026"/>
      <c r="D702" s="1714"/>
      <c r="E702" s="1720"/>
      <c r="F702" s="1720"/>
      <c r="G702" s="1716"/>
      <c r="H702" s="1715"/>
      <c r="I702" s="1715"/>
      <c r="J702" s="1717"/>
      <c r="K702" s="1717"/>
      <c r="L702" s="1717"/>
      <c r="M702" s="1717"/>
      <c r="N702" s="1718"/>
    </row>
    <row r="703">
      <c r="A703" s="1721"/>
      <c r="C703" s="1026"/>
      <c r="D703" s="1714"/>
      <c r="E703" s="1720"/>
      <c r="F703" s="1720"/>
      <c r="G703" s="1716"/>
      <c r="H703" s="1715"/>
      <c r="I703" s="1715"/>
      <c r="J703" s="1717"/>
      <c r="K703" s="1717"/>
      <c r="L703" s="1717"/>
      <c r="M703" s="1717"/>
      <c r="N703" s="1718"/>
    </row>
    <row r="704">
      <c r="A704" s="1721"/>
      <c r="C704" s="1026"/>
      <c r="D704" s="1714"/>
      <c r="E704" s="1720"/>
      <c r="F704" s="1720"/>
      <c r="G704" s="1716"/>
      <c r="H704" s="1715"/>
      <c r="I704" s="1715"/>
      <c r="J704" s="1717"/>
      <c r="K704" s="1717"/>
      <c r="L704" s="1717"/>
      <c r="M704" s="1717"/>
      <c r="N704" s="1718"/>
    </row>
    <row r="705">
      <c r="A705" s="1721"/>
      <c r="C705" s="1026"/>
      <c r="D705" s="1714"/>
      <c r="E705" s="1720"/>
      <c r="F705" s="1720"/>
      <c r="G705" s="1716"/>
      <c r="H705" s="1715"/>
      <c r="I705" s="1715"/>
      <c r="J705" s="1717"/>
      <c r="K705" s="1717"/>
      <c r="L705" s="1717"/>
      <c r="M705" s="1717"/>
      <c r="N705" s="1718"/>
    </row>
    <row r="706">
      <c r="A706" s="1721"/>
      <c r="C706" s="1026"/>
      <c r="D706" s="1714"/>
      <c r="E706" s="1720"/>
      <c r="F706" s="1720"/>
      <c r="G706" s="1716"/>
      <c r="H706" s="1715"/>
      <c r="I706" s="1715"/>
      <c r="J706" s="1717"/>
      <c r="K706" s="1717"/>
      <c r="L706" s="1717"/>
      <c r="M706" s="1717"/>
      <c r="N706" s="1718"/>
    </row>
    <row r="707">
      <c r="A707" s="1721"/>
      <c r="C707" s="1026"/>
      <c r="D707" s="1714"/>
      <c r="E707" s="1720"/>
      <c r="F707" s="1720"/>
      <c r="G707" s="1716"/>
      <c r="H707" s="1715"/>
      <c r="I707" s="1715"/>
      <c r="J707" s="1717"/>
      <c r="K707" s="1717"/>
      <c r="L707" s="1717"/>
      <c r="M707" s="1717"/>
      <c r="N707" s="1718"/>
    </row>
    <row r="708">
      <c r="A708" s="1721"/>
      <c r="C708" s="1026"/>
      <c r="D708" s="1714"/>
      <c r="E708" s="1720"/>
      <c r="F708" s="1720"/>
      <c r="G708" s="1716"/>
      <c r="H708" s="1715"/>
      <c r="I708" s="1715"/>
      <c r="J708" s="1717"/>
      <c r="K708" s="1717"/>
      <c r="L708" s="1717"/>
      <c r="M708" s="1717"/>
      <c r="N708" s="1718"/>
    </row>
    <row r="709">
      <c r="A709" s="1721"/>
      <c r="C709" s="1026"/>
      <c r="D709" s="1714"/>
      <c r="E709" s="1720"/>
      <c r="F709" s="1720"/>
      <c r="G709" s="1716"/>
      <c r="H709" s="1715"/>
      <c r="I709" s="1715"/>
      <c r="J709" s="1717"/>
      <c r="K709" s="1717"/>
      <c r="L709" s="1717"/>
      <c r="M709" s="1717"/>
      <c r="N709" s="1718"/>
    </row>
    <row r="710">
      <c r="A710" s="1721"/>
      <c r="C710" s="1026"/>
      <c r="D710" s="1714"/>
      <c r="E710" s="1720"/>
      <c r="F710" s="1720"/>
      <c r="G710" s="1716"/>
      <c r="H710" s="1715"/>
      <c r="I710" s="1715"/>
      <c r="J710" s="1717"/>
      <c r="K710" s="1717"/>
      <c r="L710" s="1717"/>
      <c r="M710" s="1717"/>
      <c r="N710" s="1718"/>
    </row>
    <row r="711">
      <c r="A711" s="1721"/>
      <c r="C711" s="1026"/>
      <c r="D711" s="1714"/>
      <c r="E711" s="1720"/>
      <c r="F711" s="1720"/>
      <c r="G711" s="1716"/>
      <c r="H711" s="1715"/>
      <c r="I711" s="1715"/>
      <c r="J711" s="1717"/>
      <c r="K711" s="1717"/>
      <c r="L711" s="1717"/>
      <c r="M711" s="1717"/>
      <c r="N711" s="1718"/>
    </row>
    <row r="712">
      <c r="A712" s="1721"/>
      <c r="C712" s="1026"/>
      <c r="D712" s="1714"/>
      <c r="E712" s="1720"/>
      <c r="F712" s="1720"/>
      <c r="G712" s="1716"/>
      <c r="H712" s="1715"/>
      <c r="I712" s="1715"/>
      <c r="J712" s="1717"/>
      <c r="K712" s="1717"/>
      <c r="L712" s="1717"/>
      <c r="M712" s="1717"/>
      <c r="N712" s="1718"/>
    </row>
    <row r="713">
      <c r="A713" s="1721"/>
      <c r="C713" s="1026"/>
      <c r="D713" s="1714"/>
      <c r="E713" s="1720"/>
      <c r="F713" s="1720"/>
      <c r="G713" s="1716"/>
      <c r="H713" s="1715"/>
      <c r="I713" s="1715"/>
      <c r="J713" s="1717"/>
      <c r="K713" s="1717"/>
      <c r="L713" s="1717"/>
      <c r="M713" s="1717"/>
      <c r="N713" s="1718"/>
    </row>
    <row r="714">
      <c r="A714" s="1721"/>
      <c r="C714" s="1026"/>
      <c r="D714" s="1714"/>
      <c r="E714" s="1720"/>
      <c r="F714" s="1720"/>
      <c r="G714" s="1716"/>
      <c r="H714" s="1715"/>
      <c r="I714" s="1715"/>
      <c r="J714" s="1717"/>
      <c r="K714" s="1717"/>
      <c r="L714" s="1717"/>
      <c r="M714" s="1717"/>
      <c r="N714" s="1718"/>
    </row>
    <row r="715">
      <c r="A715" s="1721"/>
      <c r="C715" s="1026"/>
      <c r="D715" s="1714"/>
      <c r="E715" s="1720"/>
      <c r="F715" s="1720"/>
      <c r="G715" s="1716"/>
      <c r="H715" s="1715"/>
      <c r="I715" s="1715"/>
      <c r="J715" s="1717"/>
      <c r="K715" s="1717"/>
      <c r="L715" s="1717"/>
      <c r="M715" s="1717"/>
      <c r="N715" s="1718"/>
    </row>
    <row r="716">
      <c r="A716" s="1721"/>
      <c r="C716" s="1026"/>
      <c r="D716" s="1714"/>
      <c r="E716" s="1720"/>
      <c r="F716" s="1720"/>
      <c r="G716" s="1716"/>
      <c r="H716" s="1715"/>
      <c r="I716" s="1715"/>
      <c r="J716" s="1717"/>
      <c r="K716" s="1717"/>
      <c r="L716" s="1717"/>
      <c r="M716" s="1717"/>
      <c r="N716" s="1718"/>
    </row>
    <row r="717">
      <c r="A717" s="1721"/>
      <c r="C717" s="1026"/>
      <c r="D717" s="1714"/>
      <c r="E717" s="1720"/>
      <c r="F717" s="1720"/>
      <c r="G717" s="1716"/>
      <c r="H717" s="1715"/>
      <c r="I717" s="1715"/>
      <c r="J717" s="1717"/>
      <c r="K717" s="1717"/>
      <c r="L717" s="1717"/>
      <c r="M717" s="1717"/>
      <c r="N717" s="1718"/>
    </row>
    <row r="718">
      <c r="A718" s="1721"/>
      <c r="C718" s="1026"/>
      <c r="D718" s="1714"/>
      <c r="E718" s="1720"/>
      <c r="F718" s="1720"/>
      <c r="G718" s="1716"/>
      <c r="H718" s="1715"/>
      <c r="I718" s="1715"/>
      <c r="J718" s="1717"/>
      <c r="K718" s="1717"/>
      <c r="L718" s="1717"/>
      <c r="M718" s="1717"/>
      <c r="N718" s="1718"/>
    </row>
    <row r="719">
      <c r="A719" s="1721"/>
      <c r="C719" s="1026"/>
      <c r="D719" s="1714"/>
      <c r="E719" s="1720"/>
      <c r="F719" s="1720"/>
      <c r="G719" s="1716"/>
      <c r="H719" s="1715"/>
      <c r="I719" s="1715"/>
      <c r="J719" s="1717"/>
      <c r="K719" s="1717"/>
      <c r="L719" s="1717"/>
      <c r="M719" s="1717"/>
      <c r="N719" s="1718"/>
    </row>
    <row r="720">
      <c r="A720" s="1721"/>
      <c r="C720" s="1026"/>
      <c r="D720" s="1714"/>
      <c r="E720" s="1720"/>
      <c r="F720" s="1720"/>
      <c r="G720" s="1716"/>
      <c r="H720" s="1715"/>
      <c r="I720" s="1715"/>
      <c r="J720" s="1717"/>
      <c r="K720" s="1717"/>
      <c r="L720" s="1717"/>
      <c r="M720" s="1717"/>
      <c r="N720" s="1718"/>
    </row>
    <row r="721">
      <c r="A721" s="1721"/>
      <c r="C721" s="1026"/>
      <c r="D721" s="1714"/>
      <c r="E721" s="1720"/>
      <c r="F721" s="1720"/>
      <c r="G721" s="1716"/>
      <c r="H721" s="1715"/>
      <c r="I721" s="1715"/>
      <c r="J721" s="1717"/>
      <c r="K721" s="1717"/>
      <c r="L721" s="1717"/>
      <c r="M721" s="1717"/>
      <c r="N721" s="1718"/>
    </row>
    <row r="722">
      <c r="A722" s="1721"/>
      <c r="C722" s="1026"/>
      <c r="D722" s="1714"/>
      <c r="E722" s="1720"/>
      <c r="F722" s="1720"/>
      <c r="G722" s="1716"/>
      <c r="H722" s="1715"/>
      <c r="I722" s="1715"/>
      <c r="J722" s="1717"/>
      <c r="K722" s="1717"/>
      <c r="L722" s="1717"/>
      <c r="M722" s="1717"/>
      <c r="N722" s="1718"/>
    </row>
    <row r="723">
      <c r="A723" s="1721"/>
      <c r="C723" s="1026"/>
      <c r="D723" s="1714"/>
      <c r="E723" s="1720"/>
      <c r="F723" s="1720"/>
      <c r="G723" s="1716"/>
      <c r="H723" s="1715"/>
      <c r="I723" s="1715"/>
      <c r="J723" s="1717"/>
      <c r="K723" s="1717"/>
      <c r="L723" s="1717"/>
      <c r="M723" s="1717"/>
      <c r="N723" s="1718"/>
    </row>
    <row r="724">
      <c r="A724" s="1721"/>
      <c r="C724" s="1026"/>
      <c r="D724" s="1714"/>
      <c r="E724" s="1720"/>
      <c r="F724" s="1720"/>
      <c r="G724" s="1716"/>
      <c r="H724" s="1715"/>
      <c r="I724" s="1715"/>
      <c r="J724" s="1717"/>
      <c r="K724" s="1717"/>
      <c r="L724" s="1717"/>
      <c r="M724" s="1717"/>
      <c r="N724" s="1718"/>
    </row>
    <row r="725">
      <c r="A725" s="1721"/>
      <c r="C725" s="1026"/>
      <c r="D725" s="1714"/>
      <c r="E725" s="1720"/>
      <c r="F725" s="1720"/>
      <c r="G725" s="1716"/>
      <c r="H725" s="1715"/>
      <c r="I725" s="1715"/>
      <c r="J725" s="1717"/>
      <c r="K725" s="1717"/>
      <c r="L725" s="1717"/>
      <c r="M725" s="1717"/>
      <c r="N725" s="1718"/>
    </row>
    <row r="726">
      <c r="A726" s="1721"/>
      <c r="C726" s="1026"/>
      <c r="D726" s="1714"/>
      <c r="E726" s="1720"/>
      <c r="F726" s="1720"/>
      <c r="G726" s="1716"/>
      <c r="H726" s="1715"/>
      <c r="I726" s="1715"/>
      <c r="J726" s="1717"/>
      <c r="K726" s="1717"/>
      <c r="L726" s="1717"/>
      <c r="M726" s="1717"/>
      <c r="N726" s="1718"/>
    </row>
    <row r="727">
      <c r="A727" s="1721"/>
      <c r="C727" s="1026"/>
      <c r="D727" s="1714"/>
      <c r="E727" s="1720"/>
      <c r="F727" s="1720"/>
      <c r="G727" s="1716"/>
      <c r="H727" s="1715"/>
      <c r="I727" s="1715"/>
      <c r="J727" s="1717"/>
      <c r="K727" s="1717"/>
      <c r="L727" s="1717"/>
      <c r="M727" s="1717"/>
      <c r="N727" s="1718"/>
    </row>
    <row r="728">
      <c r="A728" s="1721"/>
      <c r="C728" s="1026"/>
      <c r="D728" s="1714"/>
      <c r="E728" s="1720"/>
      <c r="F728" s="1720"/>
      <c r="G728" s="1716"/>
      <c r="H728" s="1715"/>
      <c r="I728" s="1715"/>
      <c r="J728" s="1717"/>
      <c r="K728" s="1717"/>
      <c r="L728" s="1717"/>
      <c r="M728" s="1717"/>
      <c r="N728" s="1718"/>
    </row>
    <row r="729">
      <c r="A729" s="1721"/>
      <c r="C729" s="1026"/>
      <c r="D729" s="1714"/>
      <c r="E729" s="1720"/>
      <c r="F729" s="1720"/>
      <c r="G729" s="1716"/>
      <c r="H729" s="1715"/>
      <c r="I729" s="1715"/>
      <c r="J729" s="1717"/>
      <c r="K729" s="1717"/>
      <c r="L729" s="1717"/>
      <c r="M729" s="1717"/>
      <c r="N729" s="1718"/>
    </row>
    <row r="730">
      <c r="A730" s="1721"/>
      <c r="C730" s="1026"/>
      <c r="D730" s="1714"/>
      <c r="E730" s="1720"/>
      <c r="F730" s="1720"/>
      <c r="G730" s="1716"/>
      <c r="H730" s="1715"/>
      <c r="I730" s="1715"/>
      <c r="J730" s="1717"/>
      <c r="K730" s="1717"/>
      <c r="L730" s="1717"/>
      <c r="M730" s="1717"/>
      <c r="N730" s="1718"/>
    </row>
    <row r="731">
      <c r="A731" s="1721"/>
      <c r="C731" s="1026"/>
      <c r="D731" s="1714"/>
      <c r="E731" s="1720"/>
      <c r="F731" s="1720"/>
      <c r="G731" s="1716"/>
      <c r="H731" s="1715"/>
      <c r="I731" s="1715"/>
      <c r="J731" s="1717"/>
      <c r="K731" s="1717"/>
      <c r="L731" s="1717"/>
      <c r="M731" s="1717"/>
      <c r="N731" s="1718"/>
    </row>
    <row r="732">
      <c r="A732" s="1721"/>
      <c r="C732" s="1026"/>
      <c r="D732" s="1714"/>
      <c r="E732" s="1720"/>
      <c r="F732" s="1720"/>
      <c r="G732" s="1716"/>
      <c r="H732" s="1715"/>
      <c r="I732" s="1715"/>
      <c r="J732" s="1717"/>
      <c r="K732" s="1717"/>
      <c r="L732" s="1717"/>
      <c r="M732" s="1717"/>
      <c r="N732" s="1718"/>
    </row>
    <row r="733">
      <c r="A733" s="1721"/>
      <c r="C733" s="1026"/>
      <c r="D733" s="1714"/>
      <c r="E733" s="1720"/>
      <c r="F733" s="1720"/>
      <c r="G733" s="1716"/>
      <c r="H733" s="1715"/>
      <c r="I733" s="1715"/>
      <c r="J733" s="1717"/>
      <c r="K733" s="1717"/>
      <c r="L733" s="1717"/>
      <c r="M733" s="1717"/>
      <c r="N733" s="1718"/>
    </row>
    <row r="734">
      <c r="A734" s="1721"/>
      <c r="C734" s="1026"/>
      <c r="D734" s="1714"/>
      <c r="E734" s="1720"/>
      <c r="F734" s="1720"/>
      <c r="G734" s="1716"/>
      <c r="H734" s="1715"/>
      <c r="I734" s="1715"/>
      <c r="J734" s="1717"/>
      <c r="K734" s="1717"/>
      <c r="L734" s="1717"/>
      <c r="M734" s="1717"/>
      <c r="N734" s="1718"/>
    </row>
    <row r="735">
      <c r="A735" s="1721"/>
      <c r="C735" s="1026"/>
      <c r="D735" s="1714"/>
      <c r="E735" s="1720"/>
      <c r="F735" s="1720"/>
      <c r="G735" s="1716"/>
      <c r="H735" s="1715"/>
      <c r="I735" s="1715"/>
      <c r="J735" s="1717"/>
      <c r="K735" s="1717"/>
      <c r="L735" s="1717"/>
      <c r="M735" s="1717"/>
      <c r="N735" s="1718"/>
    </row>
    <row r="736">
      <c r="A736" s="1721"/>
      <c r="C736" s="1026"/>
      <c r="D736" s="1714"/>
      <c r="E736" s="1720"/>
      <c r="F736" s="1720"/>
      <c r="G736" s="1716"/>
      <c r="H736" s="1715"/>
      <c r="I736" s="1715"/>
      <c r="J736" s="1717"/>
      <c r="K736" s="1717"/>
      <c r="L736" s="1717"/>
      <c r="M736" s="1717"/>
      <c r="N736" s="1718"/>
    </row>
    <row r="737">
      <c r="A737" s="1721"/>
      <c r="C737" s="1026"/>
      <c r="D737" s="1714"/>
      <c r="E737" s="1720"/>
      <c r="F737" s="1720"/>
      <c r="G737" s="1716"/>
      <c r="H737" s="1715"/>
      <c r="I737" s="1715"/>
      <c r="J737" s="1717"/>
      <c r="K737" s="1717"/>
      <c r="L737" s="1717"/>
      <c r="M737" s="1717"/>
      <c r="N737" s="1718"/>
    </row>
    <row r="738">
      <c r="A738" s="1721"/>
      <c r="C738" s="1026"/>
      <c r="D738" s="1714"/>
      <c r="E738" s="1720"/>
      <c r="F738" s="1720"/>
      <c r="G738" s="1716"/>
      <c r="H738" s="1715"/>
      <c r="I738" s="1715"/>
      <c r="J738" s="1717"/>
      <c r="K738" s="1717"/>
      <c r="L738" s="1717"/>
      <c r="M738" s="1717"/>
      <c r="N738" s="1718"/>
    </row>
    <row r="739">
      <c r="A739" s="1721"/>
      <c r="C739" s="1026"/>
      <c r="D739" s="1714"/>
      <c r="E739" s="1720"/>
      <c r="F739" s="1720"/>
      <c r="G739" s="1716"/>
      <c r="H739" s="1715"/>
      <c r="I739" s="1715"/>
      <c r="J739" s="1717"/>
      <c r="K739" s="1717"/>
      <c r="L739" s="1717"/>
      <c r="M739" s="1717"/>
      <c r="N739" s="1718"/>
    </row>
    <row r="740">
      <c r="A740" s="1721"/>
      <c r="C740" s="1026"/>
      <c r="D740" s="1714"/>
      <c r="E740" s="1720"/>
      <c r="F740" s="1720"/>
      <c r="G740" s="1716"/>
      <c r="H740" s="1715"/>
      <c r="I740" s="1715"/>
      <c r="J740" s="1717"/>
      <c r="K740" s="1717"/>
      <c r="L740" s="1717"/>
      <c r="M740" s="1717"/>
      <c r="N740" s="1718"/>
    </row>
    <row r="741">
      <c r="A741" s="1721"/>
      <c r="C741" s="1026"/>
      <c r="D741" s="1714"/>
      <c r="E741" s="1720"/>
      <c r="F741" s="1720"/>
      <c r="G741" s="1716"/>
      <c r="H741" s="1715"/>
      <c r="I741" s="1715"/>
      <c r="J741" s="1717"/>
      <c r="K741" s="1717"/>
      <c r="L741" s="1717"/>
      <c r="M741" s="1717"/>
      <c r="N741" s="1718"/>
    </row>
    <row r="742">
      <c r="A742" s="1721"/>
      <c r="C742" s="1026"/>
      <c r="D742" s="1714"/>
      <c r="E742" s="1720"/>
      <c r="F742" s="1720"/>
      <c r="G742" s="1716"/>
      <c r="H742" s="1715"/>
      <c r="I742" s="1715"/>
      <c r="J742" s="1717"/>
      <c r="K742" s="1717"/>
      <c r="L742" s="1717"/>
      <c r="M742" s="1717"/>
      <c r="N742" s="1718"/>
    </row>
    <row r="743">
      <c r="A743" s="1721"/>
      <c r="C743" s="1026"/>
      <c r="D743" s="1714"/>
      <c r="E743" s="1720"/>
      <c r="F743" s="1720"/>
      <c r="G743" s="1716"/>
      <c r="H743" s="1715"/>
      <c r="I743" s="1715"/>
      <c r="J743" s="1717"/>
      <c r="K743" s="1717"/>
      <c r="L743" s="1717"/>
      <c r="M743" s="1717"/>
      <c r="N743" s="1718"/>
    </row>
    <row r="744">
      <c r="A744" s="1721"/>
      <c r="C744" s="1026"/>
      <c r="D744" s="1714"/>
      <c r="E744" s="1720"/>
      <c r="F744" s="1720"/>
      <c r="G744" s="1716"/>
      <c r="H744" s="1715"/>
      <c r="I744" s="1715"/>
      <c r="J744" s="1717"/>
      <c r="K744" s="1717"/>
      <c r="L744" s="1717"/>
      <c r="M744" s="1717"/>
      <c r="N744" s="1718"/>
    </row>
    <row r="745">
      <c r="A745" s="1721"/>
      <c r="C745" s="1026"/>
      <c r="D745" s="1714"/>
      <c r="E745" s="1720"/>
      <c r="F745" s="1720"/>
      <c r="G745" s="1716"/>
      <c r="H745" s="1715"/>
      <c r="I745" s="1715"/>
      <c r="J745" s="1717"/>
      <c r="K745" s="1717"/>
      <c r="L745" s="1717"/>
      <c r="M745" s="1717"/>
      <c r="N745" s="1718"/>
    </row>
    <row r="746">
      <c r="A746" s="1721"/>
      <c r="C746" s="1026"/>
      <c r="D746" s="1714"/>
      <c r="E746" s="1720"/>
      <c r="F746" s="1720"/>
      <c r="G746" s="1716"/>
      <c r="H746" s="1715"/>
      <c r="I746" s="1715"/>
      <c r="J746" s="1717"/>
      <c r="K746" s="1717"/>
      <c r="L746" s="1717"/>
      <c r="M746" s="1717"/>
      <c r="N746" s="1718"/>
    </row>
    <row r="747">
      <c r="A747" s="1721"/>
      <c r="C747" s="1026"/>
      <c r="D747" s="1714"/>
      <c r="E747" s="1720"/>
      <c r="F747" s="1720"/>
      <c r="G747" s="1716"/>
      <c r="H747" s="1715"/>
      <c r="I747" s="1715"/>
      <c r="J747" s="1717"/>
      <c r="K747" s="1717"/>
      <c r="L747" s="1717"/>
      <c r="M747" s="1717"/>
      <c r="N747" s="1718"/>
    </row>
    <row r="748">
      <c r="A748" s="1721"/>
      <c r="C748" s="1026"/>
      <c r="D748" s="1714"/>
      <c r="E748" s="1720"/>
      <c r="F748" s="1720"/>
      <c r="G748" s="1716"/>
      <c r="H748" s="1715"/>
      <c r="I748" s="1715"/>
      <c r="J748" s="1717"/>
      <c r="K748" s="1717"/>
      <c r="L748" s="1717"/>
      <c r="M748" s="1717"/>
      <c r="N748" s="1718"/>
    </row>
    <row r="749">
      <c r="A749" s="1721"/>
      <c r="C749" s="1026"/>
      <c r="D749" s="1714"/>
      <c r="E749" s="1720"/>
      <c r="F749" s="1720"/>
      <c r="G749" s="1716"/>
      <c r="H749" s="1715"/>
      <c r="I749" s="1715"/>
      <c r="J749" s="1717"/>
      <c r="K749" s="1717"/>
      <c r="L749" s="1717"/>
      <c r="M749" s="1717"/>
      <c r="N749" s="1718"/>
    </row>
    <row r="750">
      <c r="A750" s="1721"/>
      <c r="C750" s="1026"/>
      <c r="D750" s="1714"/>
      <c r="E750" s="1720"/>
      <c r="F750" s="1720"/>
      <c r="G750" s="1716"/>
      <c r="H750" s="1715"/>
      <c r="I750" s="1715"/>
      <c r="J750" s="1717"/>
      <c r="K750" s="1717"/>
      <c r="L750" s="1717"/>
      <c r="M750" s="1717"/>
      <c r="N750" s="1718"/>
    </row>
    <row r="751">
      <c r="A751" s="1721"/>
      <c r="C751" s="1026"/>
      <c r="D751" s="1714"/>
      <c r="E751" s="1720"/>
      <c r="F751" s="1720"/>
      <c r="G751" s="1716"/>
      <c r="H751" s="1715"/>
      <c r="I751" s="1715"/>
      <c r="J751" s="1717"/>
      <c r="K751" s="1717"/>
      <c r="L751" s="1717"/>
      <c r="M751" s="1717"/>
      <c r="N751" s="1718"/>
    </row>
    <row r="752">
      <c r="A752" s="1721"/>
      <c r="C752" s="1026"/>
      <c r="D752" s="1714"/>
      <c r="E752" s="1720"/>
      <c r="F752" s="1720"/>
      <c r="G752" s="1716"/>
      <c r="H752" s="1715"/>
      <c r="I752" s="1715"/>
      <c r="J752" s="1717"/>
      <c r="K752" s="1717"/>
      <c r="L752" s="1717"/>
      <c r="M752" s="1717"/>
      <c r="N752" s="1718"/>
    </row>
    <row r="753">
      <c r="A753" s="1721"/>
      <c r="C753" s="1026"/>
      <c r="D753" s="1714"/>
      <c r="E753" s="1720"/>
      <c r="F753" s="1720"/>
      <c r="G753" s="1716"/>
      <c r="H753" s="1715"/>
      <c r="I753" s="1715"/>
      <c r="J753" s="1717"/>
      <c r="K753" s="1717"/>
      <c r="L753" s="1717"/>
      <c r="M753" s="1717"/>
      <c r="N753" s="1718"/>
    </row>
    <row r="754">
      <c r="A754" s="1721"/>
      <c r="C754" s="1026"/>
      <c r="D754" s="1714"/>
      <c r="E754" s="1720"/>
      <c r="F754" s="1720"/>
      <c r="G754" s="1716"/>
      <c r="H754" s="1715"/>
      <c r="I754" s="1715"/>
      <c r="J754" s="1717"/>
      <c r="K754" s="1717"/>
      <c r="L754" s="1717"/>
      <c r="M754" s="1717"/>
      <c r="N754" s="1718"/>
    </row>
    <row r="755">
      <c r="A755" s="1721"/>
      <c r="C755" s="1026"/>
      <c r="D755" s="1714"/>
      <c r="E755" s="1720"/>
      <c r="F755" s="1720"/>
      <c r="G755" s="1716"/>
      <c r="H755" s="1715"/>
      <c r="I755" s="1715"/>
      <c r="J755" s="1717"/>
      <c r="K755" s="1717"/>
      <c r="L755" s="1717"/>
      <c r="M755" s="1717"/>
      <c r="N755" s="1718"/>
    </row>
    <row r="756">
      <c r="A756" s="1721"/>
      <c r="C756" s="1026"/>
      <c r="D756" s="1714"/>
      <c r="E756" s="1720"/>
      <c r="F756" s="1720"/>
      <c r="G756" s="1716"/>
      <c r="H756" s="1715"/>
      <c r="I756" s="1715"/>
      <c r="J756" s="1717"/>
      <c r="K756" s="1717"/>
      <c r="L756" s="1717"/>
      <c r="M756" s="1717"/>
      <c r="N756" s="1718"/>
    </row>
    <row r="757">
      <c r="A757" s="1721"/>
      <c r="C757" s="1026"/>
      <c r="D757" s="1714"/>
      <c r="E757" s="1720"/>
      <c r="F757" s="1720"/>
      <c r="G757" s="1716"/>
      <c r="H757" s="1715"/>
      <c r="I757" s="1715"/>
      <c r="J757" s="1717"/>
      <c r="K757" s="1717"/>
      <c r="L757" s="1717"/>
      <c r="M757" s="1717"/>
      <c r="N757" s="1718"/>
    </row>
    <row r="758">
      <c r="A758" s="1721"/>
      <c r="C758" s="1026"/>
      <c r="D758" s="1714"/>
      <c r="E758" s="1720"/>
      <c r="F758" s="1720"/>
      <c r="G758" s="1716"/>
      <c r="H758" s="1715"/>
      <c r="I758" s="1715"/>
      <c r="J758" s="1717"/>
      <c r="K758" s="1717"/>
      <c r="L758" s="1717"/>
      <c r="M758" s="1717"/>
      <c r="N758" s="1718"/>
    </row>
    <row r="759">
      <c r="A759" s="1721"/>
      <c r="C759" s="1026"/>
      <c r="D759" s="1714"/>
      <c r="E759" s="1720"/>
      <c r="F759" s="1720"/>
      <c r="G759" s="1716"/>
      <c r="H759" s="1715"/>
      <c r="I759" s="1715"/>
      <c r="J759" s="1717"/>
      <c r="K759" s="1717"/>
      <c r="L759" s="1717"/>
      <c r="M759" s="1717"/>
      <c r="N759" s="1718"/>
    </row>
    <row r="760">
      <c r="A760" s="1721"/>
      <c r="C760" s="1026"/>
      <c r="D760" s="1714"/>
      <c r="E760" s="1720"/>
      <c r="F760" s="1720"/>
      <c r="G760" s="1716"/>
      <c r="H760" s="1715"/>
      <c r="I760" s="1715"/>
      <c r="J760" s="1717"/>
      <c r="K760" s="1717"/>
      <c r="L760" s="1717"/>
      <c r="M760" s="1717"/>
      <c r="N760" s="1718"/>
    </row>
    <row r="761">
      <c r="A761" s="1721"/>
      <c r="C761" s="1026"/>
      <c r="D761" s="1714"/>
      <c r="E761" s="1720"/>
      <c r="F761" s="1720"/>
      <c r="G761" s="1716"/>
      <c r="H761" s="1715"/>
      <c r="I761" s="1715"/>
      <c r="J761" s="1717"/>
      <c r="K761" s="1717"/>
      <c r="L761" s="1717"/>
      <c r="M761" s="1717"/>
      <c r="N761" s="1718"/>
    </row>
    <row r="762">
      <c r="A762" s="1721"/>
      <c r="C762" s="1026"/>
      <c r="D762" s="1714"/>
      <c r="E762" s="1720"/>
      <c r="F762" s="1720"/>
      <c r="G762" s="1716"/>
      <c r="H762" s="1715"/>
      <c r="I762" s="1715"/>
      <c r="J762" s="1717"/>
      <c r="K762" s="1717"/>
      <c r="L762" s="1717"/>
      <c r="M762" s="1717"/>
      <c r="N762" s="1718"/>
    </row>
    <row r="763">
      <c r="A763" s="1721"/>
      <c r="C763" s="1026"/>
      <c r="D763" s="1714"/>
      <c r="E763" s="1720"/>
      <c r="F763" s="1720"/>
      <c r="G763" s="1716"/>
      <c r="H763" s="1715"/>
      <c r="I763" s="1715"/>
      <c r="J763" s="1717"/>
      <c r="K763" s="1717"/>
      <c r="L763" s="1717"/>
      <c r="M763" s="1717"/>
      <c r="N763" s="1718"/>
    </row>
    <row r="764">
      <c r="A764" s="1721"/>
      <c r="C764" s="1026"/>
      <c r="D764" s="1714"/>
      <c r="E764" s="1720"/>
      <c r="F764" s="1720"/>
      <c r="G764" s="1716"/>
      <c r="H764" s="1715"/>
      <c r="I764" s="1715"/>
      <c r="J764" s="1717"/>
      <c r="K764" s="1717"/>
      <c r="L764" s="1717"/>
      <c r="M764" s="1717"/>
      <c r="N764" s="1718"/>
    </row>
    <row r="765">
      <c r="A765" s="1721"/>
      <c r="C765" s="1026"/>
      <c r="D765" s="1714"/>
      <c r="E765" s="1720"/>
      <c r="F765" s="1720"/>
      <c r="G765" s="1716"/>
      <c r="H765" s="1715"/>
      <c r="I765" s="1715"/>
      <c r="J765" s="1717"/>
      <c r="K765" s="1717"/>
      <c r="L765" s="1717"/>
      <c r="M765" s="1717"/>
      <c r="N765" s="1718"/>
    </row>
    <row r="766">
      <c r="A766" s="1721"/>
      <c r="C766" s="1026"/>
      <c r="D766" s="1714"/>
      <c r="E766" s="1720"/>
      <c r="F766" s="1720"/>
      <c r="G766" s="1716"/>
      <c r="H766" s="1715"/>
      <c r="I766" s="1715"/>
      <c r="J766" s="1717"/>
      <c r="K766" s="1717"/>
      <c r="L766" s="1717"/>
      <c r="M766" s="1717"/>
      <c r="N766" s="1718"/>
    </row>
    <row r="767">
      <c r="A767" s="1721"/>
      <c r="C767" s="1026"/>
      <c r="D767" s="1714"/>
      <c r="E767" s="1720"/>
      <c r="F767" s="1720"/>
      <c r="G767" s="1716"/>
      <c r="H767" s="1715"/>
      <c r="I767" s="1715"/>
      <c r="J767" s="1717"/>
      <c r="K767" s="1717"/>
      <c r="L767" s="1717"/>
      <c r="M767" s="1717"/>
      <c r="N767" s="1718"/>
    </row>
    <row r="768">
      <c r="A768" s="1721"/>
      <c r="C768" s="1026"/>
      <c r="D768" s="1714"/>
      <c r="E768" s="1720"/>
      <c r="F768" s="1720"/>
      <c r="G768" s="1716"/>
      <c r="H768" s="1715"/>
      <c r="I768" s="1715"/>
      <c r="J768" s="1717"/>
      <c r="K768" s="1717"/>
      <c r="L768" s="1717"/>
      <c r="M768" s="1717"/>
      <c r="N768" s="1718"/>
    </row>
    <row r="769">
      <c r="A769" s="1721"/>
      <c r="C769" s="1026"/>
      <c r="D769" s="1714"/>
      <c r="E769" s="1720"/>
      <c r="F769" s="1720"/>
      <c r="G769" s="1716"/>
      <c r="H769" s="1715"/>
      <c r="I769" s="1715"/>
      <c r="J769" s="1717"/>
      <c r="K769" s="1717"/>
      <c r="L769" s="1717"/>
      <c r="M769" s="1717"/>
      <c r="N769" s="1718"/>
    </row>
    <row r="770">
      <c r="A770" s="1721"/>
      <c r="C770" s="1026"/>
      <c r="D770" s="1714"/>
      <c r="E770" s="1720"/>
      <c r="F770" s="1720"/>
      <c r="G770" s="1716"/>
      <c r="H770" s="1715"/>
      <c r="I770" s="1715"/>
      <c r="J770" s="1717"/>
      <c r="K770" s="1717"/>
      <c r="L770" s="1717"/>
      <c r="M770" s="1717"/>
      <c r="N770" s="1718"/>
    </row>
    <row r="771">
      <c r="A771" s="1721"/>
      <c r="C771" s="1026"/>
      <c r="D771" s="1714"/>
      <c r="E771" s="1720"/>
      <c r="F771" s="1720"/>
      <c r="G771" s="1716"/>
      <c r="H771" s="1715"/>
      <c r="I771" s="1715"/>
      <c r="J771" s="1717"/>
      <c r="K771" s="1717"/>
      <c r="L771" s="1717"/>
      <c r="M771" s="1717"/>
      <c r="N771" s="1718"/>
    </row>
    <row r="772">
      <c r="A772" s="1721"/>
      <c r="C772" s="1026"/>
      <c r="D772" s="1714"/>
      <c r="E772" s="1720"/>
      <c r="F772" s="1720"/>
      <c r="G772" s="1716"/>
      <c r="H772" s="1715"/>
      <c r="I772" s="1715"/>
      <c r="J772" s="1717"/>
      <c r="K772" s="1717"/>
      <c r="L772" s="1717"/>
      <c r="M772" s="1717"/>
      <c r="N772" s="1718"/>
    </row>
    <row r="773">
      <c r="A773" s="1721"/>
      <c r="C773" s="1026"/>
      <c r="D773" s="1714"/>
      <c r="E773" s="1720"/>
      <c r="F773" s="1720"/>
      <c r="G773" s="1716"/>
      <c r="H773" s="1715"/>
      <c r="I773" s="1715"/>
      <c r="J773" s="1717"/>
      <c r="K773" s="1717"/>
      <c r="L773" s="1717"/>
      <c r="M773" s="1717"/>
      <c r="N773" s="1718"/>
    </row>
    <row r="774">
      <c r="A774" s="1721"/>
      <c r="C774" s="1026"/>
      <c r="D774" s="1714"/>
      <c r="E774" s="1720"/>
      <c r="F774" s="1720"/>
      <c r="G774" s="1716"/>
      <c r="H774" s="1715"/>
      <c r="I774" s="1715"/>
      <c r="J774" s="1717"/>
      <c r="K774" s="1717"/>
      <c r="L774" s="1717"/>
      <c r="M774" s="1717"/>
      <c r="N774" s="1718"/>
    </row>
    <row r="775">
      <c r="A775" s="1721"/>
      <c r="C775" s="1026"/>
      <c r="D775" s="1714"/>
      <c r="E775" s="1720"/>
      <c r="F775" s="1720"/>
      <c r="G775" s="1716"/>
      <c r="H775" s="1715"/>
      <c r="I775" s="1715"/>
      <c r="J775" s="1717"/>
      <c r="K775" s="1717"/>
      <c r="L775" s="1717"/>
      <c r="M775" s="1717"/>
      <c r="N775" s="1718"/>
    </row>
    <row r="776">
      <c r="A776" s="1721"/>
      <c r="C776" s="1026"/>
      <c r="D776" s="1714"/>
      <c r="E776" s="1720"/>
      <c r="F776" s="1720"/>
      <c r="G776" s="1716"/>
      <c r="H776" s="1715"/>
      <c r="I776" s="1715"/>
      <c r="J776" s="1717"/>
      <c r="K776" s="1717"/>
      <c r="L776" s="1717"/>
      <c r="M776" s="1717"/>
      <c r="N776" s="1718"/>
    </row>
    <row r="777">
      <c r="A777" s="1721"/>
      <c r="C777" s="1026"/>
      <c r="D777" s="1714"/>
      <c r="E777" s="1720"/>
      <c r="F777" s="1720"/>
      <c r="G777" s="1716"/>
      <c r="H777" s="1715"/>
      <c r="I777" s="1715"/>
      <c r="J777" s="1717"/>
      <c r="K777" s="1717"/>
      <c r="L777" s="1717"/>
      <c r="M777" s="1717"/>
      <c r="N777" s="1718"/>
    </row>
    <row r="778">
      <c r="A778" s="1721"/>
      <c r="C778" s="1026"/>
      <c r="D778" s="1714"/>
      <c r="E778" s="1720"/>
      <c r="F778" s="1720"/>
      <c r="G778" s="1716"/>
      <c r="H778" s="1715"/>
      <c r="I778" s="1715"/>
      <c r="J778" s="1717"/>
      <c r="K778" s="1717"/>
      <c r="L778" s="1717"/>
      <c r="M778" s="1717"/>
      <c r="N778" s="1718"/>
    </row>
    <row r="779">
      <c r="A779" s="1721"/>
      <c r="C779" s="1026"/>
      <c r="D779" s="1714"/>
      <c r="E779" s="1720"/>
      <c r="F779" s="1720"/>
      <c r="G779" s="1716"/>
      <c r="H779" s="1715"/>
      <c r="I779" s="1715"/>
      <c r="J779" s="1717"/>
      <c r="K779" s="1717"/>
      <c r="L779" s="1717"/>
      <c r="M779" s="1717"/>
      <c r="N779" s="1718"/>
    </row>
    <row r="780">
      <c r="A780" s="1721"/>
      <c r="C780" s="1026"/>
      <c r="D780" s="1714"/>
      <c r="E780" s="1720"/>
      <c r="F780" s="1720"/>
      <c r="G780" s="1716"/>
      <c r="H780" s="1715"/>
      <c r="I780" s="1715"/>
      <c r="J780" s="1717"/>
      <c r="K780" s="1717"/>
      <c r="L780" s="1717"/>
      <c r="M780" s="1717"/>
      <c r="N780" s="1718"/>
    </row>
    <row r="781">
      <c r="A781" s="1721"/>
      <c r="C781" s="1026"/>
      <c r="D781" s="1714"/>
      <c r="E781" s="1720"/>
      <c r="F781" s="1720"/>
      <c r="G781" s="1716"/>
      <c r="H781" s="1715"/>
      <c r="I781" s="1715"/>
      <c r="J781" s="1717"/>
      <c r="K781" s="1717"/>
      <c r="L781" s="1717"/>
      <c r="M781" s="1717"/>
      <c r="N781" s="1718"/>
    </row>
    <row r="782">
      <c r="A782" s="1721"/>
      <c r="C782" s="1026"/>
      <c r="D782" s="1714"/>
      <c r="E782" s="1720"/>
      <c r="F782" s="1720"/>
      <c r="G782" s="1716"/>
      <c r="H782" s="1715"/>
      <c r="I782" s="1715"/>
      <c r="J782" s="1717"/>
      <c r="K782" s="1717"/>
      <c r="L782" s="1717"/>
      <c r="M782" s="1717"/>
      <c r="N782" s="1718"/>
    </row>
    <row r="783">
      <c r="A783" s="1721"/>
      <c r="C783" s="1026"/>
      <c r="D783" s="1714"/>
      <c r="E783" s="1720"/>
      <c r="F783" s="1720"/>
      <c r="G783" s="1716"/>
      <c r="H783" s="1715"/>
      <c r="I783" s="1715"/>
      <c r="J783" s="1717"/>
      <c r="K783" s="1717"/>
      <c r="L783" s="1717"/>
      <c r="M783" s="1717"/>
      <c r="N783" s="1718"/>
    </row>
    <row r="784">
      <c r="A784" s="1721"/>
      <c r="C784" s="1026"/>
      <c r="D784" s="1714"/>
      <c r="E784" s="1720"/>
      <c r="F784" s="1720"/>
      <c r="G784" s="1716"/>
      <c r="H784" s="1715"/>
      <c r="I784" s="1715"/>
      <c r="J784" s="1717"/>
      <c r="K784" s="1717"/>
      <c r="L784" s="1717"/>
      <c r="M784" s="1717"/>
      <c r="N784" s="1718"/>
    </row>
    <row r="785">
      <c r="A785" s="1721"/>
      <c r="C785" s="1026"/>
      <c r="D785" s="1714"/>
      <c r="E785" s="1720"/>
      <c r="F785" s="1720"/>
      <c r="G785" s="1716"/>
      <c r="H785" s="1715"/>
      <c r="I785" s="1715"/>
      <c r="J785" s="1717"/>
      <c r="K785" s="1717"/>
      <c r="L785" s="1717"/>
      <c r="M785" s="1717"/>
      <c r="N785" s="1718"/>
    </row>
    <row r="786">
      <c r="A786" s="1721"/>
      <c r="C786" s="1026"/>
      <c r="D786" s="1714"/>
      <c r="E786" s="1720"/>
      <c r="F786" s="1720"/>
      <c r="G786" s="1716"/>
      <c r="H786" s="1715"/>
      <c r="I786" s="1715"/>
      <c r="J786" s="1717"/>
      <c r="K786" s="1717"/>
      <c r="L786" s="1717"/>
      <c r="M786" s="1717"/>
      <c r="N786" s="1718"/>
    </row>
    <row r="787">
      <c r="A787" s="1721"/>
      <c r="C787" s="1026"/>
      <c r="D787" s="1714"/>
      <c r="E787" s="1720"/>
      <c r="F787" s="1720"/>
      <c r="G787" s="1716"/>
      <c r="H787" s="1715"/>
      <c r="I787" s="1715"/>
      <c r="J787" s="1717"/>
      <c r="K787" s="1717"/>
      <c r="L787" s="1717"/>
      <c r="M787" s="1717"/>
      <c r="N787" s="1718"/>
    </row>
    <row r="788">
      <c r="A788" s="1721"/>
      <c r="C788" s="1026"/>
      <c r="D788" s="1714"/>
      <c r="E788" s="1720"/>
      <c r="F788" s="1720"/>
      <c r="G788" s="1716"/>
      <c r="H788" s="1715"/>
      <c r="I788" s="1715"/>
      <c r="J788" s="1717"/>
      <c r="K788" s="1717"/>
      <c r="L788" s="1717"/>
      <c r="M788" s="1717"/>
      <c r="N788" s="1718"/>
    </row>
    <row r="789">
      <c r="A789" s="1721"/>
      <c r="C789" s="1026"/>
      <c r="D789" s="1714"/>
      <c r="E789" s="1720"/>
      <c r="F789" s="1720"/>
      <c r="G789" s="1716"/>
      <c r="H789" s="1715"/>
      <c r="I789" s="1715"/>
      <c r="J789" s="1717"/>
      <c r="K789" s="1717"/>
      <c r="L789" s="1717"/>
      <c r="M789" s="1717"/>
      <c r="N789" s="1718"/>
    </row>
    <row r="790">
      <c r="A790" s="1721"/>
      <c r="C790" s="1026"/>
      <c r="D790" s="1714"/>
      <c r="E790" s="1720"/>
      <c r="F790" s="1720"/>
      <c r="G790" s="1716"/>
      <c r="H790" s="1715"/>
      <c r="I790" s="1715"/>
      <c r="J790" s="1717"/>
      <c r="K790" s="1717"/>
      <c r="L790" s="1717"/>
      <c r="M790" s="1717"/>
      <c r="N790" s="1718"/>
    </row>
    <row r="791">
      <c r="A791" s="1721"/>
      <c r="C791" s="1026"/>
      <c r="D791" s="1714"/>
      <c r="E791" s="1720"/>
      <c r="F791" s="1720"/>
      <c r="G791" s="1716"/>
      <c r="H791" s="1715"/>
      <c r="I791" s="1715"/>
      <c r="J791" s="1717"/>
      <c r="K791" s="1717"/>
      <c r="L791" s="1717"/>
      <c r="M791" s="1717"/>
      <c r="N791" s="1718"/>
    </row>
    <row r="792">
      <c r="A792" s="1721"/>
      <c r="C792" s="1026"/>
      <c r="D792" s="1714"/>
      <c r="E792" s="1720"/>
      <c r="F792" s="1720"/>
      <c r="G792" s="1716"/>
      <c r="H792" s="1715"/>
      <c r="I792" s="1715"/>
      <c r="J792" s="1717"/>
      <c r="K792" s="1717"/>
      <c r="L792" s="1717"/>
      <c r="M792" s="1717"/>
      <c r="N792" s="1718"/>
    </row>
    <row r="793">
      <c r="A793" s="1721"/>
      <c r="C793" s="1026"/>
      <c r="D793" s="1714"/>
      <c r="E793" s="1720"/>
      <c r="F793" s="1720"/>
      <c r="G793" s="1716"/>
      <c r="H793" s="1715"/>
      <c r="I793" s="1715"/>
      <c r="J793" s="1717"/>
      <c r="K793" s="1717"/>
      <c r="L793" s="1717"/>
      <c r="M793" s="1717"/>
      <c r="N793" s="1718"/>
    </row>
    <row r="794">
      <c r="A794" s="1721"/>
      <c r="C794" s="1026"/>
      <c r="D794" s="1714"/>
      <c r="E794" s="1720"/>
      <c r="F794" s="1720"/>
      <c r="G794" s="1716"/>
      <c r="H794" s="1715"/>
      <c r="I794" s="1715"/>
      <c r="J794" s="1717"/>
      <c r="K794" s="1717"/>
      <c r="L794" s="1717"/>
      <c r="M794" s="1717"/>
      <c r="N794" s="1718"/>
    </row>
    <row r="795">
      <c r="A795" s="1721"/>
      <c r="C795" s="1026"/>
      <c r="D795" s="1714"/>
      <c r="E795" s="1720"/>
      <c r="F795" s="1720"/>
      <c r="G795" s="1716"/>
      <c r="H795" s="1715"/>
      <c r="I795" s="1715"/>
      <c r="J795" s="1717"/>
      <c r="K795" s="1717"/>
      <c r="L795" s="1717"/>
      <c r="M795" s="1717"/>
      <c r="N795" s="1718"/>
    </row>
    <row r="796">
      <c r="A796" s="1721"/>
      <c r="C796" s="1026"/>
      <c r="D796" s="1714"/>
      <c r="E796" s="1720"/>
      <c r="F796" s="1720"/>
      <c r="G796" s="1716"/>
      <c r="H796" s="1715"/>
      <c r="I796" s="1715"/>
      <c r="J796" s="1717"/>
      <c r="K796" s="1717"/>
      <c r="L796" s="1717"/>
      <c r="M796" s="1717"/>
      <c r="N796" s="1718"/>
    </row>
    <row r="797">
      <c r="A797" s="1721"/>
      <c r="C797" s="1026"/>
      <c r="D797" s="1714"/>
      <c r="E797" s="1720"/>
      <c r="F797" s="1720"/>
      <c r="G797" s="1716"/>
      <c r="H797" s="1715"/>
      <c r="I797" s="1715"/>
      <c r="J797" s="1717"/>
      <c r="K797" s="1717"/>
      <c r="L797" s="1717"/>
      <c r="M797" s="1717"/>
      <c r="N797" s="1718"/>
    </row>
    <row r="798">
      <c r="A798" s="1721"/>
      <c r="C798" s="1026"/>
      <c r="D798" s="1714"/>
      <c r="E798" s="1720"/>
      <c r="F798" s="1720"/>
      <c r="G798" s="1716"/>
      <c r="H798" s="1715"/>
      <c r="I798" s="1715"/>
      <c r="J798" s="1717"/>
      <c r="K798" s="1717"/>
      <c r="L798" s="1717"/>
      <c r="M798" s="1717"/>
      <c r="N798" s="1718"/>
    </row>
    <row r="799">
      <c r="A799" s="1721"/>
      <c r="C799" s="1026"/>
      <c r="D799" s="1714"/>
      <c r="E799" s="1720"/>
      <c r="F799" s="1720"/>
      <c r="G799" s="1716"/>
      <c r="H799" s="1715"/>
      <c r="I799" s="1715"/>
      <c r="J799" s="1717"/>
      <c r="K799" s="1717"/>
      <c r="L799" s="1717"/>
      <c r="M799" s="1717"/>
      <c r="N799" s="1718"/>
    </row>
    <row r="800">
      <c r="A800" s="1721"/>
      <c r="C800" s="1026"/>
      <c r="D800" s="1714"/>
      <c r="E800" s="1720"/>
      <c r="F800" s="1720"/>
      <c r="G800" s="1716"/>
      <c r="H800" s="1715"/>
      <c r="I800" s="1715"/>
      <c r="J800" s="1717"/>
      <c r="K800" s="1717"/>
      <c r="L800" s="1717"/>
      <c r="M800" s="1717"/>
      <c r="N800" s="1718"/>
    </row>
    <row r="801">
      <c r="A801" s="1721"/>
      <c r="C801" s="1026"/>
      <c r="D801" s="1714"/>
      <c r="E801" s="1720"/>
      <c r="F801" s="1720"/>
      <c r="G801" s="1716"/>
      <c r="H801" s="1715"/>
      <c r="I801" s="1715"/>
      <c r="J801" s="1717"/>
      <c r="K801" s="1717"/>
      <c r="L801" s="1717"/>
      <c r="M801" s="1717"/>
      <c r="N801" s="1718"/>
    </row>
    <row r="802">
      <c r="A802" s="1721"/>
      <c r="C802" s="1026"/>
      <c r="D802" s="1714"/>
      <c r="E802" s="1720"/>
      <c r="F802" s="1720"/>
      <c r="G802" s="1716"/>
      <c r="H802" s="1715"/>
      <c r="I802" s="1715"/>
      <c r="J802" s="1717"/>
      <c r="K802" s="1717"/>
      <c r="L802" s="1717"/>
      <c r="M802" s="1717"/>
      <c r="N802" s="1718"/>
    </row>
    <row r="803">
      <c r="A803" s="1721"/>
      <c r="C803" s="1026"/>
      <c r="D803" s="1714"/>
      <c r="E803" s="1720"/>
      <c r="F803" s="1720"/>
      <c r="G803" s="1716"/>
      <c r="H803" s="1715"/>
      <c r="I803" s="1715"/>
      <c r="J803" s="1717"/>
      <c r="K803" s="1717"/>
      <c r="L803" s="1717"/>
      <c r="M803" s="1717"/>
      <c r="N803" s="1718"/>
    </row>
    <row r="804">
      <c r="A804" s="1721"/>
      <c r="C804" s="1026"/>
      <c r="D804" s="1714"/>
      <c r="E804" s="1720"/>
      <c r="F804" s="1720"/>
      <c r="G804" s="1716"/>
      <c r="H804" s="1715"/>
      <c r="I804" s="1715"/>
      <c r="J804" s="1717"/>
      <c r="K804" s="1717"/>
      <c r="L804" s="1717"/>
      <c r="M804" s="1717"/>
      <c r="N804" s="1718"/>
    </row>
    <row r="805">
      <c r="A805" s="1721"/>
      <c r="C805" s="1026"/>
      <c r="D805" s="1714"/>
      <c r="E805" s="1720"/>
      <c r="F805" s="1720"/>
      <c r="G805" s="1716"/>
      <c r="H805" s="1715"/>
      <c r="I805" s="1715"/>
      <c r="J805" s="1717"/>
      <c r="K805" s="1717"/>
      <c r="L805" s="1717"/>
      <c r="M805" s="1717"/>
      <c r="N805" s="1718"/>
    </row>
    <row r="806">
      <c r="A806" s="1721"/>
      <c r="C806" s="1026"/>
      <c r="D806" s="1714"/>
      <c r="E806" s="1720"/>
      <c r="F806" s="1720"/>
      <c r="G806" s="1716"/>
      <c r="H806" s="1715"/>
      <c r="I806" s="1715"/>
      <c r="J806" s="1717"/>
      <c r="K806" s="1717"/>
      <c r="L806" s="1717"/>
      <c r="M806" s="1717"/>
      <c r="N806" s="1718"/>
    </row>
    <row r="807">
      <c r="A807" s="1721"/>
      <c r="C807" s="1026"/>
      <c r="D807" s="1714"/>
      <c r="E807" s="1720"/>
      <c r="F807" s="1720"/>
      <c r="G807" s="1716"/>
      <c r="H807" s="1715"/>
      <c r="I807" s="1715"/>
      <c r="J807" s="1717"/>
      <c r="K807" s="1717"/>
      <c r="L807" s="1717"/>
      <c r="M807" s="1717"/>
      <c r="N807" s="1718"/>
    </row>
    <row r="808">
      <c r="A808" s="1721"/>
      <c r="C808" s="1026"/>
      <c r="D808" s="1714"/>
      <c r="E808" s="1720"/>
      <c r="F808" s="1720"/>
      <c r="G808" s="1716"/>
      <c r="H808" s="1715"/>
      <c r="I808" s="1715"/>
      <c r="J808" s="1717"/>
      <c r="K808" s="1717"/>
      <c r="L808" s="1717"/>
      <c r="M808" s="1717"/>
      <c r="N808" s="1718"/>
    </row>
    <row r="809">
      <c r="A809" s="1721"/>
      <c r="C809" s="1026"/>
      <c r="D809" s="1714"/>
      <c r="E809" s="1720"/>
      <c r="F809" s="1720"/>
      <c r="G809" s="1716"/>
      <c r="H809" s="1715"/>
      <c r="I809" s="1715"/>
      <c r="J809" s="1717"/>
      <c r="K809" s="1717"/>
      <c r="L809" s="1717"/>
      <c r="M809" s="1717"/>
      <c r="N809" s="1718"/>
    </row>
    <row r="810">
      <c r="A810" s="1721"/>
      <c r="C810" s="1026"/>
      <c r="D810" s="1714"/>
      <c r="E810" s="1720"/>
      <c r="F810" s="1720"/>
      <c r="G810" s="1716"/>
      <c r="H810" s="1715"/>
      <c r="I810" s="1715"/>
      <c r="J810" s="1717"/>
      <c r="K810" s="1717"/>
      <c r="L810" s="1717"/>
      <c r="M810" s="1717"/>
      <c r="N810" s="1718"/>
    </row>
    <row r="811">
      <c r="A811" s="1721"/>
      <c r="C811" s="1026"/>
      <c r="D811" s="1714"/>
      <c r="E811" s="1720"/>
      <c r="F811" s="1720"/>
      <c r="G811" s="1716"/>
      <c r="H811" s="1715"/>
      <c r="I811" s="1715"/>
      <c r="J811" s="1717"/>
      <c r="K811" s="1717"/>
      <c r="L811" s="1717"/>
      <c r="M811" s="1717"/>
      <c r="N811" s="1718"/>
    </row>
    <row r="812">
      <c r="A812" s="1721"/>
      <c r="C812" s="1026"/>
      <c r="D812" s="1714"/>
      <c r="E812" s="1720"/>
      <c r="F812" s="1720"/>
      <c r="G812" s="1716"/>
      <c r="H812" s="1715"/>
      <c r="I812" s="1715"/>
      <c r="J812" s="1717"/>
      <c r="K812" s="1717"/>
      <c r="L812" s="1717"/>
      <c r="M812" s="1717"/>
      <c r="N812" s="1718"/>
    </row>
    <row r="813">
      <c r="A813" s="1721"/>
      <c r="C813" s="1026"/>
      <c r="D813" s="1714"/>
      <c r="E813" s="1720"/>
      <c r="F813" s="1720"/>
      <c r="G813" s="1716"/>
      <c r="H813" s="1715"/>
      <c r="I813" s="1715"/>
      <c r="J813" s="1717"/>
      <c r="K813" s="1717"/>
      <c r="L813" s="1717"/>
      <c r="M813" s="1717"/>
      <c r="N813" s="1718"/>
    </row>
    <row r="814">
      <c r="A814" s="1721"/>
      <c r="C814" s="1026"/>
      <c r="D814" s="1714"/>
      <c r="E814" s="1720"/>
      <c r="F814" s="1720"/>
      <c r="G814" s="1716"/>
      <c r="H814" s="1715"/>
      <c r="I814" s="1715"/>
      <c r="J814" s="1717"/>
      <c r="K814" s="1717"/>
      <c r="L814" s="1717"/>
      <c r="M814" s="1717"/>
      <c r="N814" s="1718"/>
    </row>
    <row r="815">
      <c r="A815" s="1721"/>
      <c r="C815" s="1026"/>
      <c r="D815" s="1714"/>
      <c r="E815" s="1720"/>
      <c r="F815" s="1720"/>
      <c r="G815" s="1716"/>
      <c r="H815" s="1715"/>
      <c r="I815" s="1715"/>
      <c r="J815" s="1717"/>
      <c r="K815" s="1717"/>
      <c r="L815" s="1717"/>
      <c r="M815" s="1717"/>
      <c r="N815" s="1718"/>
    </row>
    <row r="816">
      <c r="A816" s="1721"/>
      <c r="C816" s="1026"/>
      <c r="D816" s="1714"/>
      <c r="E816" s="1720"/>
      <c r="F816" s="1720"/>
      <c r="G816" s="1716"/>
      <c r="H816" s="1715"/>
      <c r="I816" s="1715"/>
      <c r="J816" s="1717"/>
      <c r="K816" s="1717"/>
      <c r="L816" s="1717"/>
      <c r="M816" s="1717"/>
      <c r="N816" s="1718"/>
    </row>
    <row r="817">
      <c r="A817" s="1721"/>
      <c r="C817" s="1026"/>
      <c r="D817" s="1714"/>
      <c r="E817" s="1720"/>
      <c r="F817" s="1720"/>
      <c r="G817" s="1716"/>
      <c r="H817" s="1715"/>
      <c r="I817" s="1715"/>
      <c r="J817" s="1717"/>
      <c r="K817" s="1717"/>
      <c r="L817" s="1717"/>
      <c r="M817" s="1717"/>
      <c r="N817" s="1718"/>
    </row>
    <row r="818">
      <c r="A818" s="1721"/>
      <c r="C818" s="1026"/>
      <c r="D818" s="1714"/>
      <c r="E818" s="1720"/>
      <c r="F818" s="1720"/>
      <c r="G818" s="1716"/>
      <c r="H818" s="1715"/>
      <c r="I818" s="1715"/>
      <c r="J818" s="1717"/>
      <c r="K818" s="1717"/>
      <c r="L818" s="1717"/>
      <c r="M818" s="1717"/>
      <c r="N818" s="1718"/>
    </row>
    <row r="819">
      <c r="A819" s="1721"/>
      <c r="C819" s="1026"/>
      <c r="D819" s="1714"/>
      <c r="E819" s="1720"/>
      <c r="F819" s="1720"/>
      <c r="G819" s="1716"/>
      <c r="H819" s="1715"/>
      <c r="I819" s="1715"/>
      <c r="J819" s="1717"/>
      <c r="K819" s="1717"/>
      <c r="L819" s="1717"/>
      <c r="M819" s="1717"/>
      <c r="N819" s="1718"/>
    </row>
    <row r="820">
      <c r="A820" s="1721"/>
      <c r="C820" s="1026"/>
      <c r="D820" s="1714"/>
      <c r="E820" s="1720"/>
      <c r="F820" s="1720"/>
      <c r="G820" s="1716"/>
      <c r="H820" s="1715"/>
      <c r="I820" s="1715"/>
      <c r="J820" s="1717"/>
      <c r="K820" s="1717"/>
      <c r="L820" s="1717"/>
      <c r="M820" s="1717"/>
      <c r="N820" s="1718"/>
    </row>
    <row r="821">
      <c r="A821" s="1721"/>
      <c r="C821" s="1026"/>
      <c r="D821" s="1714"/>
      <c r="E821" s="1720"/>
      <c r="F821" s="1720"/>
      <c r="G821" s="1716"/>
      <c r="H821" s="1715"/>
      <c r="I821" s="1715"/>
      <c r="J821" s="1717"/>
      <c r="K821" s="1717"/>
      <c r="L821" s="1717"/>
      <c r="M821" s="1717"/>
      <c r="N821" s="1718"/>
    </row>
    <row r="822">
      <c r="A822" s="1721"/>
      <c r="C822" s="1026"/>
      <c r="D822" s="1714"/>
      <c r="E822" s="1720"/>
      <c r="F822" s="1720"/>
      <c r="G822" s="1716"/>
      <c r="H822" s="1715"/>
      <c r="I822" s="1715"/>
      <c r="J822" s="1717"/>
      <c r="K822" s="1717"/>
      <c r="L822" s="1717"/>
      <c r="M822" s="1717"/>
      <c r="N822" s="1718"/>
    </row>
    <row r="823">
      <c r="A823" s="1721"/>
      <c r="C823" s="1026"/>
      <c r="D823" s="1714"/>
      <c r="E823" s="1720"/>
      <c r="F823" s="1720"/>
      <c r="G823" s="1716"/>
      <c r="H823" s="1715"/>
      <c r="I823" s="1715"/>
      <c r="J823" s="1717"/>
      <c r="K823" s="1717"/>
      <c r="L823" s="1717"/>
      <c r="M823" s="1717"/>
      <c r="N823" s="1718"/>
    </row>
    <row r="824">
      <c r="A824" s="1721"/>
      <c r="C824" s="1026"/>
      <c r="D824" s="1714"/>
      <c r="E824" s="1720"/>
      <c r="F824" s="1720"/>
      <c r="G824" s="1716"/>
      <c r="H824" s="1715"/>
      <c r="I824" s="1715"/>
      <c r="J824" s="1717"/>
      <c r="K824" s="1717"/>
      <c r="L824" s="1717"/>
      <c r="M824" s="1717"/>
      <c r="N824" s="1718"/>
    </row>
    <row r="825">
      <c r="A825" s="1721"/>
      <c r="C825" s="1026"/>
      <c r="D825" s="1714"/>
      <c r="E825" s="1720"/>
      <c r="F825" s="1720"/>
      <c r="G825" s="1716"/>
      <c r="H825" s="1715"/>
      <c r="I825" s="1715"/>
      <c r="J825" s="1717"/>
      <c r="K825" s="1717"/>
      <c r="L825" s="1717"/>
      <c r="M825" s="1717"/>
      <c r="N825" s="1718"/>
    </row>
    <row r="826">
      <c r="A826" s="1721"/>
      <c r="C826" s="1026"/>
      <c r="D826" s="1714"/>
      <c r="E826" s="1720"/>
      <c r="F826" s="1720"/>
      <c r="G826" s="1716"/>
      <c r="H826" s="1715"/>
      <c r="I826" s="1715"/>
      <c r="J826" s="1717"/>
      <c r="K826" s="1717"/>
      <c r="L826" s="1717"/>
      <c r="M826" s="1717"/>
      <c r="N826" s="1718"/>
    </row>
    <row r="827">
      <c r="A827" s="1721"/>
      <c r="C827" s="1026"/>
      <c r="D827" s="1714"/>
      <c r="E827" s="1720"/>
      <c r="F827" s="1720"/>
      <c r="G827" s="1716"/>
      <c r="H827" s="1715"/>
      <c r="I827" s="1715"/>
      <c r="J827" s="1717"/>
      <c r="K827" s="1717"/>
      <c r="L827" s="1717"/>
      <c r="M827" s="1717"/>
      <c r="N827" s="1718"/>
    </row>
    <row r="828">
      <c r="A828" s="1721"/>
      <c r="C828" s="1026"/>
      <c r="D828" s="1714"/>
      <c r="E828" s="1720"/>
      <c r="F828" s="1720"/>
      <c r="G828" s="1716"/>
      <c r="H828" s="1715"/>
      <c r="I828" s="1715"/>
      <c r="J828" s="1717"/>
      <c r="K828" s="1717"/>
      <c r="L828" s="1717"/>
      <c r="M828" s="1717"/>
      <c r="N828" s="1718"/>
    </row>
    <row r="829">
      <c r="A829" s="1721"/>
      <c r="C829" s="1026"/>
      <c r="D829" s="1714"/>
      <c r="E829" s="1720"/>
      <c r="F829" s="1720"/>
      <c r="G829" s="1716"/>
      <c r="H829" s="1715"/>
      <c r="I829" s="1715"/>
      <c r="J829" s="1717"/>
      <c r="K829" s="1717"/>
      <c r="L829" s="1717"/>
      <c r="M829" s="1717"/>
      <c r="N829" s="1718"/>
    </row>
    <row r="830">
      <c r="A830" s="1721"/>
      <c r="C830" s="1026"/>
      <c r="D830" s="1714"/>
      <c r="E830" s="1720"/>
      <c r="F830" s="1720"/>
      <c r="G830" s="1716"/>
      <c r="H830" s="1715"/>
      <c r="I830" s="1715"/>
      <c r="J830" s="1717"/>
      <c r="K830" s="1717"/>
      <c r="L830" s="1717"/>
      <c r="M830" s="1717"/>
      <c r="N830" s="1718"/>
    </row>
    <row r="831">
      <c r="A831" s="1721"/>
      <c r="C831" s="1026"/>
      <c r="D831" s="1714"/>
      <c r="E831" s="1720"/>
      <c r="F831" s="1720"/>
      <c r="G831" s="1716"/>
      <c r="H831" s="1715"/>
      <c r="I831" s="1715"/>
      <c r="J831" s="1717"/>
      <c r="K831" s="1717"/>
      <c r="L831" s="1717"/>
      <c r="M831" s="1717"/>
      <c r="N831" s="1718"/>
    </row>
    <row r="832">
      <c r="A832" s="1721"/>
      <c r="C832" s="1026"/>
      <c r="D832" s="1714"/>
      <c r="E832" s="1720"/>
      <c r="F832" s="1720"/>
      <c r="G832" s="1716"/>
      <c r="H832" s="1715"/>
      <c r="I832" s="1715"/>
      <c r="J832" s="1717"/>
      <c r="K832" s="1717"/>
      <c r="L832" s="1717"/>
      <c r="M832" s="1717"/>
      <c r="N832" s="1718"/>
    </row>
    <row r="833">
      <c r="A833" s="1721"/>
      <c r="C833" s="1026"/>
      <c r="D833" s="1714"/>
      <c r="E833" s="1720"/>
      <c r="F833" s="1720"/>
      <c r="G833" s="1716"/>
      <c r="H833" s="1715"/>
      <c r="I833" s="1715"/>
      <c r="J833" s="1717"/>
      <c r="K833" s="1717"/>
      <c r="L833" s="1717"/>
      <c r="M833" s="1717"/>
      <c r="N833" s="1718"/>
    </row>
    <row r="834">
      <c r="A834" s="1721"/>
      <c r="C834" s="1026"/>
      <c r="D834" s="1714"/>
      <c r="E834" s="1720"/>
      <c r="F834" s="1720"/>
      <c r="G834" s="1716"/>
      <c r="H834" s="1715"/>
      <c r="I834" s="1715"/>
      <c r="J834" s="1717"/>
      <c r="K834" s="1717"/>
      <c r="L834" s="1717"/>
      <c r="M834" s="1717"/>
      <c r="N834" s="1718"/>
    </row>
    <row r="835">
      <c r="A835" s="1721"/>
      <c r="C835" s="1026"/>
      <c r="D835" s="1714"/>
      <c r="E835" s="1720"/>
      <c r="F835" s="1720"/>
      <c r="G835" s="1716"/>
      <c r="H835" s="1715"/>
      <c r="I835" s="1715"/>
      <c r="J835" s="1717"/>
      <c r="K835" s="1717"/>
      <c r="L835" s="1717"/>
      <c r="M835" s="1717"/>
      <c r="N835" s="1718"/>
    </row>
    <row r="836">
      <c r="A836" s="1721"/>
      <c r="C836" s="1026"/>
      <c r="D836" s="1714"/>
      <c r="E836" s="1720"/>
      <c r="F836" s="1720"/>
      <c r="G836" s="1716"/>
      <c r="H836" s="1715"/>
      <c r="I836" s="1715"/>
      <c r="J836" s="1717"/>
      <c r="K836" s="1717"/>
      <c r="L836" s="1717"/>
      <c r="M836" s="1717"/>
      <c r="N836" s="1718"/>
    </row>
    <row r="837">
      <c r="A837" s="1721"/>
      <c r="C837" s="1026"/>
      <c r="D837" s="1714"/>
      <c r="E837" s="1720"/>
      <c r="F837" s="1720"/>
      <c r="G837" s="1716"/>
      <c r="H837" s="1715"/>
      <c r="I837" s="1715"/>
      <c r="J837" s="1717"/>
      <c r="K837" s="1717"/>
      <c r="L837" s="1717"/>
      <c r="M837" s="1717"/>
      <c r="N837" s="1718"/>
    </row>
    <row r="838">
      <c r="A838" s="1721"/>
      <c r="C838" s="1026"/>
      <c r="D838" s="1714"/>
      <c r="E838" s="1720"/>
      <c r="F838" s="1720"/>
      <c r="G838" s="1716"/>
      <c r="H838" s="1715"/>
      <c r="I838" s="1715"/>
      <c r="J838" s="1717"/>
      <c r="K838" s="1717"/>
      <c r="L838" s="1717"/>
      <c r="M838" s="1717"/>
      <c r="N838" s="1718"/>
    </row>
    <row r="839">
      <c r="A839" s="1721"/>
      <c r="C839" s="1026"/>
      <c r="D839" s="1714"/>
      <c r="E839" s="1720"/>
      <c r="F839" s="1720"/>
      <c r="G839" s="1716"/>
      <c r="H839" s="1715"/>
      <c r="I839" s="1715"/>
      <c r="J839" s="1717"/>
      <c r="K839" s="1717"/>
      <c r="L839" s="1717"/>
      <c r="M839" s="1717"/>
      <c r="N839" s="1718"/>
    </row>
    <row r="840">
      <c r="A840" s="1721"/>
      <c r="C840" s="1026"/>
      <c r="D840" s="1714"/>
      <c r="E840" s="1720"/>
      <c r="F840" s="1720"/>
      <c r="G840" s="1716"/>
      <c r="H840" s="1715"/>
      <c r="I840" s="1715"/>
      <c r="J840" s="1717"/>
      <c r="K840" s="1717"/>
      <c r="L840" s="1717"/>
      <c r="M840" s="1717"/>
      <c r="N840" s="1718"/>
    </row>
    <row r="841">
      <c r="A841" s="1721"/>
      <c r="C841" s="1026"/>
      <c r="D841" s="1714"/>
      <c r="E841" s="1720"/>
      <c r="F841" s="1720"/>
      <c r="G841" s="1716"/>
      <c r="H841" s="1715"/>
      <c r="I841" s="1715"/>
      <c r="J841" s="1717"/>
      <c r="K841" s="1717"/>
      <c r="L841" s="1717"/>
      <c r="M841" s="1717"/>
      <c r="N841" s="1718"/>
    </row>
    <row r="842">
      <c r="A842" s="1721"/>
      <c r="C842" s="1026"/>
      <c r="D842" s="1714"/>
      <c r="E842" s="1720"/>
      <c r="F842" s="1720"/>
      <c r="G842" s="1716"/>
      <c r="H842" s="1715"/>
      <c r="I842" s="1715"/>
      <c r="J842" s="1717"/>
      <c r="K842" s="1717"/>
      <c r="L842" s="1717"/>
      <c r="M842" s="1717"/>
      <c r="N842" s="1718"/>
    </row>
    <row r="843">
      <c r="A843" s="1721"/>
      <c r="C843" s="1026"/>
      <c r="D843" s="1714"/>
      <c r="E843" s="1720"/>
      <c r="F843" s="1720"/>
      <c r="G843" s="1716"/>
      <c r="H843" s="1715"/>
      <c r="I843" s="1715"/>
      <c r="J843" s="1717"/>
      <c r="K843" s="1717"/>
      <c r="L843" s="1717"/>
      <c r="M843" s="1717"/>
      <c r="N843" s="1718"/>
    </row>
    <row r="844">
      <c r="A844" s="1721"/>
      <c r="C844" s="1026"/>
      <c r="D844" s="1714"/>
      <c r="E844" s="1720"/>
      <c r="F844" s="1720"/>
      <c r="G844" s="1716"/>
      <c r="H844" s="1715"/>
      <c r="I844" s="1715"/>
      <c r="J844" s="1717"/>
      <c r="K844" s="1717"/>
      <c r="L844" s="1717"/>
      <c r="M844" s="1717"/>
      <c r="N844" s="1718"/>
    </row>
    <row r="845">
      <c r="A845" s="1721"/>
      <c r="C845" s="1026"/>
      <c r="D845" s="1714"/>
      <c r="E845" s="1720"/>
      <c r="F845" s="1720"/>
      <c r="G845" s="1716"/>
      <c r="H845" s="1715"/>
      <c r="I845" s="1715"/>
      <c r="J845" s="1717"/>
      <c r="K845" s="1717"/>
      <c r="L845" s="1717"/>
      <c r="M845" s="1717"/>
      <c r="N845" s="1718"/>
    </row>
    <row r="846">
      <c r="A846" s="1721"/>
      <c r="C846" s="1026"/>
      <c r="D846" s="1714"/>
      <c r="E846" s="1720"/>
      <c r="F846" s="1720"/>
      <c r="G846" s="1716"/>
      <c r="H846" s="1715"/>
      <c r="I846" s="1715"/>
      <c r="J846" s="1717"/>
      <c r="K846" s="1717"/>
      <c r="L846" s="1717"/>
      <c r="M846" s="1717"/>
      <c r="N846" s="1718"/>
    </row>
    <row r="847">
      <c r="A847" s="1721"/>
      <c r="C847" s="1026"/>
      <c r="D847" s="1714"/>
      <c r="E847" s="1720"/>
      <c r="F847" s="1720"/>
      <c r="G847" s="1716"/>
      <c r="H847" s="1715"/>
      <c r="I847" s="1715"/>
      <c r="J847" s="1717"/>
      <c r="K847" s="1717"/>
      <c r="L847" s="1717"/>
      <c r="M847" s="1717"/>
      <c r="N847" s="1718"/>
    </row>
    <row r="848">
      <c r="A848" s="1721"/>
      <c r="C848" s="1026"/>
      <c r="D848" s="1714"/>
      <c r="E848" s="1720"/>
      <c r="F848" s="1720"/>
      <c r="G848" s="1716"/>
      <c r="H848" s="1715"/>
      <c r="I848" s="1715"/>
      <c r="J848" s="1717"/>
      <c r="K848" s="1717"/>
      <c r="L848" s="1717"/>
      <c r="M848" s="1717"/>
      <c r="N848" s="1718"/>
    </row>
    <row r="849">
      <c r="A849" s="1721"/>
      <c r="C849" s="1026"/>
      <c r="D849" s="1714"/>
      <c r="E849" s="1720"/>
      <c r="F849" s="1720"/>
      <c r="G849" s="1716"/>
      <c r="H849" s="1715"/>
      <c r="I849" s="1715"/>
      <c r="J849" s="1717"/>
      <c r="K849" s="1717"/>
      <c r="L849" s="1717"/>
      <c r="M849" s="1717"/>
      <c r="N849" s="1718"/>
    </row>
    <row r="850">
      <c r="A850" s="1721"/>
      <c r="C850" s="1026"/>
      <c r="D850" s="1714"/>
      <c r="E850" s="1720"/>
      <c r="F850" s="1720"/>
      <c r="G850" s="1716"/>
      <c r="H850" s="1715"/>
      <c r="I850" s="1715"/>
      <c r="J850" s="1717"/>
      <c r="K850" s="1717"/>
      <c r="L850" s="1717"/>
      <c r="M850" s="1717"/>
      <c r="N850" s="1718"/>
    </row>
    <row r="851">
      <c r="A851" s="1721"/>
      <c r="C851" s="1026"/>
      <c r="D851" s="1714"/>
      <c r="E851" s="1720"/>
      <c r="F851" s="1720"/>
      <c r="G851" s="1716"/>
      <c r="H851" s="1715"/>
      <c r="I851" s="1715"/>
      <c r="J851" s="1717"/>
      <c r="K851" s="1717"/>
      <c r="L851" s="1717"/>
      <c r="M851" s="1717"/>
      <c r="N851" s="1718"/>
    </row>
    <row r="852">
      <c r="A852" s="1721"/>
      <c r="C852" s="1026"/>
      <c r="D852" s="1714"/>
      <c r="E852" s="1720"/>
      <c r="F852" s="1720"/>
      <c r="G852" s="1716"/>
      <c r="H852" s="1715"/>
      <c r="I852" s="1715"/>
      <c r="J852" s="1717"/>
      <c r="K852" s="1717"/>
      <c r="L852" s="1717"/>
      <c r="M852" s="1717"/>
      <c r="N852" s="1718"/>
    </row>
    <row r="853">
      <c r="A853" s="1721"/>
      <c r="C853" s="1026"/>
      <c r="D853" s="1714"/>
      <c r="E853" s="1720"/>
      <c r="F853" s="1720"/>
      <c r="G853" s="1716"/>
      <c r="H853" s="1715"/>
      <c r="I853" s="1715"/>
      <c r="J853" s="1717"/>
      <c r="K853" s="1717"/>
      <c r="L853" s="1717"/>
      <c r="M853" s="1717"/>
      <c r="N853" s="1718"/>
    </row>
    <row r="854">
      <c r="A854" s="1721"/>
      <c r="C854" s="1026"/>
      <c r="D854" s="1714"/>
      <c r="E854" s="1720"/>
      <c r="F854" s="1720"/>
      <c r="G854" s="1716"/>
      <c r="H854" s="1715"/>
      <c r="I854" s="1715"/>
      <c r="J854" s="1717"/>
      <c r="K854" s="1717"/>
      <c r="L854" s="1717"/>
      <c r="M854" s="1717"/>
      <c r="N854" s="1718"/>
    </row>
    <row r="855">
      <c r="A855" s="1721"/>
      <c r="C855" s="1026"/>
      <c r="D855" s="1714"/>
      <c r="E855" s="1720"/>
      <c r="F855" s="1720"/>
      <c r="G855" s="1716"/>
      <c r="H855" s="1715"/>
      <c r="I855" s="1715"/>
      <c r="J855" s="1717"/>
      <c r="K855" s="1717"/>
      <c r="L855" s="1717"/>
      <c r="M855" s="1717"/>
      <c r="N855" s="1718"/>
    </row>
    <row r="856">
      <c r="A856" s="1721"/>
      <c r="C856" s="1026"/>
      <c r="D856" s="1714"/>
      <c r="E856" s="1720"/>
      <c r="F856" s="1720"/>
      <c r="G856" s="1716"/>
      <c r="H856" s="1715"/>
      <c r="I856" s="1715"/>
      <c r="J856" s="1717"/>
      <c r="K856" s="1717"/>
      <c r="L856" s="1717"/>
      <c r="M856" s="1717"/>
      <c r="N856" s="1718"/>
    </row>
    <row r="857">
      <c r="A857" s="1721"/>
      <c r="C857" s="1026"/>
      <c r="D857" s="1714"/>
      <c r="E857" s="1720"/>
      <c r="F857" s="1720"/>
      <c r="G857" s="1716"/>
      <c r="H857" s="1715"/>
      <c r="I857" s="1715"/>
      <c r="J857" s="1717"/>
      <c r="K857" s="1717"/>
      <c r="L857" s="1717"/>
      <c r="M857" s="1717"/>
      <c r="N857" s="1718"/>
    </row>
    <row r="858">
      <c r="A858" s="1721"/>
      <c r="C858" s="1026"/>
      <c r="D858" s="1714"/>
      <c r="E858" s="1720"/>
      <c r="F858" s="1720"/>
      <c r="G858" s="1716"/>
      <c r="H858" s="1715"/>
      <c r="I858" s="1715"/>
      <c r="J858" s="1717"/>
      <c r="K858" s="1717"/>
      <c r="L858" s="1717"/>
      <c r="M858" s="1717"/>
      <c r="N858" s="1718"/>
    </row>
    <row r="859">
      <c r="A859" s="1721"/>
      <c r="C859" s="1026"/>
      <c r="D859" s="1714"/>
      <c r="E859" s="1720"/>
      <c r="F859" s="1720"/>
      <c r="G859" s="1716"/>
      <c r="H859" s="1715"/>
      <c r="I859" s="1715"/>
      <c r="J859" s="1717"/>
      <c r="K859" s="1717"/>
      <c r="L859" s="1717"/>
      <c r="M859" s="1717"/>
      <c r="N859" s="1718"/>
    </row>
    <row r="860">
      <c r="A860" s="1721"/>
      <c r="C860" s="1026"/>
      <c r="D860" s="1714"/>
      <c r="E860" s="1720"/>
      <c r="F860" s="1720"/>
      <c r="G860" s="1716"/>
      <c r="H860" s="1715"/>
      <c r="I860" s="1715"/>
      <c r="J860" s="1717"/>
      <c r="K860" s="1717"/>
      <c r="L860" s="1717"/>
      <c r="M860" s="1717"/>
      <c r="N860" s="1718"/>
    </row>
    <row r="861">
      <c r="A861" s="1721"/>
      <c r="C861" s="1026"/>
      <c r="D861" s="1714"/>
      <c r="E861" s="1720"/>
      <c r="F861" s="1720"/>
      <c r="G861" s="1716"/>
      <c r="H861" s="1715"/>
      <c r="I861" s="1715"/>
      <c r="J861" s="1717"/>
      <c r="K861" s="1717"/>
      <c r="L861" s="1717"/>
      <c r="M861" s="1717"/>
      <c r="N861" s="1718"/>
    </row>
    <row r="862">
      <c r="A862" s="1721"/>
      <c r="C862" s="1026"/>
      <c r="D862" s="1714"/>
      <c r="E862" s="1720"/>
      <c r="F862" s="1720"/>
      <c r="G862" s="1716"/>
      <c r="H862" s="1715"/>
      <c r="I862" s="1715"/>
      <c r="J862" s="1717"/>
      <c r="K862" s="1717"/>
      <c r="L862" s="1717"/>
      <c r="M862" s="1717"/>
      <c r="N862" s="1718"/>
    </row>
    <row r="863">
      <c r="A863" s="1721"/>
      <c r="C863" s="1026"/>
      <c r="D863" s="1714"/>
      <c r="E863" s="1720"/>
      <c r="F863" s="1720"/>
      <c r="G863" s="1716"/>
      <c r="H863" s="1715"/>
      <c r="I863" s="1715"/>
      <c r="J863" s="1717"/>
      <c r="K863" s="1717"/>
      <c r="L863" s="1717"/>
      <c r="M863" s="1717"/>
      <c r="N863" s="1718"/>
    </row>
    <row r="864">
      <c r="A864" s="1721"/>
      <c r="C864" s="1026"/>
      <c r="D864" s="1714"/>
      <c r="E864" s="1720"/>
      <c r="F864" s="1720"/>
      <c r="G864" s="1716"/>
      <c r="H864" s="1715"/>
      <c r="I864" s="1715"/>
      <c r="J864" s="1717"/>
      <c r="K864" s="1717"/>
      <c r="L864" s="1717"/>
      <c r="M864" s="1717"/>
      <c r="N864" s="1718"/>
    </row>
    <row r="865">
      <c r="A865" s="1721"/>
      <c r="C865" s="1026"/>
      <c r="D865" s="1714"/>
      <c r="E865" s="1720"/>
      <c r="F865" s="1720"/>
      <c r="G865" s="1716"/>
      <c r="H865" s="1715"/>
      <c r="I865" s="1715"/>
      <c r="J865" s="1717"/>
      <c r="K865" s="1717"/>
      <c r="L865" s="1717"/>
      <c r="M865" s="1717"/>
      <c r="N865" s="1718"/>
    </row>
    <row r="866">
      <c r="A866" s="1721"/>
      <c r="C866" s="1026"/>
      <c r="D866" s="1714"/>
      <c r="E866" s="1720"/>
      <c r="F866" s="1720"/>
      <c r="G866" s="1716"/>
      <c r="H866" s="1715"/>
      <c r="I866" s="1715"/>
      <c r="J866" s="1717"/>
      <c r="K866" s="1717"/>
      <c r="L866" s="1717"/>
      <c r="M866" s="1717"/>
      <c r="N866" s="1718"/>
    </row>
    <row r="867">
      <c r="A867" s="1721"/>
      <c r="C867" s="1026"/>
      <c r="D867" s="1714"/>
      <c r="E867" s="1720"/>
      <c r="F867" s="1720"/>
      <c r="G867" s="1716"/>
      <c r="H867" s="1715"/>
      <c r="I867" s="1715"/>
      <c r="J867" s="1717"/>
      <c r="K867" s="1717"/>
      <c r="L867" s="1717"/>
      <c r="M867" s="1717"/>
      <c r="N867" s="1718"/>
    </row>
    <row r="868">
      <c r="A868" s="1721"/>
      <c r="C868" s="1026"/>
      <c r="D868" s="1714"/>
      <c r="E868" s="1720"/>
      <c r="F868" s="1720"/>
      <c r="G868" s="1716"/>
      <c r="H868" s="1715"/>
      <c r="I868" s="1715"/>
      <c r="J868" s="1717"/>
      <c r="K868" s="1717"/>
      <c r="L868" s="1717"/>
      <c r="M868" s="1717"/>
      <c r="N868" s="1718"/>
    </row>
    <row r="869">
      <c r="A869" s="1721"/>
      <c r="C869" s="1026"/>
      <c r="D869" s="1714"/>
      <c r="E869" s="1720"/>
      <c r="F869" s="1720"/>
      <c r="G869" s="1716"/>
      <c r="H869" s="1715"/>
      <c r="I869" s="1715"/>
      <c r="J869" s="1717"/>
      <c r="K869" s="1717"/>
      <c r="L869" s="1717"/>
      <c r="M869" s="1717"/>
      <c r="N869" s="1718"/>
    </row>
    <row r="870">
      <c r="A870" s="1721"/>
      <c r="C870" s="1026"/>
      <c r="D870" s="1714"/>
      <c r="E870" s="1720"/>
      <c r="F870" s="1720"/>
      <c r="G870" s="1716"/>
      <c r="H870" s="1715"/>
      <c r="I870" s="1715"/>
      <c r="J870" s="1717"/>
      <c r="K870" s="1717"/>
      <c r="L870" s="1717"/>
      <c r="M870" s="1717"/>
      <c r="N870" s="1718"/>
    </row>
    <row r="871">
      <c r="A871" s="1721"/>
      <c r="C871" s="1026"/>
      <c r="D871" s="1714"/>
      <c r="E871" s="1720"/>
      <c r="F871" s="1720"/>
      <c r="G871" s="1716"/>
      <c r="H871" s="1715"/>
      <c r="I871" s="1715"/>
      <c r="J871" s="1717"/>
      <c r="K871" s="1717"/>
      <c r="L871" s="1717"/>
      <c r="M871" s="1717"/>
      <c r="N871" s="1718"/>
    </row>
    <row r="872">
      <c r="A872" s="1721"/>
      <c r="C872" s="1026"/>
      <c r="D872" s="1714"/>
      <c r="E872" s="1720"/>
      <c r="F872" s="1720"/>
      <c r="G872" s="1716"/>
      <c r="H872" s="1715"/>
      <c r="I872" s="1715"/>
      <c r="J872" s="1717"/>
      <c r="K872" s="1717"/>
      <c r="L872" s="1717"/>
      <c r="M872" s="1717"/>
      <c r="N872" s="1718"/>
    </row>
    <row r="873">
      <c r="A873" s="1721"/>
      <c r="C873" s="1026"/>
      <c r="D873" s="1714"/>
      <c r="E873" s="1720"/>
      <c r="F873" s="1720"/>
      <c r="G873" s="1716"/>
      <c r="H873" s="1715"/>
      <c r="I873" s="1715"/>
      <c r="J873" s="1717"/>
      <c r="K873" s="1717"/>
      <c r="L873" s="1717"/>
      <c r="M873" s="1717"/>
      <c r="N873" s="1718"/>
    </row>
    <row r="874">
      <c r="A874" s="1721"/>
      <c r="C874" s="1026"/>
      <c r="D874" s="1714"/>
      <c r="E874" s="1720"/>
      <c r="F874" s="1720"/>
      <c r="G874" s="1716"/>
      <c r="H874" s="1715"/>
      <c r="I874" s="1715"/>
      <c r="J874" s="1717"/>
      <c r="K874" s="1717"/>
      <c r="L874" s="1717"/>
      <c r="M874" s="1717"/>
      <c r="N874" s="1718"/>
    </row>
    <row r="875">
      <c r="A875" s="1721"/>
      <c r="C875" s="1026"/>
      <c r="D875" s="1714"/>
      <c r="E875" s="1720"/>
      <c r="F875" s="1720"/>
      <c r="G875" s="1716"/>
      <c r="H875" s="1715"/>
      <c r="I875" s="1715"/>
      <c r="J875" s="1717"/>
      <c r="K875" s="1717"/>
      <c r="L875" s="1717"/>
      <c r="M875" s="1717"/>
      <c r="N875" s="1718"/>
    </row>
    <row r="876">
      <c r="A876" s="1721"/>
      <c r="C876" s="1026"/>
      <c r="D876" s="1714"/>
      <c r="E876" s="1720"/>
      <c r="F876" s="1720"/>
      <c r="G876" s="1716"/>
      <c r="H876" s="1715"/>
      <c r="I876" s="1715"/>
      <c r="J876" s="1717"/>
      <c r="K876" s="1717"/>
      <c r="L876" s="1717"/>
      <c r="M876" s="1717"/>
      <c r="N876" s="1718"/>
    </row>
    <row r="877">
      <c r="A877" s="1721"/>
      <c r="C877" s="1026"/>
      <c r="D877" s="1714"/>
      <c r="E877" s="1720"/>
      <c r="F877" s="1720"/>
      <c r="G877" s="1716"/>
      <c r="H877" s="1715"/>
      <c r="I877" s="1715"/>
      <c r="J877" s="1717"/>
      <c r="K877" s="1717"/>
      <c r="L877" s="1717"/>
      <c r="M877" s="1717"/>
      <c r="N877" s="1718"/>
    </row>
    <row r="878">
      <c r="A878" s="1721"/>
      <c r="C878" s="1026"/>
      <c r="D878" s="1714"/>
      <c r="E878" s="1720"/>
      <c r="F878" s="1720"/>
      <c r="G878" s="1716"/>
      <c r="H878" s="1715"/>
      <c r="I878" s="1715"/>
      <c r="J878" s="1717"/>
      <c r="K878" s="1717"/>
      <c r="L878" s="1717"/>
      <c r="M878" s="1717"/>
      <c r="N878" s="1718"/>
    </row>
    <row r="879">
      <c r="A879" s="1721"/>
      <c r="C879" s="1026"/>
      <c r="D879" s="1714"/>
      <c r="E879" s="1720"/>
      <c r="F879" s="1720"/>
      <c r="G879" s="1716"/>
      <c r="H879" s="1715"/>
      <c r="I879" s="1715"/>
      <c r="J879" s="1717"/>
      <c r="K879" s="1717"/>
      <c r="L879" s="1717"/>
      <c r="M879" s="1717"/>
      <c r="N879" s="1718"/>
    </row>
    <row r="880">
      <c r="A880" s="1721"/>
      <c r="C880" s="1026"/>
      <c r="D880" s="1714"/>
      <c r="E880" s="1720"/>
      <c r="F880" s="1720"/>
      <c r="G880" s="1716"/>
      <c r="H880" s="1715"/>
      <c r="I880" s="1715"/>
      <c r="J880" s="1717"/>
      <c r="K880" s="1717"/>
      <c r="L880" s="1717"/>
      <c r="M880" s="1717"/>
      <c r="N880" s="1718"/>
    </row>
    <row r="881">
      <c r="A881" s="1721"/>
      <c r="C881" s="1026"/>
      <c r="D881" s="1714"/>
      <c r="E881" s="1720"/>
      <c r="F881" s="1720"/>
      <c r="G881" s="1716"/>
      <c r="H881" s="1715"/>
      <c r="I881" s="1715"/>
      <c r="J881" s="1717"/>
      <c r="K881" s="1717"/>
      <c r="L881" s="1717"/>
      <c r="M881" s="1717"/>
      <c r="N881" s="1718"/>
    </row>
    <row r="882">
      <c r="A882" s="1721"/>
      <c r="C882" s="1026"/>
      <c r="D882" s="1714"/>
      <c r="E882" s="1720"/>
      <c r="F882" s="1720"/>
      <c r="G882" s="1716"/>
      <c r="H882" s="1715"/>
      <c r="I882" s="1715"/>
      <c r="J882" s="1717"/>
      <c r="K882" s="1717"/>
      <c r="L882" s="1717"/>
      <c r="M882" s="1717"/>
      <c r="N882" s="1718"/>
    </row>
    <row r="883">
      <c r="A883" s="1721"/>
      <c r="C883" s="1026"/>
      <c r="D883" s="1714"/>
      <c r="E883" s="1720"/>
      <c r="F883" s="1720"/>
      <c r="G883" s="1716"/>
      <c r="H883" s="1715"/>
      <c r="I883" s="1715"/>
      <c r="J883" s="1717"/>
      <c r="K883" s="1717"/>
      <c r="L883" s="1717"/>
      <c r="M883" s="1717"/>
      <c r="N883" s="1718"/>
    </row>
    <row r="884">
      <c r="A884" s="1721"/>
      <c r="C884" s="1026"/>
      <c r="D884" s="1714"/>
      <c r="E884" s="1720"/>
      <c r="F884" s="1720"/>
      <c r="G884" s="1716"/>
      <c r="H884" s="1715"/>
      <c r="I884" s="1715"/>
      <c r="J884" s="1717"/>
      <c r="K884" s="1717"/>
      <c r="L884" s="1717"/>
      <c r="M884" s="1717"/>
      <c r="N884" s="1718"/>
    </row>
    <row r="885">
      <c r="A885" s="1721"/>
      <c r="C885" s="1026"/>
      <c r="D885" s="1714"/>
      <c r="E885" s="1720"/>
      <c r="F885" s="1720"/>
      <c r="G885" s="1716"/>
      <c r="H885" s="1715"/>
      <c r="I885" s="1715"/>
      <c r="J885" s="1717"/>
      <c r="K885" s="1717"/>
      <c r="L885" s="1717"/>
      <c r="M885" s="1717"/>
      <c r="N885" s="1718"/>
    </row>
    <row r="886">
      <c r="A886" s="1721"/>
      <c r="C886" s="1026"/>
      <c r="D886" s="1714"/>
      <c r="E886" s="1720"/>
      <c r="F886" s="1720"/>
      <c r="G886" s="1716"/>
      <c r="H886" s="1715"/>
      <c r="I886" s="1715"/>
      <c r="J886" s="1717"/>
      <c r="K886" s="1717"/>
      <c r="L886" s="1717"/>
      <c r="M886" s="1717"/>
      <c r="N886" s="1718"/>
    </row>
    <row r="887">
      <c r="A887" s="1721"/>
      <c r="C887" s="1026"/>
      <c r="D887" s="1714"/>
      <c r="E887" s="1720"/>
      <c r="F887" s="1720"/>
      <c r="G887" s="1716"/>
      <c r="H887" s="1715"/>
      <c r="I887" s="1715"/>
      <c r="J887" s="1717"/>
      <c r="K887" s="1717"/>
      <c r="L887" s="1717"/>
      <c r="M887" s="1717"/>
      <c r="N887" s="1718"/>
    </row>
    <row r="888">
      <c r="A888" s="1721"/>
      <c r="C888" s="1026"/>
      <c r="D888" s="1714"/>
      <c r="E888" s="1720"/>
      <c r="F888" s="1720"/>
      <c r="G888" s="1716"/>
      <c r="H888" s="1715"/>
      <c r="I888" s="1715"/>
      <c r="J888" s="1717"/>
      <c r="K888" s="1717"/>
      <c r="L888" s="1717"/>
      <c r="M888" s="1717"/>
      <c r="N888" s="1718"/>
    </row>
    <row r="889">
      <c r="A889" s="1721"/>
      <c r="C889" s="1026"/>
      <c r="D889" s="1714"/>
      <c r="E889" s="1720"/>
      <c r="F889" s="1720"/>
      <c r="G889" s="1716"/>
      <c r="H889" s="1715"/>
      <c r="I889" s="1715"/>
      <c r="J889" s="1717"/>
      <c r="K889" s="1717"/>
      <c r="L889" s="1717"/>
      <c r="M889" s="1717"/>
      <c r="N889" s="1718"/>
    </row>
    <row r="890">
      <c r="A890" s="1721"/>
      <c r="C890" s="1026"/>
      <c r="D890" s="1714"/>
      <c r="E890" s="1720"/>
      <c r="F890" s="1720"/>
      <c r="G890" s="1716"/>
      <c r="H890" s="1715"/>
      <c r="I890" s="1715"/>
      <c r="J890" s="1717"/>
      <c r="K890" s="1717"/>
      <c r="L890" s="1717"/>
      <c r="M890" s="1717"/>
      <c r="N890" s="1718"/>
    </row>
    <row r="891">
      <c r="A891" s="1721"/>
      <c r="C891" s="1026"/>
      <c r="D891" s="1714"/>
      <c r="E891" s="1720"/>
      <c r="F891" s="1720"/>
      <c r="G891" s="1716"/>
      <c r="H891" s="1715"/>
      <c r="I891" s="1715"/>
      <c r="J891" s="1717"/>
      <c r="K891" s="1717"/>
      <c r="L891" s="1717"/>
      <c r="M891" s="1717"/>
      <c r="N891" s="1718"/>
    </row>
    <row r="892">
      <c r="A892" s="1721"/>
      <c r="C892" s="1026"/>
      <c r="D892" s="1714"/>
      <c r="E892" s="1720"/>
      <c r="F892" s="1720"/>
      <c r="G892" s="1716"/>
      <c r="H892" s="1715"/>
      <c r="I892" s="1715"/>
      <c r="J892" s="1717"/>
      <c r="K892" s="1717"/>
      <c r="L892" s="1717"/>
      <c r="M892" s="1717"/>
      <c r="N892" s="1718"/>
    </row>
    <row r="893">
      <c r="A893" s="1721"/>
      <c r="C893" s="1026"/>
      <c r="D893" s="1714"/>
      <c r="E893" s="1720"/>
      <c r="F893" s="1720"/>
      <c r="G893" s="1716"/>
      <c r="H893" s="1715"/>
      <c r="I893" s="1715"/>
      <c r="J893" s="1717"/>
      <c r="K893" s="1717"/>
      <c r="L893" s="1717"/>
      <c r="M893" s="1717"/>
      <c r="N893" s="1718"/>
    </row>
    <row r="894">
      <c r="A894" s="1721"/>
      <c r="C894" s="1026"/>
      <c r="D894" s="1714"/>
      <c r="E894" s="1720"/>
      <c r="F894" s="1720"/>
      <c r="G894" s="1716"/>
      <c r="H894" s="1715"/>
      <c r="I894" s="1715"/>
      <c r="J894" s="1717"/>
      <c r="K894" s="1717"/>
      <c r="L894" s="1717"/>
      <c r="M894" s="1717"/>
      <c r="N894" s="1718"/>
    </row>
    <row r="895">
      <c r="A895" s="1721"/>
      <c r="C895" s="1026"/>
      <c r="D895" s="1714"/>
      <c r="E895" s="1720"/>
      <c r="F895" s="1720"/>
      <c r="G895" s="1716"/>
      <c r="H895" s="1715"/>
      <c r="I895" s="1715"/>
      <c r="J895" s="1717"/>
      <c r="K895" s="1717"/>
      <c r="L895" s="1717"/>
      <c r="M895" s="1717"/>
      <c r="N895" s="1718"/>
    </row>
    <row r="896">
      <c r="A896" s="1721"/>
      <c r="C896" s="1026"/>
      <c r="D896" s="1714"/>
      <c r="E896" s="1720"/>
      <c r="F896" s="1720"/>
      <c r="G896" s="1716"/>
      <c r="H896" s="1715"/>
      <c r="I896" s="1715"/>
      <c r="J896" s="1717"/>
      <c r="K896" s="1717"/>
      <c r="L896" s="1717"/>
      <c r="M896" s="1717"/>
      <c r="N896" s="1718"/>
    </row>
    <row r="897">
      <c r="A897" s="1721"/>
      <c r="C897" s="1026"/>
      <c r="D897" s="1714"/>
      <c r="E897" s="1720"/>
      <c r="F897" s="1720"/>
      <c r="G897" s="1716"/>
      <c r="H897" s="1715"/>
      <c r="I897" s="1715"/>
      <c r="J897" s="1717"/>
      <c r="K897" s="1717"/>
      <c r="L897" s="1717"/>
      <c r="M897" s="1717"/>
      <c r="N897" s="1718"/>
    </row>
    <row r="898">
      <c r="A898" s="1721"/>
      <c r="C898" s="1026"/>
      <c r="D898" s="1714"/>
      <c r="E898" s="1720"/>
      <c r="F898" s="1720"/>
      <c r="G898" s="1716"/>
      <c r="H898" s="1715"/>
      <c r="I898" s="1715"/>
      <c r="J898" s="1717"/>
      <c r="K898" s="1717"/>
      <c r="L898" s="1717"/>
      <c r="M898" s="1717"/>
      <c r="N898" s="1718"/>
    </row>
    <row r="899">
      <c r="A899" s="1721"/>
      <c r="C899" s="1026"/>
      <c r="D899" s="1714"/>
      <c r="E899" s="1720"/>
      <c r="F899" s="1720"/>
      <c r="G899" s="1716"/>
      <c r="H899" s="1715"/>
      <c r="I899" s="1715"/>
      <c r="J899" s="1717"/>
      <c r="K899" s="1717"/>
      <c r="L899" s="1717"/>
      <c r="M899" s="1717"/>
      <c r="N899" s="1718"/>
    </row>
    <row r="900">
      <c r="A900" s="1721"/>
      <c r="C900" s="1026"/>
      <c r="D900" s="1714"/>
      <c r="E900" s="1720"/>
      <c r="F900" s="1720"/>
      <c r="G900" s="1716"/>
      <c r="H900" s="1715"/>
      <c r="I900" s="1715"/>
      <c r="J900" s="1717"/>
      <c r="K900" s="1717"/>
      <c r="L900" s="1717"/>
      <c r="M900" s="1717"/>
      <c r="N900" s="1718"/>
    </row>
    <row r="901">
      <c r="A901" s="1721"/>
      <c r="C901" s="1026"/>
      <c r="D901" s="1714"/>
      <c r="E901" s="1720"/>
      <c r="F901" s="1720"/>
      <c r="G901" s="1716"/>
      <c r="H901" s="1715"/>
      <c r="I901" s="1715"/>
      <c r="J901" s="1717"/>
      <c r="K901" s="1717"/>
      <c r="L901" s="1717"/>
      <c r="M901" s="1717"/>
      <c r="N901" s="1718"/>
    </row>
    <row r="902">
      <c r="A902" s="1721"/>
      <c r="C902" s="1026"/>
      <c r="D902" s="1714"/>
      <c r="E902" s="1720"/>
      <c r="F902" s="1720"/>
      <c r="G902" s="1716"/>
      <c r="H902" s="1715"/>
      <c r="I902" s="1715"/>
      <c r="J902" s="1717"/>
      <c r="K902" s="1717"/>
      <c r="L902" s="1717"/>
      <c r="M902" s="1717"/>
      <c r="N902" s="1718"/>
    </row>
    <row r="903">
      <c r="A903" s="1721"/>
      <c r="C903" s="1026"/>
      <c r="D903" s="1714"/>
      <c r="E903" s="1720"/>
      <c r="F903" s="1720"/>
      <c r="G903" s="1716"/>
      <c r="H903" s="1715"/>
      <c r="I903" s="1715"/>
      <c r="J903" s="1717"/>
      <c r="K903" s="1717"/>
      <c r="L903" s="1717"/>
      <c r="M903" s="1717"/>
      <c r="N903" s="1718"/>
    </row>
    <row r="904">
      <c r="A904" s="1721"/>
      <c r="C904" s="1026"/>
      <c r="D904" s="1714"/>
      <c r="E904" s="1720"/>
      <c r="F904" s="1720"/>
      <c r="G904" s="1716"/>
      <c r="H904" s="1715"/>
      <c r="I904" s="1715"/>
      <c r="J904" s="1717"/>
      <c r="K904" s="1717"/>
      <c r="L904" s="1717"/>
      <c r="M904" s="1717"/>
      <c r="N904" s="1718"/>
    </row>
    <row r="905">
      <c r="A905" s="1721"/>
      <c r="C905" s="1026"/>
      <c r="D905" s="1714"/>
      <c r="E905" s="1720"/>
      <c r="F905" s="1720"/>
      <c r="G905" s="1716"/>
      <c r="H905" s="1715"/>
      <c r="I905" s="1715"/>
      <c r="J905" s="1717"/>
      <c r="K905" s="1717"/>
      <c r="L905" s="1717"/>
      <c r="M905" s="1717"/>
      <c r="N905" s="1718"/>
    </row>
    <row r="906">
      <c r="A906" s="1721"/>
      <c r="C906" s="1026"/>
      <c r="D906" s="1714"/>
      <c r="E906" s="1720"/>
      <c r="F906" s="1720"/>
      <c r="G906" s="1716"/>
      <c r="H906" s="1715"/>
      <c r="I906" s="1715"/>
      <c r="J906" s="1717"/>
      <c r="K906" s="1717"/>
      <c r="L906" s="1717"/>
      <c r="M906" s="1717"/>
      <c r="N906" s="1718"/>
    </row>
    <row r="907">
      <c r="A907" s="1721"/>
      <c r="C907" s="1026"/>
      <c r="D907" s="1714"/>
      <c r="E907" s="1720"/>
      <c r="F907" s="1720"/>
      <c r="G907" s="1716"/>
      <c r="H907" s="1715"/>
      <c r="I907" s="1715"/>
      <c r="J907" s="1717"/>
      <c r="K907" s="1717"/>
      <c r="L907" s="1717"/>
      <c r="M907" s="1717"/>
      <c r="N907" s="1718"/>
    </row>
    <row r="908">
      <c r="A908" s="1721"/>
      <c r="C908" s="1026"/>
      <c r="D908" s="1714"/>
      <c r="E908" s="1720"/>
      <c r="F908" s="1720"/>
      <c r="G908" s="1716"/>
      <c r="H908" s="1715"/>
      <c r="I908" s="1715"/>
      <c r="J908" s="1717"/>
      <c r="K908" s="1717"/>
      <c r="L908" s="1717"/>
      <c r="M908" s="1717"/>
      <c r="N908" s="1718"/>
    </row>
    <row r="909">
      <c r="A909" s="1721"/>
      <c r="C909" s="1026"/>
      <c r="D909" s="1714"/>
      <c r="E909" s="1720"/>
      <c r="F909" s="1720"/>
      <c r="G909" s="1716"/>
      <c r="H909" s="1715"/>
      <c r="I909" s="1715"/>
      <c r="J909" s="1717"/>
      <c r="K909" s="1717"/>
      <c r="L909" s="1717"/>
      <c r="M909" s="1717"/>
      <c r="N909" s="1718"/>
    </row>
    <row r="910">
      <c r="A910" s="1721"/>
      <c r="C910" s="1026"/>
      <c r="D910" s="1714"/>
      <c r="E910" s="1720"/>
      <c r="F910" s="1720"/>
      <c r="G910" s="1716"/>
      <c r="H910" s="1715"/>
      <c r="I910" s="1715"/>
      <c r="J910" s="1717"/>
      <c r="K910" s="1717"/>
      <c r="L910" s="1717"/>
      <c r="M910" s="1717"/>
      <c r="N910" s="1718"/>
    </row>
    <row r="911">
      <c r="A911" s="1721"/>
      <c r="C911" s="1026"/>
      <c r="D911" s="1714"/>
      <c r="E911" s="1720"/>
      <c r="F911" s="1720"/>
      <c r="G911" s="1716"/>
      <c r="H911" s="1715"/>
      <c r="I911" s="1715"/>
      <c r="J911" s="1717"/>
      <c r="K911" s="1717"/>
      <c r="L911" s="1717"/>
      <c r="M911" s="1717"/>
      <c r="N911" s="1718"/>
    </row>
    <row r="912">
      <c r="A912" s="1721"/>
      <c r="C912" s="1026"/>
      <c r="D912" s="1714"/>
      <c r="E912" s="1720"/>
      <c r="F912" s="1720"/>
      <c r="G912" s="1716"/>
      <c r="H912" s="1715"/>
      <c r="I912" s="1715"/>
      <c r="J912" s="1717"/>
      <c r="K912" s="1717"/>
      <c r="L912" s="1717"/>
      <c r="M912" s="1717"/>
      <c r="N912" s="1718"/>
    </row>
    <row r="913">
      <c r="A913" s="1721"/>
      <c r="C913" s="1026"/>
      <c r="D913" s="1714"/>
      <c r="E913" s="1720"/>
      <c r="F913" s="1720"/>
      <c r="G913" s="1716"/>
      <c r="H913" s="1715"/>
      <c r="I913" s="1715"/>
      <c r="J913" s="1717"/>
      <c r="K913" s="1717"/>
      <c r="L913" s="1717"/>
      <c r="M913" s="1717"/>
      <c r="N913" s="1718"/>
    </row>
    <row r="914">
      <c r="A914" s="1721"/>
      <c r="C914" s="1026"/>
      <c r="D914" s="1714"/>
      <c r="E914" s="1720"/>
      <c r="F914" s="1720"/>
      <c r="G914" s="1716"/>
      <c r="H914" s="1715"/>
      <c r="I914" s="1715"/>
      <c r="J914" s="1717"/>
      <c r="K914" s="1717"/>
      <c r="L914" s="1717"/>
      <c r="M914" s="1717"/>
      <c r="N914" s="1718"/>
    </row>
    <row r="915">
      <c r="A915" s="1721"/>
      <c r="C915" s="1026"/>
      <c r="D915" s="1714"/>
      <c r="E915" s="1720"/>
      <c r="F915" s="1720"/>
      <c r="G915" s="1716"/>
      <c r="H915" s="1715"/>
      <c r="I915" s="1715"/>
      <c r="J915" s="1717"/>
      <c r="K915" s="1717"/>
      <c r="L915" s="1717"/>
      <c r="M915" s="1717"/>
      <c r="N915" s="1718"/>
    </row>
    <row r="916">
      <c r="A916" s="1721"/>
      <c r="C916" s="1026"/>
      <c r="D916" s="1714"/>
      <c r="E916" s="1720"/>
      <c r="F916" s="1720"/>
      <c r="G916" s="1716"/>
      <c r="H916" s="1715"/>
      <c r="I916" s="1715"/>
      <c r="J916" s="1717"/>
      <c r="K916" s="1717"/>
      <c r="L916" s="1717"/>
      <c r="M916" s="1717"/>
      <c r="N916" s="1718"/>
    </row>
    <row r="917">
      <c r="A917" s="1721"/>
      <c r="C917" s="1026"/>
      <c r="D917" s="1714"/>
      <c r="E917" s="1720"/>
      <c r="F917" s="1720"/>
      <c r="G917" s="1716"/>
      <c r="H917" s="1715"/>
      <c r="I917" s="1715"/>
      <c r="J917" s="1717"/>
      <c r="K917" s="1717"/>
      <c r="L917" s="1717"/>
      <c r="M917" s="1717"/>
      <c r="N917" s="1718"/>
    </row>
    <row r="918">
      <c r="A918" s="1721"/>
      <c r="C918" s="1026"/>
      <c r="D918" s="1714"/>
      <c r="E918" s="1720"/>
      <c r="F918" s="1720"/>
      <c r="G918" s="1716"/>
      <c r="H918" s="1715"/>
      <c r="I918" s="1715"/>
      <c r="J918" s="1717"/>
      <c r="K918" s="1717"/>
      <c r="L918" s="1717"/>
      <c r="M918" s="1717"/>
      <c r="N918" s="1718"/>
    </row>
    <row r="919">
      <c r="A919" s="1721"/>
      <c r="C919" s="1026"/>
      <c r="D919" s="1714"/>
      <c r="E919" s="1720"/>
      <c r="F919" s="1720"/>
      <c r="G919" s="1716"/>
      <c r="H919" s="1715"/>
      <c r="I919" s="1715"/>
      <c r="J919" s="1717"/>
      <c r="K919" s="1717"/>
      <c r="L919" s="1717"/>
      <c r="M919" s="1717"/>
      <c r="N919" s="1718"/>
    </row>
    <row r="920">
      <c r="A920" s="1721"/>
      <c r="C920" s="1026"/>
      <c r="D920" s="1714"/>
      <c r="E920" s="1720"/>
      <c r="F920" s="1720"/>
      <c r="G920" s="1716"/>
      <c r="H920" s="1715"/>
      <c r="I920" s="1715"/>
      <c r="J920" s="1717"/>
      <c r="K920" s="1717"/>
      <c r="L920" s="1717"/>
      <c r="M920" s="1717"/>
      <c r="N920" s="1718"/>
    </row>
    <row r="921">
      <c r="A921" s="1721"/>
      <c r="C921" s="1026"/>
      <c r="D921" s="1714"/>
      <c r="E921" s="1720"/>
      <c r="F921" s="1720"/>
      <c r="G921" s="1716"/>
      <c r="H921" s="1715"/>
      <c r="I921" s="1715"/>
      <c r="J921" s="1717"/>
      <c r="K921" s="1717"/>
      <c r="L921" s="1717"/>
      <c r="M921" s="1717"/>
      <c r="N921" s="1718"/>
    </row>
    <row r="922">
      <c r="A922" s="1721"/>
      <c r="C922" s="1026"/>
      <c r="D922" s="1714"/>
      <c r="E922" s="1720"/>
      <c r="F922" s="1720"/>
      <c r="G922" s="1716"/>
      <c r="H922" s="1715"/>
      <c r="I922" s="1715"/>
      <c r="J922" s="1717"/>
      <c r="K922" s="1717"/>
      <c r="L922" s="1717"/>
      <c r="M922" s="1717"/>
      <c r="N922" s="1718"/>
    </row>
    <row r="923">
      <c r="A923" s="1721"/>
      <c r="C923" s="1026"/>
      <c r="D923" s="1714"/>
      <c r="E923" s="1720"/>
      <c r="F923" s="1720"/>
      <c r="G923" s="1716"/>
      <c r="H923" s="1715"/>
      <c r="I923" s="1715"/>
      <c r="J923" s="1717"/>
      <c r="K923" s="1717"/>
      <c r="L923" s="1717"/>
      <c r="M923" s="1717"/>
      <c r="N923" s="1718"/>
    </row>
    <row r="924">
      <c r="A924" s="1721"/>
      <c r="C924" s="1026"/>
      <c r="D924" s="1714"/>
      <c r="E924" s="1720"/>
      <c r="F924" s="1720"/>
      <c r="G924" s="1716"/>
      <c r="H924" s="1715"/>
      <c r="I924" s="1715"/>
      <c r="J924" s="1717"/>
      <c r="K924" s="1717"/>
      <c r="L924" s="1717"/>
      <c r="M924" s="1717"/>
      <c r="N924" s="1718"/>
    </row>
    <row r="925">
      <c r="A925" s="1721"/>
      <c r="C925" s="1026"/>
      <c r="D925" s="1714"/>
      <c r="E925" s="1720"/>
      <c r="F925" s="1720"/>
      <c r="G925" s="1716"/>
      <c r="H925" s="1715"/>
      <c r="I925" s="1715"/>
      <c r="J925" s="1717"/>
      <c r="K925" s="1717"/>
      <c r="L925" s="1717"/>
      <c r="M925" s="1717"/>
      <c r="N925" s="1718"/>
    </row>
    <row r="926">
      <c r="A926" s="1721"/>
      <c r="C926" s="1026"/>
      <c r="D926" s="1714"/>
      <c r="E926" s="1720"/>
      <c r="F926" s="1720"/>
      <c r="G926" s="1716"/>
      <c r="H926" s="1715"/>
      <c r="I926" s="1715"/>
      <c r="J926" s="1717"/>
      <c r="K926" s="1717"/>
      <c r="L926" s="1717"/>
      <c r="M926" s="1717"/>
      <c r="N926" s="1718"/>
    </row>
    <row r="927">
      <c r="A927" s="1721"/>
      <c r="C927" s="1026"/>
      <c r="D927" s="1714"/>
      <c r="E927" s="1720"/>
      <c r="F927" s="1720"/>
      <c r="G927" s="1716"/>
      <c r="H927" s="1715"/>
      <c r="I927" s="1715"/>
      <c r="J927" s="1717"/>
      <c r="K927" s="1717"/>
      <c r="L927" s="1717"/>
      <c r="M927" s="1717"/>
      <c r="N927" s="1718"/>
    </row>
    <row r="928">
      <c r="A928" s="1721"/>
      <c r="C928" s="1026"/>
      <c r="D928" s="1714"/>
      <c r="E928" s="1720"/>
      <c r="F928" s="1720"/>
      <c r="G928" s="1716"/>
      <c r="H928" s="1715"/>
      <c r="I928" s="1715"/>
      <c r="J928" s="1717"/>
      <c r="K928" s="1717"/>
      <c r="L928" s="1717"/>
      <c r="M928" s="1717"/>
      <c r="N928" s="1718"/>
    </row>
    <row r="929">
      <c r="A929" s="1721"/>
      <c r="C929" s="1026"/>
      <c r="D929" s="1714"/>
      <c r="E929" s="1720"/>
      <c r="F929" s="1720"/>
      <c r="G929" s="1716"/>
      <c r="H929" s="1715"/>
      <c r="I929" s="1715"/>
      <c r="J929" s="1717"/>
      <c r="K929" s="1717"/>
      <c r="L929" s="1717"/>
      <c r="M929" s="1717"/>
      <c r="N929" s="1718"/>
    </row>
    <row r="930">
      <c r="A930" s="1721"/>
      <c r="C930" s="1026"/>
      <c r="D930" s="1714"/>
      <c r="E930" s="1720"/>
      <c r="F930" s="1720"/>
      <c r="G930" s="1716"/>
      <c r="H930" s="1715"/>
      <c r="I930" s="1715"/>
      <c r="J930" s="1717"/>
      <c r="K930" s="1717"/>
      <c r="L930" s="1717"/>
      <c r="M930" s="1717"/>
      <c r="N930" s="1718"/>
    </row>
    <row r="931">
      <c r="A931" s="1721"/>
      <c r="C931" s="1026"/>
      <c r="D931" s="1714"/>
      <c r="E931" s="1720"/>
      <c r="F931" s="1720"/>
      <c r="G931" s="1716"/>
      <c r="H931" s="1715"/>
      <c r="I931" s="1715"/>
      <c r="J931" s="1717"/>
      <c r="K931" s="1717"/>
      <c r="L931" s="1717"/>
      <c r="M931" s="1717"/>
      <c r="N931" s="1718"/>
    </row>
    <row r="932">
      <c r="A932" s="1721"/>
      <c r="C932" s="1026"/>
      <c r="D932" s="1714"/>
      <c r="E932" s="1720"/>
      <c r="F932" s="1720"/>
      <c r="G932" s="1716"/>
      <c r="H932" s="1715"/>
      <c r="I932" s="1715"/>
      <c r="J932" s="1717"/>
      <c r="K932" s="1717"/>
      <c r="L932" s="1717"/>
      <c r="M932" s="1717"/>
      <c r="N932" s="1718"/>
    </row>
    <row r="933">
      <c r="A933" s="1721"/>
      <c r="C933" s="1026"/>
      <c r="D933" s="1714"/>
      <c r="E933" s="1720"/>
      <c r="F933" s="1720"/>
      <c r="G933" s="1716"/>
      <c r="H933" s="1715"/>
      <c r="I933" s="1715"/>
      <c r="J933" s="1717"/>
      <c r="K933" s="1717"/>
      <c r="L933" s="1717"/>
      <c r="M933" s="1717"/>
      <c r="N933" s="1718"/>
    </row>
    <row r="934">
      <c r="A934" s="1721"/>
      <c r="C934" s="1026"/>
      <c r="D934" s="1714"/>
      <c r="E934" s="1720"/>
      <c r="F934" s="1720"/>
      <c r="G934" s="1716"/>
      <c r="H934" s="1715"/>
      <c r="I934" s="1715"/>
      <c r="J934" s="1717"/>
      <c r="K934" s="1717"/>
      <c r="L934" s="1717"/>
      <c r="M934" s="1717"/>
      <c r="N934" s="1718"/>
    </row>
    <row r="935">
      <c r="A935" s="1721"/>
      <c r="C935" s="1026"/>
      <c r="D935" s="1714"/>
      <c r="E935" s="1720"/>
      <c r="F935" s="1720"/>
      <c r="G935" s="1716"/>
      <c r="H935" s="1715"/>
      <c r="I935" s="1715"/>
      <c r="J935" s="1717"/>
      <c r="K935" s="1717"/>
      <c r="L935" s="1717"/>
      <c r="M935" s="1717"/>
      <c r="N935" s="1718"/>
    </row>
    <row r="936">
      <c r="A936" s="1721"/>
      <c r="C936" s="1026"/>
      <c r="D936" s="1714"/>
      <c r="E936" s="1720"/>
      <c r="F936" s="1720"/>
      <c r="G936" s="1716"/>
      <c r="H936" s="1715"/>
      <c r="I936" s="1715"/>
      <c r="J936" s="1717"/>
      <c r="K936" s="1717"/>
      <c r="L936" s="1717"/>
      <c r="M936" s="1717"/>
      <c r="N936" s="1718"/>
    </row>
    <row r="937">
      <c r="A937" s="1721"/>
      <c r="C937" s="1026"/>
      <c r="D937" s="1714"/>
      <c r="E937" s="1720"/>
      <c r="F937" s="1720"/>
      <c r="G937" s="1716"/>
      <c r="H937" s="1715"/>
      <c r="I937" s="1715"/>
      <c r="J937" s="1717"/>
      <c r="K937" s="1717"/>
      <c r="L937" s="1717"/>
      <c r="M937" s="1717"/>
      <c r="N937" s="1718"/>
    </row>
    <row r="938">
      <c r="A938" s="1721"/>
      <c r="C938" s="1026"/>
      <c r="D938" s="1714"/>
      <c r="E938" s="1720"/>
      <c r="F938" s="1720"/>
      <c r="G938" s="1716"/>
      <c r="H938" s="1715"/>
      <c r="I938" s="1715"/>
      <c r="J938" s="1717"/>
      <c r="K938" s="1717"/>
      <c r="L938" s="1717"/>
      <c r="M938" s="1717"/>
      <c r="N938" s="1718"/>
    </row>
    <row r="939">
      <c r="A939" s="1721"/>
      <c r="C939" s="1026"/>
      <c r="D939" s="1714"/>
      <c r="E939" s="1720"/>
      <c r="F939" s="1720"/>
      <c r="G939" s="1716"/>
      <c r="H939" s="1715"/>
      <c r="I939" s="1715"/>
      <c r="J939" s="1717"/>
      <c r="K939" s="1717"/>
      <c r="L939" s="1717"/>
      <c r="M939" s="1717"/>
      <c r="N939" s="1718"/>
    </row>
    <row r="940">
      <c r="A940" s="1721"/>
      <c r="C940" s="1026"/>
      <c r="D940" s="1714"/>
      <c r="E940" s="1720"/>
      <c r="F940" s="1720"/>
      <c r="G940" s="1716"/>
      <c r="H940" s="1715"/>
      <c r="I940" s="1715"/>
      <c r="J940" s="1717"/>
      <c r="K940" s="1717"/>
      <c r="L940" s="1717"/>
      <c r="M940" s="1717"/>
      <c r="N940" s="1718"/>
    </row>
    <row r="941">
      <c r="A941" s="1721"/>
      <c r="C941" s="1026"/>
      <c r="D941" s="1714"/>
      <c r="E941" s="1720"/>
      <c r="F941" s="1720"/>
      <c r="G941" s="1716"/>
      <c r="H941" s="1715"/>
      <c r="I941" s="1715"/>
      <c r="J941" s="1717"/>
      <c r="K941" s="1717"/>
      <c r="L941" s="1717"/>
      <c r="M941" s="1717"/>
      <c r="N941" s="1718"/>
    </row>
    <row r="942">
      <c r="A942" s="1721"/>
      <c r="C942" s="1026"/>
      <c r="D942" s="1714"/>
      <c r="E942" s="1720"/>
      <c r="F942" s="1720"/>
      <c r="G942" s="1716"/>
      <c r="H942" s="1715"/>
      <c r="I942" s="1715"/>
      <c r="J942" s="1717"/>
      <c r="K942" s="1717"/>
      <c r="L942" s="1717"/>
      <c r="M942" s="1717"/>
      <c r="N942" s="1718"/>
    </row>
    <row r="943">
      <c r="A943" s="1721"/>
      <c r="C943" s="1026"/>
      <c r="D943" s="1714"/>
      <c r="E943" s="1720"/>
      <c r="F943" s="1720"/>
      <c r="G943" s="1716"/>
      <c r="H943" s="1715"/>
      <c r="I943" s="1715"/>
      <c r="J943" s="1717"/>
      <c r="K943" s="1717"/>
      <c r="L943" s="1717"/>
      <c r="M943" s="1717"/>
      <c r="N943" s="1718"/>
    </row>
    <row r="944">
      <c r="A944" s="1721"/>
      <c r="C944" s="1026"/>
      <c r="D944" s="1714"/>
      <c r="E944" s="1720"/>
      <c r="F944" s="1720"/>
      <c r="G944" s="1716"/>
      <c r="H944" s="1715"/>
      <c r="I944" s="1715"/>
      <c r="J944" s="1717"/>
      <c r="K944" s="1717"/>
      <c r="L944" s="1717"/>
      <c r="M944" s="1717"/>
      <c r="N944" s="1718"/>
    </row>
    <row r="945">
      <c r="A945" s="1721"/>
      <c r="C945" s="1026"/>
      <c r="D945" s="1714"/>
      <c r="E945" s="1720"/>
      <c r="F945" s="1720"/>
      <c r="G945" s="1716"/>
      <c r="H945" s="1715"/>
      <c r="I945" s="1715"/>
      <c r="J945" s="1717"/>
      <c r="K945" s="1717"/>
      <c r="L945" s="1717"/>
      <c r="M945" s="1717"/>
      <c r="N945" s="1718"/>
    </row>
    <row r="946">
      <c r="A946" s="1721"/>
      <c r="C946" s="1026"/>
      <c r="D946" s="1714"/>
      <c r="E946" s="1720"/>
      <c r="F946" s="1720"/>
      <c r="G946" s="1716"/>
      <c r="H946" s="1715"/>
      <c r="I946" s="1715"/>
      <c r="J946" s="1717"/>
      <c r="K946" s="1717"/>
      <c r="L946" s="1717"/>
      <c r="M946" s="1717"/>
      <c r="N946" s="1718"/>
    </row>
    <row r="947">
      <c r="A947" s="1721"/>
      <c r="C947" s="1026"/>
      <c r="D947" s="1714"/>
      <c r="E947" s="1720"/>
      <c r="F947" s="1720"/>
      <c r="G947" s="1716"/>
      <c r="H947" s="1715"/>
      <c r="I947" s="1715"/>
      <c r="J947" s="1717"/>
      <c r="K947" s="1717"/>
      <c r="L947" s="1717"/>
      <c r="M947" s="1717"/>
      <c r="N947" s="1718"/>
    </row>
    <row r="948">
      <c r="A948" s="1721"/>
      <c r="C948" s="1026"/>
      <c r="D948" s="1714"/>
      <c r="E948" s="1720"/>
      <c r="F948" s="1720"/>
      <c r="G948" s="1716"/>
      <c r="H948" s="1715"/>
      <c r="I948" s="1715"/>
      <c r="J948" s="1717"/>
      <c r="K948" s="1717"/>
      <c r="L948" s="1717"/>
      <c r="M948" s="1717"/>
      <c r="N948" s="1718"/>
    </row>
    <row r="949">
      <c r="A949" s="1721"/>
      <c r="C949" s="1026"/>
      <c r="D949" s="1714"/>
      <c r="E949" s="1720"/>
      <c r="F949" s="1720"/>
      <c r="G949" s="1716"/>
      <c r="H949" s="1715"/>
      <c r="I949" s="1715"/>
      <c r="J949" s="1717"/>
      <c r="K949" s="1717"/>
      <c r="L949" s="1717"/>
      <c r="M949" s="1717"/>
      <c r="N949" s="1718"/>
    </row>
    <row r="950">
      <c r="A950" s="1721"/>
      <c r="C950" s="1026"/>
      <c r="D950" s="1714"/>
      <c r="E950" s="1720"/>
      <c r="F950" s="1720"/>
      <c r="G950" s="1716"/>
      <c r="H950" s="1715"/>
      <c r="I950" s="1715"/>
      <c r="J950" s="1717"/>
      <c r="K950" s="1717"/>
      <c r="L950" s="1717"/>
      <c r="M950" s="1717"/>
      <c r="N950" s="1718"/>
    </row>
    <row r="951">
      <c r="A951" s="1721"/>
      <c r="C951" s="1026"/>
      <c r="D951" s="1714"/>
      <c r="E951" s="1720"/>
      <c r="F951" s="1720"/>
      <c r="G951" s="1716"/>
      <c r="H951" s="1715"/>
      <c r="I951" s="1715"/>
      <c r="J951" s="1717"/>
      <c r="K951" s="1717"/>
      <c r="L951" s="1717"/>
      <c r="M951" s="1717"/>
      <c r="N951" s="1718"/>
    </row>
    <row r="952">
      <c r="A952" s="1721"/>
      <c r="C952" s="1026"/>
      <c r="D952" s="1714"/>
      <c r="E952" s="1720"/>
      <c r="F952" s="1720"/>
      <c r="G952" s="1716"/>
      <c r="H952" s="1715"/>
      <c r="I952" s="1715"/>
      <c r="J952" s="1717"/>
      <c r="K952" s="1717"/>
      <c r="L952" s="1717"/>
      <c r="M952" s="1717"/>
      <c r="N952" s="1718"/>
    </row>
    <row r="953">
      <c r="A953" s="1721"/>
      <c r="C953" s="1026"/>
      <c r="D953" s="1714"/>
      <c r="E953" s="1720"/>
      <c r="F953" s="1720"/>
      <c r="G953" s="1716"/>
      <c r="H953" s="1715"/>
      <c r="I953" s="1715"/>
      <c r="J953" s="1717"/>
      <c r="K953" s="1717"/>
      <c r="L953" s="1717"/>
      <c r="M953" s="1717"/>
      <c r="N953" s="1718"/>
    </row>
    <row r="954">
      <c r="A954" s="1721"/>
      <c r="C954" s="1026"/>
      <c r="D954" s="1714"/>
      <c r="E954" s="1720"/>
      <c r="F954" s="1720"/>
      <c r="G954" s="1716"/>
      <c r="H954" s="1715"/>
      <c r="I954" s="1715"/>
      <c r="J954" s="1717"/>
      <c r="K954" s="1717"/>
      <c r="L954" s="1717"/>
      <c r="M954" s="1717"/>
      <c r="N954" s="1718"/>
    </row>
    <row r="955">
      <c r="A955" s="1721"/>
      <c r="C955" s="1026"/>
      <c r="D955" s="1714"/>
      <c r="E955" s="1720"/>
      <c r="F955" s="1720"/>
      <c r="G955" s="1716"/>
      <c r="H955" s="1715"/>
      <c r="I955" s="1715"/>
      <c r="J955" s="1717"/>
      <c r="K955" s="1717"/>
      <c r="L955" s="1717"/>
      <c r="M955" s="1717"/>
      <c r="N955" s="1718"/>
    </row>
    <row r="956">
      <c r="A956" s="1721"/>
      <c r="C956" s="1026"/>
      <c r="D956" s="1714"/>
      <c r="E956" s="1720"/>
      <c r="F956" s="1720"/>
      <c r="G956" s="1716"/>
      <c r="H956" s="1715"/>
      <c r="I956" s="1715"/>
      <c r="J956" s="1717"/>
      <c r="K956" s="1717"/>
      <c r="L956" s="1717"/>
      <c r="M956" s="1717"/>
      <c r="N956" s="1718"/>
    </row>
    <row r="957">
      <c r="A957" s="1721"/>
      <c r="C957" s="1026"/>
      <c r="D957" s="1714"/>
      <c r="E957" s="1720"/>
      <c r="F957" s="1720"/>
      <c r="G957" s="1716"/>
      <c r="H957" s="1715"/>
      <c r="I957" s="1715"/>
      <c r="J957" s="1717"/>
      <c r="K957" s="1717"/>
      <c r="L957" s="1717"/>
      <c r="M957" s="1717"/>
      <c r="N957" s="1718"/>
    </row>
    <row r="958">
      <c r="A958" s="1721"/>
      <c r="C958" s="1026"/>
      <c r="D958" s="1714"/>
      <c r="E958" s="1720"/>
      <c r="F958" s="1720"/>
      <c r="G958" s="1716"/>
      <c r="H958" s="1715"/>
      <c r="I958" s="1715"/>
      <c r="J958" s="1717"/>
      <c r="K958" s="1717"/>
      <c r="L958" s="1717"/>
      <c r="M958" s="1717"/>
      <c r="N958" s="1718"/>
    </row>
    <row r="959">
      <c r="A959" s="1721"/>
      <c r="C959" s="1026"/>
      <c r="D959" s="1714"/>
      <c r="E959" s="1720"/>
      <c r="F959" s="1720"/>
      <c r="G959" s="1716"/>
      <c r="H959" s="1715"/>
      <c r="I959" s="1715"/>
      <c r="J959" s="1717"/>
      <c r="K959" s="1717"/>
      <c r="L959" s="1717"/>
      <c r="M959" s="1717"/>
      <c r="N959" s="1718"/>
    </row>
    <row r="960">
      <c r="A960" s="1721"/>
      <c r="C960" s="1026"/>
      <c r="D960" s="1714"/>
      <c r="E960" s="1720"/>
      <c r="F960" s="1720"/>
      <c r="G960" s="1716"/>
      <c r="H960" s="1715"/>
      <c r="I960" s="1715"/>
      <c r="J960" s="1717"/>
      <c r="K960" s="1717"/>
      <c r="L960" s="1717"/>
      <c r="M960" s="1717"/>
      <c r="N960" s="1718"/>
    </row>
    <row r="961">
      <c r="A961" s="1721"/>
      <c r="C961" s="1026"/>
      <c r="D961" s="1714"/>
      <c r="E961" s="1720"/>
      <c r="F961" s="1720"/>
      <c r="G961" s="1716"/>
      <c r="H961" s="1715"/>
      <c r="I961" s="1715"/>
      <c r="J961" s="1717"/>
      <c r="K961" s="1717"/>
      <c r="L961" s="1717"/>
      <c r="M961" s="1717"/>
      <c r="N961" s="1718"/>
    </row>
    <row r="962">
      <c r="A962" s="1721"/>
      <c r="C962" s="1026"/>
      <c r="D962" s="1714"/>
      <c r="E962" s="1720"/>
      <c r="F962" s="1720"/>
      <c r="G962" s="1716"/>
      <c r="H962" s="1715"/>
      <c r="I962" s="1715"/>
      <c r="J962" s="1717"/>
      <c r="K962" s="1717"/>
      <c r="L962" s="1717"/>
      <c r="M962" s="1717"/>
      <c r="N962" s="1718"/>
    </row>
    <row r="963">
      <c r="A963" s="1721"/>
      <c r="C963" s="1026"/>
      <c r="D963" s="1714"/>
      <c r="E963" s="1720"/>
      <c r="F963" s="1720"/>
      <c r="G963" s="1716"/>
      <c r="H963" s="1715"/>
      <c r="I963" s="1715"/>
      <c r="J963" s="1717"/>
      <c r="K963" s="1717"/>
      <c r="L963" s="1717"/>
      <c r="M963" s="1717"/>
      <c r="N963" s="1718"/>
    </row>
    <row r="964">
      <c r="A964" s="1721"/>
      <c r="C964" s="1026"/>
      <c r="D964" s="1714"/>
      <c r="E964" s="1720"/>
      <c r="F964" s="1720"/>
      <c r="G964" s="1716"/>
      <c r="H964" s="1715"/>
      <c r="I964" s="1715"/>
      <c r="J964" s="1717"/>
      <c r="K964" s="1717"/>
      <c r="L964" s="1717"/>
      <c r="M964" s="1717"/>
      <c r="N964" s="1718"/>
    </row>
    <row r="965">
      <c r="A965" s="1721"/>
      <c r="C965" s="1026"/>
      <c r="D965" s="1714"/>
      <c r="E965" s="1720"/>
      <c r="F965" s="1720"/>
      <c r="G965" s="1716"/>
      <c r="H965" s="1715"/>
      <c r="I965" s="1715"/>
      <c r="J965" s="1717"/>
      <c r="K965" s="1717"/>
      <c r="L965" s="1717"/>
      <c r="M965" s="1717"/>
      <c r="N965" s="1718"/>
    </row>
    <row r="966">
      <c r="A966" s="1721"/>
      <c r="C966" s="1026"/>
      <c r="D966" s="1714"/>
      <c r="E966" s="1720"/>
      <c r="F966" s="1720"/>
      <c r="G966" s="1716"/>
      <c r="H966" s="1715"/>
      <c r="I966" s="1715"/>
      <c r="J966" s="1717"/>
      <c r="K966" s="1717"/>
      <c r="L966" s="1717"/>
      <c r="M966" s="1717"/>
      <c r="N966" s="1718"/>
    </row>
    <row r="967">
      <c r="A967" s="1721"/>
      <c r="C967" s="1026"/>
      <c r="D967" s="1714"/>
      <c r="E967" s="1720"/>
      <c r="F967" s="1720"/>
      <c r="G967" s="1716"/>
      <c r="H967" s="1715"/>
      <c r="I967" s="1715"/>
      <c r="J967" s="1717"/>
      <c r="K967" s="1717"/>
      <c r="L967" s="1717"/>
      <c r="M967" s="1717"/>
      <c r="N967" s="1718"/>
    </row>
    <row r="968">
      <c r="A968" s="1721"/>
      <c r="C968" s="1026"/>
      <c r="D968" s="1714"/>
      <c r="E968" s="1720"/>
      <c r="F968" s="1720"/>
      <c r="G968" s="1716"/>
      <c r="H968" s="1715"/>
      <c r="I968" s="1715"/>
      <c r="J968" s="1717"/>
      <c r="K968" s="1717"/>
      <c r="L968" s="1717"/>
      <c r="M968" s="1717"/>
      <c r="N968" s="1718"/>
    </row>
    <row r="969">
      <c r="A969" s="1721"/>
      <c r="C969" s="1026"/>
      <c r="D969" s="1714"/>
      <c r="E969" s="1720"/>
      <c r="F969" s="1720"/>
      <c r="G969" s="1716"/>
      <c r="H969" s="1715"/>
      <c r="I969" s="1715"/>
      <c r="J969" s="1717"/>
      <c r="K969" s="1717"/>
      <c r="L969" s="1717"/>
      <c r="M969" s="1717"/>
      <c r="N969" s="1718"/>
    </row>
    <row r="970">
      <c r="A970" s="1721"/>
      <c r="C970" s="1026"/>
      <c r="D970" s="1714"/>
      <c r="E970" s="1720"/>
      <c r="F970" s="1720"/>
      <c r="G970" s="1716"/>
      <c r="H970" s="1715"/>
      <c r="I970" s="1715"/>
      <c r="J970" s="1717"/>
      <c r="K970" s="1717"/>
      <c r="L970" s="1717"/>
      <c r="M970" s="1717"/>
      <c r="N970" s="1718"/>
    </row>
    <row r="971">
      <c r="A971" s="1721"/>
      <c r="C971" s="1026"/>
      <c r="D971" s="1714"/>
      <c r="E971" s="1720"/>
      <c r="F971" s="1720"/>
      <c r="G971" s="1716"/>
      <c r="H971" s="1715"/>
      <c r="I971" s="1715"/>
      <c r="J971" s="1717"/>
      <c r="K971" s="1717"/>
      <c r="L971" s="1717"/>
      <c r="M971" s="1717"/>
      <c r="N971" s="1718"/>
    </row>
    <row r="972">
      <c r="A972" s="1721"/>
      <c r="C972" s="1026"/>
      <c r="D972" s="1714"/>
      <c r="E972" s="1720"/>
      <c r="F972" s="1720"/>
      <c r="G972" s="1716"/>
      <c r="H972" s="1715"/>
      <c r="I972" s="1715"/>
      <c r="J972" s="1717"/>
      <c r="K972" s="1717"/>
      <c r="L972" s="1717"/>
      <c r="M972" s="1717"/>
      <c r="N972" s="1718"/>
    </row>
    <row r="973">
      <c r="A973" s="1721"/>
      <c r="C973" s="1026"/>
      <c r="D973" s="1714"/>
      <c r="E973" s="1720"/>
      <c r="F973" s="1720"/>
      <c r="G973" s="1716"/>
      <c r="H973" s="1715"/>
      <c r="I973" s="1715"/>
      <c r="J973" s="1717"/>
      <c r="K973" s="1717"/>
      <c r="L973" s="1717"/>
      <c r="M973" s="1717"/>
      <c r="N973" s="1718"/>
    </row>
    <row r="974">
      <c r="A974" s="1721"/>
      <c r="C974" s="1026"/>
      <c r="D974" s="1714"/>
      <c r="E974" s="1720"/>
      <c r="F974" s="1720"/>
      <c r="G974" s="1716"/>
      <c r="H974" s="1715"/>
      <c r="I974" s="1715"/>
      <c r="J974" s="1717"/>
      <c r="K974" s="1717"/>
      <c r="L974" s="1717"/>
      <c r="M974" s="1717"/>
      <c r="N974" s="1718"/>
    </row>
    <row r="975">
      <c r="A975" s="1721"/>
      <c r="C975" s="1026"/>
      <c r="D975" s="1714"/>
      <c r="E975" s="1720"/>
      <c r="F975" s="1720"/>
      <c r="G975" s="1716"/>
      <c r="H975" s="1715"/>
      <c r="I975" s="1715"/>
      <c r="J975" s="1717"/>
      <c r="K975" s="1717"/>
      <c r="L975" s="1717"/>
      <c r="M975" s="1717"/>
      <c r="N975" s="1718"/>
    </row>
    <row r="976">
      <c r="A976" s="1721"/>
      <c r="C976" s="1026"/>
      <c r="D976" s="1714"/>
      <c r="E976" s="1720"/>
      <c r="F976" s="1720"/>
      <c r="G976" s="1716"/>
      <c r="H976" s="1715"/>
      <c r="I976" s="1715"/>
      <c r="J976" s="1717"/>
      <c r="K976" s="1717"/>
      <c r="L976" s="1717"/>
      <c r="M976" s="1717"/>
      <c r="N976" s="1718"/>
    </row>
    <row r="977">
      <c r="A977" s="1721"/>
      <c r="C977" s="1026"/>
      <c r="D977" s="1714"/>
      <c r="E977" s="1720"/>
      <c r="F977" s="1720"/>
      <c r="G977" s="1716"/>
      <c r="H977" s="1715"/>
      <c r="I977" s="1715"/>
      <c r="J977" s="1717"/>
      <c r="K977" s="1717"/>
      <c r="L977" s="1717"/>
      <c r="M977" s="1717"/>
      <c r="N977" s="1718"/>
    </row>
    <row r="978">
      <c r="A978" s="1721"/>
      <c r="C978" s="1026"/>
      <c r="D978" s="1714"/>
      <c r="E978" s="1720"/>
      <c r="F978" s="1720"/>
      <c r="G978" s="1716"/>
      <c r="H978" s="1715"/>
      <c r="I978" s="1715"/>
      <c r="J978" s="1717"/>
      <c r="K978" s="1717"/>
      <c r="L978" s="1717"/>
      <c r="M978" s="1717"/>
      <c r="N978" s="1718"/>
    </row>
    <row r="979">
      <c r="A979" s="1721"/>
      <c r="C979" s="1026"/>
      <c r="D979" s="1714"/>
      <c r="E979" s="1720"/>
      <c r="F979" s="1720"/>
      <c r="G979" s="1716"/>
      <c r="H979" s="1715"/>
      <c r="I979" s="1715"/>
      <c r="J979" s="1717"/>
      <c r="K979" s="1717"/>
      <c r="L979" s="1717"/>
      <c r="M979" s="1717"/>
      <c r="N979" s="1718"/>
    </row>
    <row r="980">
      <c r="A980" s="1721"/>
      <c r="C980" s="1026"/>
      <c r="D980" s="1714"/>
      <c r="E980" s="1720"/>
      <c r="F980" s="1720"/>
      <c r="G980" s="1716"/>
      <c r="H980" s="1715"/>
      <c r="I980" s="1715"/>
      <c r="J980" s="1717"/>
      <c r="K980" s="1717"/>
      <c r="L980" s="1717"/>
      <c r="M980" s="1717"/>
      <c r="N980" s="1718"/>
    </row>
    <row r="981">
      <c r="A981" s="1721"/>
      <c r="C981" s="1026"/>
      <c r="D981" s="1714"/>
      <c r="E981" s="1720"/>
      <c r="F981" s="1720"/>
      <c r="G981" s="1716"/>
      <c r="H981" s="1715"/>
      <c r="I981" s="1715"/>
      <c r="J981" s="1717"/>
      <c r="K981" s="1717"/>
      <c r="L981" s="1717"/>
      <c r="M981" s="1717"/>
      <c r="N981" s="1718"/>
    </row>
    <row r="982">
      <c r="A982" s="1721"/>
      <c r="C982" s="1026"/>
      <c r="D982" s="1714"/>
      <c r="E982" s="1720"/>
      <c r="F982" s="1720"/>
      <c r="G982" s="1716"/>
      <c r="H982" s="1715"/>
      <c r="I982" s="1715"/>
      <c r="J982" s="1717"/>
      <c r="K982" s="1717"/>
      <c r="L982" s="1717"/>
      <c r="M982" s="1717"/>
      <c r="N982" s="1718"/>
    </row>
    <row r="983">
      <c r="A983" s="1721"/>
      <c r="C983" s="1026"/>
      <c r="D983" s="1714"/>
      <c r="E983" s="1720"/>
      <c r="F983" s="1720"/>
      <c r="G983" s="1716"/>
      <c r="H983" s="1715"/>
      <c r="I983" s="1715"/>
      <c r="J983" s="1717"/>
      <c r="K983" s="1717"/>
      <c r="L983" s="1717"/>
      <c r="M983" s="1717"/>
      <c r="N983" s="1718"/>
    </row>
    <row r="984">
      <c r="A984" s="1721"/>
      <c r="C984" s="1026"/>
      <c r="D984" s="1714"/>
      <c r="E984" s="1720"/>
      <c r="F984" s="1720"/>
      <c r="G984" s="1716"/>
      <c r="H984" s="1715"/>
      <c r="I984" s="1715"/>
      <c r="J984" s="1717"/>
      <c r="K984" s="1717"/>
      <c r="L984" s="1717"/>
      <c r="M984" s="1717"/>
      <c r="N984" s="1718"/>
    </row>
    <row r="985">
      <c r="A985" s="1721"/>
      <c r="C985" s="1026"/>
      <c r="D985" s="1714"/>
      <c r="E985" s="1720"/>
      <c r="F985" s="1720"/>
      <c r="G985" s="1716"/>
      <c r="H985" s="1715"/>
      <c r="I985" s="1715"/>
      <c r="J985" s="1717"/>
      <c r="K985" s="1717"/>
      <c r="L985" s="1717"/>
      <c r="M985" s="1717"/>
      <c r="N985" s="1718"/>
    </row>
    <row r="986">
      <c r="A986" s="1721"/>
      <c r="C986" s="1026"/>
      <c r="D986" s="1714"/>
      <c r="E986" s="1720"/>
      <c r="F986" s="1720"/>
      <c r="G986" s="1716"/>
      <c r="H986" s="1715"/>
      <c r="I986" s="1715"/>
      <c r="J986" s="1717"/>
      <c r="K986" s="1717"/>
      <c r="L986" s="1717"/>
      <c r="M986" s="1717"/>
      <c r="N986" s="1718"/>
    </row>
    <row r="987">
      <c r="A987" s="1721"/>
      <c r="C987" s="1026"/>
      <c r="D987" s="1714"/>
      <c r="E987" s="1720"/>
      <c r="F987" s="1720"/>
      <c r="G987" s="1716"/>
      <c r="H987" s="1715"/>
      <c r="I987" s="1715"/>
      <c r="J987" s="1717"/>
      <c r="K987" s="1717"/>
      <c r="L987" s="1717"/>
      <c r="M987" s="1717"/>
      <c r="N987" s="1718"/>
    </row>
    <row r="988">
      <c r="A988" s="1721"/>
      <c r="C988" s="1026"/>
      <c r="D988" s="1714"/>
      <c r="E988" s="1720"/>
      <c r="F988" s="1720"/>
      <c r="G988" s="1716"/>
      <c r="H988" s="1715"/>
      <c r="I988" s="1715"/>
      <c r="J988" s="1717"/>
      <c r="K988" s="1717"/>
      <c r="L988" s="1717"/>
      <c r="M988" s="1717"/>
      <c r="N988" s="1718"/>
    </row>
    <row r="989">
      <c r="A989" s="1721"/>
      <c r="C989" s="1026"/>
      <c r="D989" s="1714"/>
      <c r="E989" s="1720"/>
      <c r="F989" s="1720"/>
      <c r="G989" s="1716"/>
      <c r="H989" s="1715"/>
      <c r="I989" s="1715"/>
      <c r="J989" s="1717"/>
      <c r="K989" s="1717"/>
      <c r="L989" s="1717"/>
      <c r="M989" s="1717"/>
      <c r="N989" s="1718"/>
    </row>
    <row r="990">
      <c r="A990" s="1721"/>
      <c r="C990" s="1026"/>
      <c r="D990" s="1714"/>
      <c r="E990" s="1720"/>
      <c r="F990" s="1720"/>
      <c r="G990" s="1716"/>
      <c r="H990" s="1715"/>
      <c r="I990" s="1715"/>
      <c r="J990" s="1717"/>
      <c r="K990" s="1717"/>
      <c r="L990" s="1717"/>
      <c r="M990" s="1717"/>
      <c r="N990" s="1718"/>
    </row>
    <row r="991">
      <c r="A991" s="1721"/>
      <c r="C991" s="1026"/>
      <c r="D991" s="1714"/>
      <c r="E991" s="1720"/>
      <c r="F991" s="1720"/>
      <c r="G991" s="1716"/>
      <c r="H991" s="1715"/>
      <c r="I991" s="1715"/>
      <c r="J991" s="1717"/>
      <c r="K991" s="1717"/>
      <c r="L991" s="1717"/>
      <c r="M991" s="1717"/>
      <c r="N991" s="1718"/>
    </row>
    <row r="992">
      <c r="A992" s="1721"/>
      <c r="C992" s="1026"/>
      <c r="D992" s="1714"/>
      <c r="E992" s="1720"/>
      <c r="F992" s="1720"/>
      <c r="G992" s="1716"/>
      <c r="H992" s="1715"/>
      <c r="I992" s="1715"/>
      <c r="J992" s="1717"/>
      <c r="K992" s="1717"/>
      <c r="L992" s="1717"/>
      <c r="M992" s="1717"/>
      <c r="N992" s="1718"/>
    </row>
    <row r="993">
      <c r="A993" s="1721"/>
      <c r="C993" s="1026"/>
      <c r="D993" s="1714"/>
      <c r="E993" s="1720"/>
      <c r="F993" s="1720"/>
      <c r="G993" s="1716"/>
      <c r="H993" s="1715"/>
      <c r="I993" s="1715"/>
      <c r="J993" s="1717"/>
      <c r="K993" s="1717"/>
      <c r="L993" s="1717"/>
      <c r="M993" s="1717"/>
      <c r="N993" s="1718"/>
    </row>
    <row r="994">
      <c r="A994" s="1721"/>
      <c r="C994" s="1026"/>
      <c r="D994" s="1714"/>
      <c r="E994" s="1720"/>
      <c r="F994" s="1720"/>
      <c r="G994" s="1716"/>
      <c r="H994" s="1715"/>
      <c r="I994" s="1715"/>
      <c r="J994" s="1717"/>
      <c r="K994" s="1717"/>
      <c r="L994" s="1717"/>
      <c r="M994" s="1717"/>
      <c r="N994" s="1718"/>
    </row>
    <row r="995">
      <c r="A995" s="1721"/>
      <c r="C995" s="1026"/>
      <c r="D995" s="1714"/>
      <c r="E995" s="1720"/>
      <c r="F995" s="1720"/>
      <c r="G995" s="1716"/>
      <c r="H995" s="1715"/>
      <c r="I995" s="1715"/>
      <c r="J995" s="1717"/>
      <c r="K995" s="1717"/>
      <c r="L995" s="1717"/>
      <c r="M995" s="1717"/>
      <c r="N995" s="1718"/>
    </row>
    <row r="996">
      <c r="A996" s="1721"/>
      <c r="C996" s="1026"/>
      <c r="D996" s="1714"/>
      <c r="E996" s="1720"/>
      <c r="F996" s="1720"/>
      <c r="G996" s="1716"/>
      <c r="H996" s="1715"/>
      <c r="I996" s="1715"/>
      <c r="J996" s="1717"/>
      <c r="K996" s="1717"/>
      <c r="L996" s="1717"/>
      <c r="M996" s="1717"/>
      <c r="N996" s="1718"/>
    </row>
    <row r="997">
      <c r="A997" s="1721"/>
      <c r="C997" s="1026"/>
      <c r="D997" s="1714"/>
      <c r="E997" s="1720"/>
      <c r="F997" s="1720"/>
      <c r="G997" s="1716"/>
      <c r="H997" s="1715"/>
      <c r="I997" s="1715"/>
      <c r="J997" s="1717"/>
      <c r="K997" s="1717"/>
      <c r="L997" s="1717"/>
      <c r="M997" s="1717"/>
      <c r="N997" s="1718"/>
    </row>
    <row r="998">
      <c r="A998" s="1721"/>
      <c r="C998" s="1026"/>
      <c r="D998" s="1714"/>
      <c r="E998" s="1720"/>
      <c r="F998" s="1720"/>
      <c r="G998" s="1716"/>
      <c r="H998" s="1715"/>
      <c r="I998" s="1715"/>
      <c r="J998" s="1717"/>
      <c r="K998" s="1717"/>
      <c r="L998" s="1717"/>
      <c r="M998" s="1717"/>
      <c r="N998" s="1718"/>
    </row>
    <row r="999">
      <c r="A999" s="1721"/>
      <c r="C999" s="1026"/>
      <c r="D999" s="1714"/>
      <c r="E999" s="1720"/>
      <c r="F999" s="1720"/>
      <c r="G999" s="1716"/>
      <c r="H999" s="1715"/>
      <c r="I999" s="1715"/>
      <c r="J999" s="1717"/>
      <c r="K999" s="1717"/>
      <c r="L999" s="1717"/>
      <c r="M999" s="1717"/>
      <c r="N999" s="1718"/>
    </row>
    <row r="1000">
      <c r="A1000" s="1721"/>
      <c r="C1000" s="1026"/>
      <c r="D1000" s="1714"/>
      <c r="E1000" s="1720"/>
      <c r="F1000" s="1720"/>
      <c r="G1000" s="1716"/>
      <c r="H1000" s="1715"/>
      <c r="I1000" s="1715"/>
      <c r="J1000" s="1717"/>
      <c r="K1000" s="1717"/>
      <c r="L1000" s="1717"/>
      <c r="M1000" s="1717"/>
      <c r="N1000" s="1718"/>
    </row>
    <row r="1001">
      <c r="A1001" s="1721"/>
      <c r="C1001" s="1026"/>
      <c r="D1001" s="1714"/>
      <c r="E1001" s="1720"/>
      <c r="F1001" s="1720"/>
      <c r="G1001" s="1716"/>
      <c r="H1001" s="1715"/>
      <c r="I1001" s="1715"/>
      <c r="J1001" s="1717"/>
      <c r="K1001" s="1717"/>
      <c r="L1001" s="1717"/>
      <c r="M1001" s="1717"/>
      <c r="N1001" s="1718"/>
    </row>
    <row r="1002">
      <c r="A1002" s="1721"/>
      <c r="C1002" s="1026"/>
      <c r="D1002" s="1714"/>
      <c r="E1002" s="1720"/>
      <c r="F1002" s="1720"/>
      <c r="G1002" s="1716"/>
      <c r="H1002" s="1715"/>
      <c r="I1002" s="1715"/>
      <c r="J1002" s="1717"/>
      <c r="K1002" s="1717"/>
      <c r="L1002" s="1717"/>
      <c r="M1002" s="1717"/>
      <c r="N1002" s="1718"/>
    </row>
    <row r="1003">
      <c r="A1003" s="1721"/>
      <c r="C1003" s="1026"/>
      <c r="D1003" s="1714"/>
      <c r="E1003" s="1720"/>
      <c r="F1003" s="1720"/>
      <c r="G1003" s="1716"/>
      <c r="H1003" s="1715"/>
      <c r="I1003" s="1715"/>
      <c r="J1003" s="1717"/>
      <c r="K1003" s="1717"/>
      <c r="L1003" s="1717"/>
      <c r="M1003" s="1717"/>
      <c r="N1003" s="1718"/>
    </row>
    <row r="1004">
      <c r="A1004" s="1721"/>
      <c r="C1004" s="1026"/>
      <c r="D1004" s="1714"/>
      <c r="E1004" s="1720"/>
      <c r="F1004" s="1720"/>
      <c r="G1004" s="1716"/>
      <c r="H1004" s="1715"/>
      <c r="I1004" s="1715"/>
      <c r="J1004" s="1717"/>
      <c r="K1004" s="1717"/>
      <c r="L1004" s="1717"/>
      <c r="M1004" s="1717"/>
      <c r="N1004" s="1718"/>
    </row>
    <row r="1005">
      <c r="A1005" s="1721"/>
      <c r="C1005" s="1026"/>
      <c r="D1005" s="1714"/>
      <c r="E1005" s="1720"/>
      <c r="F1005" s="1720"/>
      <c r="G1005" s="1716"/>
      <c r="H1005" s="1715"/>
      <c r="I1005" s="1715"/>
      <c r="J1005" s="1717"/>
      <c r="K1005" s="1717"/>
      <c r="L1005" s="1717"/>
      <c r="M1005" s="1717"/>
      <c r="N1005" s="1718"/>
    </row>
    <row r="1006">
      <c r="A1006" s="1721"/>
      <c r="C1006" s="1026"/>
      <c r="D1006" s="1714"/>
      <c r="E1006" s="1720"/>
      <c r="F1006" s="1720"/>
      <c r="G1006" s="1716"/>
      <c r="H1006" s="1715"/>
      <c r="I1006" s="1715"/>
      <c r="J1006" s="1717"/>
      <c r="K1006" s="1717"/>
      <c r="L1006" s="1717"/>
      <c r="M1006" s="1717"/>
      <c r="N1006" s="1718"/>
    </row>
    <row r="1007">
      <c r="A1007" s="1721"/>
      <c r="C1007" s="1026"/>
      <c r="D1007" s="1714"/>
      <c r="E1007" s="1720"/>
      <c r="F1007" s="1720"/>
      <c r="G1007" s="1716"/>
      <c r="H1007" s="1715"/>
      <c r="I1007" s="1715"/>
      <c r="J1007" s="1717"/>
      <c r="K1007" s="1717"/>
      <c r="L1007" s="1717"/>
      <c r="M1007" s="1717"/>
      <c r="N1007" s="1718"/>
    </row>
    <row r="1008">
      <c r="A1008" s="1721"/>
      <c r="C1008" s="1026"/>
      <c r="D1008" s="1714"/>
      <c r="E1008" s="1720"/>
      <c r="F1008" s="1720"/>
      <c r="G1008" s="1716"/>
      <c r="H1008" s="1715"/>
      <c r="I1008" s="1715"/>
      <c r="J1008" s="1717"/>
      <c r="K1008" s="1717"/>
      <c r="L1008" s="1717"/>
      <c r="M1008" s="1717"/>
      <c r="N1008" s="1718"/>
    </row>
    <row r="1009">
      <c r="A1009" s="1721"/>
      <c r="C1009" s="1026"/>
      <c r="D1009" s="1714"/>
      <c r="E1009" s="1720"/>
      <c r="F1009" s="1720"/>
      <c r="G1009" s="1716"/>
      <c r="H1009" s="1715"/>
      <c r="I1009" s="1715"/>
      <c r="J1009" s="1717"/>
      <c r="K1009" s="1717"/>
      <c r="L1009" s="1717"/>
      <c r="M1009" s="1717"/>
      <c r="N1009" s="1718"/>
    </row>
    <row r="1010">
      <c r="A1010" s="1721"/>
      <c r="C1010" s="1026"/>
      <c r="D1010" s="1714"/>
      <c r="E1010" s="1720"/>
      <c r="F1010" s="1720"/>
      <c r="G1010" s="1716"/>
      <c r="H1010" s="1715"/>
      <c r="I1010" s="1715"/>
      <c r="J1010" s="1717"/>
      <c r="K1010" s="1717"/>
      <c r="L1010" s="1717"/>
      <c r="M1010" s="1717"/>
      <c r="N1010" s="1718"/>
    </row>
    <row r="1011">
      <c r="A1011" s="1721"/>
      <c r="C1011" s="1026"/>
      <c r="D1011" s="1714"/>
      <c r="E1011" s="1720"/>
      <c r="F1011" s="1720"/>
      <c r="G1011" s="1716"/>
      <c r="H1011" s="1715"/>
      <c r="I1011" s="1715"/>
      <c r="J1011" s="1717"/>
      <c r="K1011" s="1717"/>
      <c r="L1011" s="1717"/>
      <c r="M1011" s="1717"/>
      <c r="N1011" s="1718"/>
    </row>
    <row r="1012">
      <c r="A1012" s="1721"/>
      <c r="C1012" s="1026"/>
      <c r="D1012" s="1714"/>
      <c r="E1012" s="1720"/>
      <c r="F1012" s="1720"/>
      <c r="G1012" s="1716"/>
      <c r="H1012" s="1715"/>
      <c r="I1012" s="1715"/>
      <c r="J1012" s="1717"/>
      <c r="K1012" s="1717"/>
      <c r="L1012" s="1717"/>
      <c r="M1012" s="1717"/>
      <c r="N1012" s="1718"/>
    </row>
    <row r="1013">
      <c r="A1013" s="1721"/>
      <c r="C1013" s="1026"/>
      <c r="D1013" s="1714"/>
      <c r="E1013" s="1720"/>
      <c r="F1013" s="1720"/>
      <c r="G1013" s="1716"/>
      <c r="H1013" s="1715"/>
      <c r="I1013" s="1715"/>
      <c r="J1013" s="1717"/>
      <c r="K1013" s="1717"/>
      <c r="L1013" s="1717"/>
      <c r="M1013" s="1717"/>
      <c r="N1013" s="1718"/>
    </row>
    <row r="1014">
      <c r="A1014" s="1721"/>
      <c r="C1014" s="1026"/>
      <c r="D1014" s="1714"/>
      <c r="E1014" s="1720"/>
      <c r="F1014" s="1720"/>
      <c r="G1014" s="1716"/>
      <c r="H1014" s="1715"/>
      <c r="I1014" s="1715"/>
      <c r="J1014" s="1717"/>
      <c r="K1014" s="1717"/>
      <c r="L1014" s="1717"/>
      <c r="M1014" s="1717"/>
      <c r="N1014" s="1718"/>
    </row>
    <row r="1015">
      <c r="A1015" s="1721"/>
      <c r="C1015" s="1026"/>
      <c r="D1015" s="1714"/>
      <c r="E1015" s="1720"/>
      <c r="F1015" s="1720"/>
      <c r="G1015" s="1716"/>
      <c r="H1015" s="1715"/>
      <c r="I1015" s="1715"/>
      <c r="J1015" s="1717"/>
      <c r="K1015" s="1717"/>
      <c r="L1015" s="1717"/>
      <c r="M1015" s="1717"/>
      <c r="N1015" s="1718"/>
    </row>
    <row r="1016">
      <c r="A1016" s="1721"/>
      <c r="C1016" s="1026"/>
      <c r="D1016" s="1714"/>
      <c r="E1016" s="1720"/>
      <c r="F1016" s="1720"/>
      <c r="G1016" s="1716"/>
      <c r="H1016" s="1715"/>
      <c r="I1016" s="1715"/>
      <c r="J1016" s="1717"/>
      <c r="K1016" s="1717"/>
      <c r="L1016" s="1717"/>
      <c r="M1016" s="1717"/>
      <c r="N1016" s="1718"/>
    </row>
    <row r="1017">
      <c r="A1017" s="1721"/>
      <c r="C1017" s="1026"/>
      <c r="D1017" s="1714"/>
      <c r="E1017" s="1720"/>
      <c r="F1017" s="1720"/>
      <c r="G1017" s="1716"/>
      <c r="H1017" s="1715"/>
      <c r="I1017" s="1715"/>
      <c r="J1017" s="1717"/>
      <c r="K1017" s="1717"/>
      <c r="L1017" s="1717"/>
      <c r="M1017" s="1717"/>
      <c r="N1017" s="1718"/>
    </row>
    <row r="1018">
      <c r="A1018" s="1721"/>
      <c r="C1018" s="1026"/>
      <c r="D1018" s="1714"/>
      <c r="E1018" s="1720"/>
      <c r="F1018" s="1720"/>
      <c r="G1018" s="1716"/>
      <c r="H1018" s="1715"/>
      <c r="I1018" s="1715"/>
      <c r="J1018" s="1717"/>
      <c r="K1018" s="1717"/>
      <c r="L1018" s="1717"/>
      <c r="M1018" s="1717"/>
      <c r="N1018" s="1718"/>
    </row>
    <row r="1019">
      <c r="A1019" s="1721"/>
      <c r="C1019" s="1026"/>
      <c r="D1019" s="1714"/>
      <c r="E1019" s="1720"/>
      <c r="F1019" s="1720"/>
      <c r="G1019" s="1716"/>
      <c r="H1019" s="1715"/>
      <c r="I1019" s="1715"/>
      <c r="J1019" s="1717"/>
      <c r="K1019" s="1717"/>
      <c r="L1019" s="1717"/>
      <c r="M1019" s="1717"/>
      <c r="N1019" s="1718"/>
    </row>
    <row r="1020">
      <c r="A1020" s="1721"/>
      <c r="C1020" s="1026"/>
      <c r="D1020" s="1714"/>
      <c r="E1020" s="1720"/>
      <c r="F1020" s="1720"/>
      <c r="G1020" s="1716"/>
      <c r="H1020" s="1715"/>
      <c r="I1020" s="1715"/>
      <c r="J1020" s="1717"/>
      <c r="K1020" s="1717"/>
      <c r="L1020" s="1717"/>
      <c r="M1020" s="1717"/>
      <c r="N1020" s="1718"/>
    </row>
    <row r="1021">
      <c r="A1021" s="1721"/>
      <c r="C1021" s="1026"/>
      <c r="D1021" s="1714"/>
      <c r="E1021" s="1720"/>
      <c r="F1021" s="1720"/>
      <c r="G1021" s="1716"/>
      <c r="H1021" s="1715"/>
      <c r="I1021" s="1715"/>
      <c r="J1021" s="1717"/>
      <c r="K1021" s="1717"/>
      <c r="L1021" s="1717"/>
      <c r="M1021" s="1717"/>
      <c r="N1021" s="1718"/>
    </row>
    <row r="1022">
      <c r="A1022" s="1721"/>
      <c r="C1022" s="1026"/>
      <c r="D1022" s="1714"/>
      <c r="E1022" s="1720"/>
      <c r="F1022" s="1720"/>
      <c r="G1022" s="1716"/>
      <c r="H1022" s="1715"/>
      <c r="I1022" s="1715"/>
      <c r="J1022" s="1717"/>
      <c r="K1022" s="1717"/>
      <c r="L1022" s="1717"/>
      <c r="M1022" s="1717"/>
      <c r="N1022" s="1718"/>
    </row>
    <row r="1023">
      <c r="A1023" s="1721"/>
      <c r="C1023" s="1026"/>
      <c r="D1023" s="1714"/>
      <c r="E1023" s="1720"/>
      <c r="F1023" s="1720"/>
      <c r="G1023" s="1716"/>
      <c r="H1023" s="1715"/>
      <c r="I1023" s="1715"/>
      <c r="J1023" s="1717"/>
      <c r="K1023" s="1717"/>
      <c r="L1023" s="1717"/>
      <c r="M1023" s="1717"/>
      <c r="N1023" s="1718"/>
    </row>
    <row r="1024">
      <c r="A1024" s="1721"/>
      <c r="C1024" s="1026"/>
      <c r="D1024" s="1714"/>
      <c r="E1024" s="1720"/>
      <c r="F1024" s="1720"/>
      <c r="G1024" s="1716"/>
      <c r="H1024" s="1715"/>
      <c r="I1024" s="1715"/>
      <c r="J1024" s="1717"/>
      <c r="K1024" s="1717"/>
      <c r="L1024" s="1717"/>
      <c r="M1024" s="1717"/>
      <c r="N1024" s="1718"/>
    </row>
    <row r="1025">
      <c r="A1025" s="1721"/>
      <c r="C1025" s="1026"/>
      <c r="D1025" s="1714"/>
      <c r="E1025" s="1720"/>
      <c r="F1025" s="1720"/>
      <c r="G1025" s="1716"/>
      <c r="H1025" s="1715"/>
      <c r="I1025" s="1715"/>
      <c r="J1025" s="1717"/>
      <c r="K1025" s="1717"/>
      <c r="L1025" s="1717"/>
      <c r="M1025" s="1717"/>
      <c r="N1025" s="1718"/>
    </row>
    <row r="1026">
      <c r="A1026" s="1721"/>
      <c r="C1026" s="1026"/>
      <c r="D1026" s="1714"/>
      <c r="E1026" s="1720"/>
      <c r="F1026" s="1720"/>
      <c r="G1026" s="1716"/>
      <c r="H1026" s="1715"/>
      <c r="I1026" s="1715"/>
      <c r="J1026" s="1717"/>
      <c r="K1026" s="1717"/>
      <c r="L1026" s="1717"/>
      <c r="M1026" s="1717"/>
      <c r="N1026" s="1718"/>
    </row>
    <row r="1027">
      <c r="A1027" s="1721"/>
      <c r="C1027" s="1026"/>
      <c r="D1027" s="1714"/>
      <c r="E1027" s="1720"/>
      <c r="F1027" s="1720"/>
      <c r="G1027" s="1716"/>
      <c r="H1027" s="1715"/>
      <c r="I1027" s="1715"/>
      <c r="J1027" s="1717"/>
      <c r="K1027" s="1717"/>
      <c r="L1027" s="1717"/>
      <c r="M1027" s="1717"/>
      <c r="N1027" s="1718"/>
    </row>
    <row r="1028">
      <c r="A1028" s="1721"/>
      <c r="C1028" s="1026"/>
      <c r="D1028" s="1714"/>
      <c r="E1028" s="1720"/>
      <c r="F1028" s="1720"/>
      <c r="G1028" s="1716"/>
      <c r="H1028" s="1715"/>
      <c r="I1028" s="1715"/>
      <c r="J1028" s="1717"/>
      <c r="K1028" s="1717"/>
      <c r="L1028" s="1717"/>
      <c r="M1028" s="1717"/>
      <c r="N1028" s="1718"/>
    </row>
    <row r="1029">
      <c r="A1029" s="1721"/>
      <c r="C1029" s="1026"/>
      <c r="D1029" s="1714"/>
      <c r="E1029" s="1720"/>
      <c r="F1029" s="1720"/>
      <c r="G1029" s="1716"/>
      <c r="H1029" s="1715"/>
      <c r="I1029" s="1715"/>
      <c r="J1029" s="1717"/>
      <c r="K1029" s="1717"/>
      <c r="L1029" s="1717"/>
      <c r="M1029" s="1717"/>
      <c r="N1029" s="1718"/>
    </row>
    <row r="1030">
      <c r="A1030" s="1721"/>
      <c r="C1030" s="1026"/>
      <c r="D1030" s="1714"/>
      <c r="E1030" s="1720"/>
      <c r="F1030" s="1720"/>
      <c r="G1030" s="1716"/>
      <c r="H1030" s="1715"/>
      <c r="I1030" s="1715"/>
      <c r="J1030" s="1717"/>
      <c r="K1030" s="1717"/>
      <c r="L1030" s="1717"/>
      <c r="M1030" s="1717"/>
      <c r="N1030" s="1718"/>
    </row>
    <row r="1031">
      <c r="A1031" s="1721"/>
      <c r="C1031" s="1026"/>
      <c r="D1031" s="1714"/>
      <c r="E1031" s="1720"/>
      <c r="F1031" s="1720"/>
      <c r="G1031" s="1716"/>
      <c r="H1031" s="1715"/>
      <c r="I1031" s="1715"/>
      <c r="J1031" s="1717"/>
      <c r="K1031" s="1717"/>
      <c r="L1031" s="1717"/>
      <c r="M1031" s="1717"/>
      <c r="N1031" s="1718"/>
    </row>
    <row r="1032">
      <c r="A1032" s="1721"/>
      <c r="C1032" s="1026"/>
      <c r="D1032" s="1714"/>
      <c r="E1032" s="1720"/>
      <c r="F1032" s="1720"/>
      <c r="G1032" s="1716"/>
      <c r="H1032" s="1715"/>
      <c r="I1032" s="1715"/>
      <c r="J1032" s="1717"/>
      <c r="K1032" s="1717"/>
      <c r="L1032" s="1717"/>
      <c r="M1032" s="1717"/>
      <c r="N1032" s="1718"/>
    </row>
    <row r="1033">
      <c r="A1033" s="1721"/>
      <c r="C1033" s="1026"/>
      <c r="D1033" s="1714"/>
      <c r="E1033" s="1720"/>
      <c r="F1033" s="1720"/>
      <c r="G1033" s="1716"/>
      <c r="H1033" s="1715"/>
      <c r="I1033" s="1715"/>
      <c r="J1033" s="1717"/>
      <c r="K1033" s="1717"/>
      <c r="L1033" s="1717"/>
      <c r="M1033" s="1717"/>
      <c r="N1033" s="1718"/>
    </row>
    <row r="1034">
      <c r="A1034" s="1721"/>
      <c r="C1034" s="1026"/>
      <c r="D1034" s="1714"/>
      <c r="E1034" s="1720"/>
      <c r="F1034" s="1720"/>
      <c r="G1034" s="1716"/>
      <c r="H1034" s="1715"/>
      <c r="I1034" s="1715"/>
      <c r="J1034" s="1717"/>
      <c r="K1034" s="1717"/>
      <c r="L1034" s="1717"/>
      <c r="M1034" s="1717"/>
      <c r="N1034" s="1718"/>
    </row>
    <row r="1035">
      <c r="A1035" s="1721"/>
      <c r="C1035" s="1026"/>
      <c r="D1035" s="1714"/>
      <c r="E1035" s="1720"/>
      <c r="F1035" s="1720"/>
      <c r="G1035" s="1716"/>
      <c r="H1035" s="1715"/>
      <c r="I1035" s="1715"/>
      <c r="J1035" s="1717"/>
      <c r="K1035" s="1717"/>
      <c r="L1035" s="1717"/>
      <c r="M1035" s="1717"/>
      <c r="N1035" s="1718"/>
    </row>
    <row r="1036">
      <c r="A1036" s="1721"/>
      <c r="C1036" s="1026"/>
      <c r="D1036" s="1714"/>
      <c r="E1036" s="1720"/>
      <c r="F1036" s="1720"/>
      <c r="G1036" s="1716"/>
      <c r="H1036" s="1715"/>
      <c r="I1036" s="1715"/>
      <c r="J1036" s="1717"/>
      <c r="K1036" s="1717"/>
      <c r="L1036" s="1717"/>
      <c r="M1036" s="1717"/>
      <c r="N1036" s="1718"/>
    </row>
    <row r="1037">
      <c r="A1037" s="1721"/>
      <c r="C1037" s="1026"/>
      <c r="D1037" s="1714"/>
      <c r="E1037" s="1720"/>
      <c r="F1037" s="1720"/>
      <c r="G1037" s="1716"/>
      <c r="H1037" s="1715"/>
      <c r="I1037" s="1715"/>
      <c r="J1037" s="1717"/>
      <c r="K1037" s="1717"/>
      <c r="L1037" s="1717"/>
      <c r="M1037" s="1717"/>
      <c r="N1037" s="1718"/>
    </row>
    <row r="1038">
      <c r="A1038" s="1721"/>
      <c r="C1038" s="1026"/>
      <c r="D1038" s="1714"/>
      <c r="E1038" s="1720"/>
      <c r="F1038" s="1720"/>
      <c r="G1038" s="1716"/>
      <c r="H1038" s="1715"/>
      <c r="I1038" s="1715"/>
      <c r="J1038" s="1717"/>
      <c r="K1038" s="1717"/>
      <c r="L1038" s="1717"/>
      <c r="M1038" s="1717"/>
      <c r="N1038" s="1718"/>
    </row>
    <row r="1039">
      <c r="A1039" s="1721"/>
      <c r="C1039" s="1026"/>
      <c r="D1039" s="1714"/>
      <c r="E1039" s="1720"/>
      <c r="F1039" s="1720"/>
      <c r="G1039" s="1716"/>
      <c r="H1039" s="1715"/>
      <c r="I1039" s="1715"/>
      <c r="J1039" s="1717"/>
      <c r="K1039" s="1717"/>
      <c r="L1039" s="1717"/>
      <c r="M1039" s="1717"/>
      <c r="N1039" s="1718"/>
    </row>
    <row r="1040">
      <c r="A1040" s="1721"/>
      <c r="C1040" s="1026"/>
      <c r="D1040" s="1714"/>
      <c r="E1040" s="1720"/>
      <c r="F1040" s="1720"/>
      <c r="G1040" s="1716"/>
      <c r="H1040" s="1715"/>
      <c r="I1040" s="1715"/>
      <c r="J1040" s="1717"/>
      <c r="K1040" s="1717"/>
      <c r="L1040" s="1717"/>
      <c r="M1040" s="1717"/>
      <c r="N1040" s="1718"/>
    </row>
    <row r="1041">
      <c r="A1041" s="1721"/>
      <c r="C1041" s="1026"/>
      <c r="D1041" s="1714"/>
      <c r="E1041" s="1720"/>
      <c r="F1041" s="1720"/>
      <c r="G1041" s="1716"/>
      <c r="H1041" s="1715"/>
      <c r="I1041" s="1715"/>
      <c r="J1041" s="1717"/>
      <c r="K1041" s="1717"/>
      <c r="L1041" s="1717"/>
      <c r="M1041" s="1717"/>
      <c r="N1041" s="1718"/>
    </row>
    <row r="1042">
      <c r="A1042" s="1721"/>
      <c r="C1042" s="1026"/>
      <c r="D1042" s="1714"/>
      <c r="E1042" s="1720"/>
      <c r="F1042" s="1720"/>
      <c r="G1042" s="1716"/>
      <c r="H1042" s="1715"/>
      <c r="I1042" s="1715"/>
      <c r="J1042" s="1717"/>
      <c r="K1042" s="1717"/>
      <c r="L1042" s="1717"/>
      <c r="M1042" s="1717"/>
      <c r="N1042" s="1718"/>
    </row>
    <row r="1043">
      <c r="A1043" s="1721"/>
      <c r="C1043" s="1026"/>
      <c r="D1043" s="1714"/>
      <c r="E1043" s="1720"/>
      <c r="F1043" s="1720"/>
      <c r="G1043" s="1716"/>
      <c r="H1043" s="1715"/>
      <c r="I1043" s="1715"/>
      <c r="J1043" s="1717"/>
      <c r="K1043" s="1717"/>
      <c r="L1043" s="1717"/>
      <c r="M1043" s="1717"/>
      <c r="N1043" s="1718"/>
    </row>
    <row r="1044">
      <c r="A1044" s="1721"/>
      <c r="C1044" s="1026"/>
      <c r="D1044" s="1714"/>
      <c r="E1044" s="1720"/>
      <c r="F1044" s="1720"/>
      <c r="G1044" s="1716"/>
      <c r="H1044" s="1715"/>
      <c r="I1044" s="1715"/>
      <c r="J1044" s="1717"/>
      <c r="K1044" s="1717"/>
      <c r="L1044" s="1717"/>
      <c r="M1044" s="1717"/>
      <c r="N1044" s="1718"/>
    </row>
    <row r="1045">
      <c r="A1045" s="1721"/>
      <c r="C1045" s="1026"/>
      <c r="D1045" s="1714"/>
      <c r="E1045" s="1720"/>
      <c r="F1045" s="1720"/>
      <c r="G1045" s="1716"/>
      <c r="H1045" s="1715"/>
      <c r="I1045" s="1715"/>
      <c r="J1045" s="1717"/>
      <c r="K1045" s="1717"/>
      <c r="L1045" s="1717"/>
      <c r="M1045" s="1717"/>
      <c r="N1045" s="1718"/>
    </row>
    <row r="1046">
      <c r="A1046" s="1721"/>
      <c r="C1046" s="1026"/>
      <c r="D1046" s="1714"/>
      <c r="E1046" s="1720"/>
      <c r="F1046" s="1720"/>
      <c r="G1046" s="1716"/>
      <c r="H1046" s="1715"/>
      <c r="I1046" s="1715"/>
      <c r="J1046" s="1717"/>
      <c r="K1046" s="1717"/>
      <c r="L1046" s="1717"/>
      <c r="M1046" s="1717"/>
      <c r="N1046" s="1718"/>
    </row>
    <row r="1047">
      <c r="A1047" s="1721"/>
      <c r="C1047" s="1026"/>
      <c r="D1047" s="1714"/>
      <c r="E1047" s="1720"/>
      <c r="F1047" s="1720"/>
      <c r="G1047" s="1716"/>
      <c r="H1047" s="1715"/>
      <c r="I1047" s="1715"/>
      <c r="J1047" s="1717"/>
      <c r="K1047" s="1717"/>
      <c r="L1047" s="1717"/>
      <c r="M1047" s="1717"/>
      <c r="N1047" s="1718"/>
    </row>
    <row r="1048">
      <c r="A1048" s="1721"/>
      <c r="C1048" s="1026"/>
      <c r="D1048" s="1714"/>
      <c r="E1048" s="1720"/>
      <c r="F1048" s="1720"/>
      <c r="G1048" s="1716"/>
      <c r="H1048" s="1715"/>
      <c r="I1048" s="1715"/>
      <c r="J1048" s="1717"/>
      <c r="K1048" s="1717"/>
      <c r="L1048" s="1717"/>
      <c r="M1048" s="1717"/>
      <c r="N1048" s="1718"/>
    </row>
    <row r="1049">
      <c r="A1049" s="1721"/>
      <c r="C1049" s="1026"/>
      <c r="D1049" s="1714"/>
      <c r="E1049" s="1720"/>
      <c r="F1049" s="1720"/>
      <c r="G1049" s="1716"/>
      <c r="H1049" s="1715"/>
      <c r="I1049" s="1715"/>
      <c r="J1049" s="1717"/>
      <c r="K1049" s="1717"/>
      <c r="L1049" s="1717"/>
      <c r="M1049" s="1717"/>
      <c r="N1049" s="1718"/>
    </row>
    <row r="1050">
      <c r="A1050" s="1721"/>
      <c r="C1050" s="1026"/>
      <c r="D1050" s="1714"/>
      <c r="E1050" s="1720"/>
      <c r="F1050" s="1720"/>
      <c r="G1050" s="1716"/>
      <c r="H1050" s="1715"/>
      <c r="I1050" s="1715"/>
      <c r="J1050" s="1717"/>
      <c r="K1050" s="1717"/>
      <c r="L1050" s="1717"/>
      <c r="M1050" s="1717"/>
      <c r="N1050" s="1718"/>
    </row>
    <row r="1051">
      <c r="A1051" s="1721"/>
      <c r="C1051" s="1026"/>
      <c r="D1051" s="1714"/>
      <c r="E1051" s="1720"/>
      <c r="F1051" s="1720"/>
      <c r="G1051" s="1716"/>
      <c r="H1051" s="1715"/>
      <c r="I1051" s="1715"/>
      <c r="J1051" s="1717"/>
      <c r="K1051" s="1717"/>
      <c r="L1051" s="1717"/>
      <c r="M1051" s="1717"/>
      <c r="N1051" s="1718"/>
    </row>
    <row r="1052">
      <c r="A1052" s="1721"/>
      <c r="C1052" s="1026"/>
      <c r="D1052" s="1714"/>
      <c r="E1052" s="1720"/>
      <c r="F1052" s="1720"/>
      <c r="G1052" s="1716"/>
      <c r="H1052" s="1715"/>
      <c r="I1052" s="1715"/>
      <c r="J1052" s="1717"/>
      <c r="K1052" s="1717"/>
      <c r="L1052" s="1717"/>
      <c r="M1052" s="1717"/>
      <c r="N1052" s="1718"/>
    </row>
    <row r="1053">
      <c r="A1053" s="1721"/>
      <c r="C1053" s="1026"/>
      <c r="D1053" s="1714"/>
      <c r="E1053" s="1720"/>
      <c r="F1053" s="1720"/>
      <c r="G1053" s="1716"/>
      <c r="H1053" s="1715"/>
      <c r="I1053" s="1715"/>
      <c r="J1053" s="1717"/>
      <c r="K1053" s="1717"/>
      <c r="L1053" s="1717"/>
      <c r="M1053" s="1717"/>
      <c r="N1053" s="1718"/>
    </row>
    <row r="1054">
      <c r="A1054" s="1721"/>
      <c r="C1054" s="1026"/>
      <c r="D1054" s="1714"/>
      <c r="E1054" s="1720"/>
      <c r="F1054" s="1720"/>
      <c r="G1054" s="1716"/>
      <c r="H1054" s="1715"/>
      <c r="I1054" s="1715"/>
      <c r="J1054" s="1717"/>
      <c r="K1054" s="1717"/>
      <c r="L1054" s="1717"/>
      <c r="M1054" s="1717"/>
      <c r="N1054" s="1718"/>
    </row>
    <row r="1055">
      <c r="A1055" s="1721"/>
      <c r="C1055" s="1026"/>
      <c r="D1055" s="1714"/>
      <c r="E1055" s="1720"/>
      <c r="F1055" s="1720"/>
      <c r="G1055" s="1716"/>
      <c r="H1055" s="1715"/>
      <c r="I1055" s="1715"/>
      <c r="J1055" s="1717"/>
      <c r="K1055" s="1717"/>
      <c r="L1055" s="1717"/>
      <c r="M1055" s="1717"/>
      <c r="N1055" s="1718"/>
    </row>
    <row r="1056">
      <c r="A1056" s="1721"/>
      <c r="C1056" s="1026"/>
      <c r="D1056" s="1714"/>
      <c r="E1056" s="1720"/>
      <c r="F1056" s="1720"/>
      <c r="G1056" s="1716"/>
      <c r="H1056" s="1715"/>
      <c r="I1056" s="1715"/>
      <c r="J1056" s="1717"/>
      <c r="K1056" s="1717"/>
      <c r="L1056" s="1717"/>
      <c r="M1056" s="1717"/>
      <c r="N1056" s="1718"/>
    </row>
    <row r="1057">
      <c r="A1057" s="1721"/>
      <c r="C1057" s="1026"/>
      <c r="D1057" s="1714"/>
      <c r="E1057" s="1720"/>
      <c r="F1057" s="1720"/>
      <c r="G1057" s="1716"/>
      <c r="H1057" s="1715"/>
      <c r="I1057" s="1715"/>
      <c r="J1057" s="1717"/>
      <c r="K1057" s="1717"/>
      <c r="L1057" s="1717"/>
      <c r="M1057" s="1717"/>
      <c r="N1057" s="1718"/>
    </row>
    <row r="1058">
      <c r="A1058" s="1721"/>
      <c r="C1058" s="1026"/>
      <c r="D1058" s="1714"/>
      <c r="E1058" s="1720"/>
      <c r="F1058" s="1720"/>
      <c r="G1058" s="1716"/>
      <c r="H1058" s="1715"/>
      <c r="I1058" s="1715"/>
      <c r="J1058" s="1717"/>
      <c r="K1058" s="1717"/>
      <c r="L1058" s="1717"/>
      <c r="M1058" s="1717"/>
      <c r="N1058" s="1718"/>
    </row>
    <row r="1059">
      <c r="A1059" s="1721"/>
      <c r="C1059" s="1026"/>
      <c r="D1059" s="1714"/>
      <c r="E1059" s="1720"/>
      <c r="F1059" s="1720"/>
      <c r="G1059" s="1716"/>
      <c r="H1059" s="1715"/>
      <c r="I1059" s="1715"/>
      <c r="J1059" s="1717"/>
      <c r="K1059" s="1717"/>
      <c r="L1059" s="1717"/>
      <c r="M1059" s="1717"/>
      <c r="N1059" s="1718"/>
    </row>
    <row r="1060">
      <c r="A1060" s="1721"/>
      <c r="C1060" s="1026"/>
      <c r="D1060" s="1714"/>
      <c r="E1060" s="1720"/>
      <c r="F1060" s="1720"/>
      <c r="G1060" s="1716"/>
      <c r="H1060" s="1715"/>
      <c r="I1060" s="1715"/>
      <c r="J1060" s="1717"/>
      <c r="K1060" s="1717"/>
      <c r="L1060" s="1717"/>
      <c r="M1060" s="1717"/>
      <c r="N1060" s="1718"/>
    </row>
    <row r="1061">
      <c r="A1061" s="1721"/>
      <c r="C1061" s="1026"/>
      <c r="D1061" s="1714"/>
      <c r="E1061" s="1720"/>
      <c r="F1061" s="1720"/>
      <c r="G1061" s="1716"/>
      <c r="H1061" s="1715"/>
      <c r="I1061" s="1715"/>
      <c r="J1061" s="1717"/>
      <c r="K1061" s="1717"/>
      <c r="L1061" s="1717"/>
      <c r="M1061" s="1717"/>
      <c r="N1061" s="1718"/>
    </row>
    <row r="1062">
      <c r="A1062" s="1721"/>
      <c r="C1062" s="1026"/>
      <c r="D1062" s="1714"/>
      <c r="E1062" s="1720"/>
      <c r="F1062" s="1720"/>
      <c r="G1062" s="1716"/>
      <c r="H1062" s="1715"/>
      <c r="I1062" s="1715"/>
      <c r="J1062" s="1717"/>
      <c r="K1062" s="1717"/>
      <c r="L1062" s="1717"/>
      <c r="M1062" s="1717"/>
      <c r="N1062" s="1718"/>
    </row>
    <row r="1063">
      <c r="A1063" s="1721"/>
      <c r="C1063" s="1026"/>
      <c r="D1063" s="1714"/>
      <c r="E1063" s="1720"/>
      <c r="F1063" s="1720"/>
      <c r="G1063" s="1716"/>
      <c r="H1063" s="1715"/>
      <c r="I1063" s="1715"/>
      <c r="J1063" s="1717"/>
      <c r="K1063" s="1717"/>
      <c r="L1063" s="1717"/>
      <c r="M1063" s="1717"/>
      <c r="N1063" s="1718"/>
    </row>
    <row r="1064">
      <c r="A1064" s="1721"/>
      <c r="C1064" s="1026"/>
      <c r="D1064" s="1714"/>
      <c r="E1064" s="1720"/>
      <c r="F1064" s="1720"/>
      <c r="G1064" s="1716"/>
      <c r="H1064" s="1715"/>
      <c r="I1064" s="1715"/>
      <c r="J1064" s="1717"/>
      <c r="K1064" s="1717"/>
      <c r="L1064" s="1717"/>
      <c r="M1064" s="1717"/>
      <c r="N1064" s="1718"/>
    </row>
    <row r="1065">
      <c r="A1065" s="1721"/>
      <c r="C1065" s="1026"/>
      <c r="D1065" s="1714"/>
      <c r="E1065" s="1720"/>
      <c r="F1065" s="1720"/>
      <c r="G1065" s="1716"/>
      <c r="H1065" s="1715"/>
      <c r="I1065" s="1715"/>
      <c r="J1065" s="1717"/>
      <c r="K1065" s="1717"/>
      <c r="L1065" s="1717"/>
      <c r="M1065" s="1717"/>
      <c r="N1065" s="1718"/>
    </row>
    <row r="1066">
      <c r="A1066" s="1721"/>
      <c r="C1066" s="1026"/>
      <c r="D1066" s="1714"/>
      <c r="E1066" s="1720"/>
      <c r="F1066" s="1720"/>
      <c r="G1066" s="1716"/>
      <c r="H1066" s="1715"/>
      <c r="I1066" s="1715"/>
      <c r="J1066" s="1717"/>
      <c r="K1066" s="1717"/>
      <c r="L1066" s="1717"/>
      <c r="M1066" s="1717"/>
      <c r="N1066" s="1718"/>
    </row>
    <row r="1067">
      <c r="A1067" s="1721"/>
      <c r="C1067" s="1026"/>
      <c r="D1067" s="1714"/>
      <c r="E1067" s="1720"/>
      <c r="F1067" s="1720"/>
      <c r="G1067" s="1716"/>
      <c r="H1067" s="1715"/>
      <c r="I1067" s="1715"/>
      <c r="J1067" s="1717"/>
      <c r="K1067" s="1717"/>
      <c r="L1067" s="1717"/>
      <c r="M1067" s="1717"/>
      <c r="N1067" s="1718"/>
    </row>
    <row r="1068">
      <c r="A1068" s="1721"/>
      <c r="C1068" s="1026"/>
      <c r="D1068" s="1714"/>
      <c r="E1068" s="1720"/>
      <c r="F1068" s="1720"/>
      <c r="G1068" s="1716"/>
      <c r="H1068" s="1715"/>
      <c r="I1068" s="1715"/>
      <c r="J1068" s="1717"/>
      <c r="K1068" s="1717"/>
      <c r="L1068" s="1717"/>
      <c r="M1068" s="1717"/>
      <c r="N1068" s="1718"/>
    </row>
    <row r="1069">
      <c r="A1069" s="1721"/>
      <c r="C1069" s="1026"/>
      <c r="D1069" s="1714"/>
      <c r="E1069" s="1720"/>
      <c r="F1069" s="1720"/>
      <c r="G1069" s="1716"/>
      <c r="H1069" s="1715"/>
      <c r="I1069" s="1715"/>
      <c r="J1069" s="1717"/>
      <c r="K1069" s="1717"/>
      <c r="L1069" s="1717"/>
      <c r="M1069" s="1717"/>
      <c r="N1069" s="1718"/>
    </row>
    <row r="1070">
      <c r="A1070" s="1721"/>
      <c r="C1070" s="1026"/>
      <c r="D1070" s="1714"/>
      <c r="E1070" s="1720"/>
      <c r="F1070" s="1720"/>
      <c r="G1070" s="1716"/>
      <c r="H1070" s="1715"/>
      <c r="I1070" s="1715"/>
      <c r="J1070" s="1717"/>
      <c r="K1070" s="1717"/>
      <c r="L1070" s="1717"/>
      <c r="M1070" s="1717"/>
      <c r="N1070" s="1718"/>
    </row>
    <row r="1071">
      <c r="A1071" s="1721"/>
      <c r="C1071" s="1026"/>
      <c r="D1071" s="1714"/>
      <c r="E1071" s="1720"/>
      <c r="F1071" s="1720"/>
      <c r="G1071" s="1716"/>
      <c r="H1071" s="1715"/>
      <c r="I1071" s="1715"/>
      <c r="J1071" s="1717"/>
      <c r="K1071" s="1717"/>
      <c r="L1071" s="1717"/>
      <c r="M1071" s="1717"/>
      <c r="N1071" s="1718"/>
    </row>
    <row r="1072">
      <c r="A1072" s="1721"/>
      <c r="C1072" s="1026"/>
      <c r="D1072" s="1714"/>
      <c r="E1072" s="1720"/>
      <c r="F1072" s="1720"/>
      <c r="G1072" s="1716"/>
      <c r="H1072" s="1715"/>
      <c r="I1072" s="1715"/>
      <c r="J1072" s="1717"/>
      <c r="K1072" s="1717"/>
      <c r="L1072" s="1717"/>
      <c r="M1072" s="1717"/>
      <c r="N1072" s="1718"/>
    </row>
    <row r="1073">
      <c r="A1073" s="1721"/>
      <c r="C1073" s="1026"/>
      <c r="D1073" s="1714"/>
      <c r="E1073" s="1720"/>
      <c r="F1073" s="1720"/>
      <c r="G1073" s="1716"/>
      <c r="H1073" s="1715"/>
      <c r="I1073" s="1715"/>
      <c r="J1073" s="1717"/>
      <c r="K1073" s="1717"/>
      <c r="L1073" s="1717"/>
      <c r="M1073" s="1717"/>
      <c r="N1073" s="1718"/>
    </row>
    <row r="1074">
      <c r="A1074" s="1721"/>
      <c r="C1074" s="1026"/>
      <c r="D1074" s="1714"/>
      <c r="E1074" s="1720"/>
      <c r="F1074" s="1720"/>
      <c r="G1074" s="1716"/>
      <c r="H1074" s="1715"/>
      <c r="I1074" s="1715"/>
      <c r="J1074" s="1717"/>
      <c r="K1074" s="1717"/>
      <c r="L1074" s="1717"/>
      <c r="M1074" s="1717"/>
      <c r="N1074" s="1718"/>
    </row>
    <row r="1075">
      <c r="A1075" s="1721"/>
      <c r="C1075" s="1026"/>
      <c r="D1075" s="1714"/>
      <c r="E1075" s="1720"/>
      <c r="F1075" s="1720"/>
      <c r="G1075" s="1716"/>
      <c r="H1075" s="1715"/>
      <c r="I1075" s="1715"/>
      <c r="J1075" s="1717"/>
      <c r="K1075" s="1717"/>
      <c r="L1075" s="1717"/>
      <c r="M1075" s="1717"/>
      <c r="N1075" s="1718"/>
    </row>
    <row r="1076">
      <c r="A1076" s="1721"/>
      <c r="C1076" s="1026"/>
      <c r="D1076" s="1714"/>
      <c r="E1076" s="1720"/>
      <c r="F1076" s="1720"/>
      <c r="G1076" s="1716"/>
      <c r="H1076" s="1715"/>
      <c r="I1076" s="1715"/>
      <c r="J1076" s="1717"/>
      <c r="K1076" s="1717"/>
      <c r="L1076" s="1717"/>
      <c r="M1076" s="1717"/>
      <c r="N1076" s="1718"/>
    </row>
    <row r="1077">
      <c r="A1077" s="1721"/>
      <c r="C1077" s="1026"/>
      <c r="D1077" s="1714"/>
      <c r="E1077" s="1720"/>
      <c r="F1077" s="1720"/>
      <c r="G1077" s="1716"/>
      <c r="H1077" s="1715"/>
      <c r="I1077" s="1715"/>
      <c r="J1077" s="1717"/>
      <c r="K1077" s="1717"/>
      <c r="L1077" s="1717"/>
      <c r="M1077" s="1717"/>
      <c r="N1077" s="1718"/>
    </row>
    <row r="1078">
      <c r="A1078" s="1721"/>
      <c r="C1078" s="1026"/>
      <c r="D1078" s="1714"/>
      <c r="E1078" s="1720"/>
      <c r="F1078" s="1720"/>
      <c r="G1078" s="1716"/>
      <c r="H1078" s="1715"/>
      <c r="I1078" s="1715"/>
      <c r="J1078" s="1717"/>
      <c r="K1078" s="1717"/>
      <c r="L1078" s="1717"/>
      <c r="M1078" s="1717"/>
      <c r="N1078" s="1718"/>
    </row>
    <row r="1079">
      <c r="A1079" s="1721"/>
      <c r="C1079" s="1026"/>
      <c r="D1079" s="1714"/>
      <c r="E1079" s="1720"/>
      <c r="F1079" s="1720"/>
      <c r="G1079" s="1716"/>
      <c r="H1079" s="1715"/>
      <c r="I1079" s="1715"/>
      <c r="J1079" s="1717"/>
      <c r="K1079" s="1717"/>
      <c r="L1079" s="1717"/>
      <c r="M1079" s="1717"/>
      <c r="N1079" s="1718"/>
    </row>
    <row r="1080">
      <c r="A1080" s="1721"/>
      <c r="C1080" s="1026"/>
      <c r="D1080" s="1714"/>
      <c r="E1080" s="1720"/>
      <c r="F1080" s="1720"/>
      <c r="G1080" s="1716"/>
      <c r="H1080" s="1715"/>
      <c r="I1080" s="1715"/>
      <c r="J1080" s="1717"/>
      <c r="K1080" s="1717"/>
      <c r="L1080" s="1717"/>
      <c r="M1080" s="1717"/>
      <c r="N1080" s="1718"/>
    </row>
    <row r="1081">
      <c r="A1081" s="1721"/>
      <c r="C1081" s="1026"/>
      <c r="D1081" s="1714"/>
      <c r="E1081" s="1720"/>
      <c r="F1081" s="1720"/>
      <c r="G1081" s="1716"/>
      <c r="H1081" s="1715"/>
      <c r="I1081" s="1715"/>
      <c r="J1081" s="1717"/>
      <c r="K1081" s="1717"/>
      <c r="L1081" s="1717"/>
      <c r="M1081" s="1717"/>
      <c r="N1081" s="1718"/>
    </row>
    <row r="1082">
      <c r="A1082" s="1721"/>
      <c r="C1082" s="1026"/>
      <c r="D1082" s="1714"/>
      <c r="E1082" s="1720"/>
      <c r="F1082" s="1720"/>
      <c r="G1082" s="1716"/>
      <c r="H1082" s="1715"/>
      <c r="I1082" s="1715"/>
      <c r="J1082" s="1717"/>
      <c r="K1082" s="1717"/>
      <c r="L1082" s="1717"/>
      <c r="M1082" s="1717"/>
      <c r="N1082" s="1718"/>
    </row>
    <row r="1083">
      <c r="A1083" s="1721"/>
      <c r="C1083" s="1026"/>
      <c r="D1083" s="1714"/>
      <c r="E1083" s="1720"/>
      <c r="F1083" s="1720"/>
      <c r="G1083" s="1716"/>
      <c r="H1083" s="1715"/>
      <c r="I1083" s="1715"/>
      <c r="J1083" s="1717"/>
      <c r="K1083" s="1717"/>
      <c r="L1083" s="1717"/>
      <c r="M1083" s="1717"/>
      <c r="N1083" s="1718"/>
    </row>
    <row r="1084">
      <c r="A1084" s="1721"/>
      <c r="C1084" s="1026"/>
      <c r="D1084" s="1714"/>
      <c r="E1084" s="1720"/>
      <c r="F1084" s="1720"/>
      <c r="G1084" s="1716"/>
      <c r="H1084" s="1715"/>
      <c r="I1084" s="1715"/>
      <c r="J1084" s="1717"/>
      <c r="K1084" s="1717"/>
      <c r="L1084" s="1717"/>
      <c r="M1084" s="1717"/>
      <c r="N1084" s="1718"/>
    </row>
    <row r="1085">
      <c r="A1085" s="1721"/>
      <c r="C1085" s="1026"/>
      <c r="D1085" s="1714"/>
      <c r="E1085" s="1720"/>
      <c r="F1085" s="1720"/>
      <c r="G1085" s="1716"/>
      <c r="H1085" s="1715"/>
      <c r="I1085" s="1715"/>
      <c r="J1085" s="1717"/>
      <c r="K1085" s="1717"/>
      <c r="L1085" s="1717"/>
      <c r="M1085" s="1717"/>
      <c r="N1085" s="1718"/>
    </row>
    <row r="1086">
      <c r="A1086" s="1721"/>
      <c r="C1086" s="1026"/>
      <c r="D1086" s="1714"/>
      <c r="E1086" s="1720"/>
      <c r="F1086" s="1720"/>
      <c r="G1086" s="1716"/>
      <c r="H1086" s="1715"/>
      <c r="I1086" s="1715"/>
      <c r="J1086" s="1717"/>
      <c r="K1086" s="1717"/>
      <c r="L1086" s="1717"/>
      <c r="M1086" s="1717"/>
      <c r="N1086" s="1718"/>
    </row>
    <row r="1087">
      <c r="A1087" s="1721"/>
      <c r="C1087" s="1026"/>
      <c r="D1087" s="1714"/>
      <c r="E1087" s="1720"/>
      <c r="F1087" s="1720"/>
      <c r="G1087" s="1716"/>
      <c r="H1087" s="1715"/>
      <c r="I1087" s="1715"/>
      <c r="J1087" s="1717"/>
      <c r="K1087" s="1717"/>
      <c r="L1087" s="1717"/>
      <c r="M1087" s="1717"/>
      <c r="N1087" s="1718"/>
    </row>
    <row r="1088">
      <c r="A1088" s="1721"/>
      <c r="C1088" s="1026"/>
      <c r="D1088" s="1714"/>
      <c r="E1088" s="1720"/>
      <c r="F1088" s="1720"/>
      <c r="G1088" s="1716"/>
      <c r="H1088" s="1715"/>
      <c r="I1088" s="1715"/>
      <c r="J1088" s="1717"/>
      <c r="K1088" s="1717"/>
      <c r="L1088" s="1717"/>
      <c r="M1088" s="1717"/>
      <c r="N1088" s="1718"/>
    </row>
    <row r="1089">
      <c r="A1089" s="1721"/>
      <c r="C1089" s="1026"/>
      <c r="D1089" s="1714"/>
      <c r="E1089" s="1720"/>
      <c r="F1089" s="1720"/>
      <c r="G1089" s="1716"/>
      <c r="H1089" s="1715"/>
      <c r="I1089" s="1715"/>
      <c r="J1089" s="1717"/>
      <c r="K1089" s="1717"/>
      <c r="L1089" s="1717"/>
      <c r="M1089" s="1717"/>
      <c r="N1089" s="1718"/>
    </row>
    <row r="1090">
      <c r="A1090" s="1721"/>
      <c r="C1090" s="1026"/>
      <c r="D1090" s="1714"/>
      <c r="E1090" s="1720"/>
      <c r="F1090" s="1720"/>
      <c r="G1090" s="1716"/>
      <c r="H1090" s="1715"/>
      <c r="I1090" s="1715"/>
      <c r="J1090" s="1717"/>
      <c r="K1090" s="1717"/>
      <c r="L1090" s="1717"/>
      <c r="M1090" s="1717"/>
      <c r="N1090" s="1718"/>
    </row>
    <row r="1091">
      <c r="A1091" s="1721"/>
      <c r="C1091" s="1026"/>
      <c r="D1091" s="1714"/>
      <c r="E1091" s="1720"/>
      <c r="F1091" s="1720"/>
      <c r="G1091" s="1716"/>
      <c r="H1091" s="1715"/>
      <c r="I1091" s="1715"/>
      <c r="J1091" s="1717"/>
      <c r="K1091" s="1717"/>
      <c r="L1091" s="1717"/>
      <c r="M1091" s="1717"/>
      <c r="N1091" s="1718"/>
    </row>
    <row r="1092">
      <c r="A1092" s="1721"/>
      <c r="C1092" s="1026"/>
      <c r="D1092" s="1714"/>
      <c r="E1092" s="1720"/>
      <c r="F1092" s="1720"/>
      <c r="G1092" s="1716"/>
      <c r="H1092" s="1715"/>
      <c r="I1092" s="1715"/>
      <c r="J1092" s="1717"/>
      <c r="K1092" s="1717"/>
      <c r="L1092" s="1717"/>
      <c r="M1092" s="1717"/>
      <c r="N1092" s="1718"/>
    </row>
    <row r="1093">
      <c r="A1093" s="1721"/>
      <c r="C1093" s="1026"/>
      <c r="D1093" s="1714"/>
      <c r="E1093" s="1720"/>
      <c r="F1093" s="1720"/>
      <c r="G1093" s="1716"/>
      <c r="H1093" s="1715"/>
      <c r="I1093" s="1715"/>
      <c r="J1093" s="1717"/>
      <c r="K1093" s="1717"/>
      <c r="L1093" s="1717"/>
      <c r="M1093" s="1717"/>
      <c r="N1093" s="1718"/>
    </row>
    <row r="1094">
      <c r="A1094" s="1721"/>
      <c r="C1094" s="1026"/>
      <c r="D1094" s="1714"/>
      <c r="E1094" s="1720"/>
      <c r="F1094" s="1720"/>
      <c r="G1094" s="1716"/>
      <c r="H1094" s="1715"/>
      <c r="I1094" s="1715"/>
      <c r="J1094" s="1717"/>
      <c r="K1094" s="1717"/>
      <c r="L1094" s="1717"/>
      <c r="M1094" s="1717"/>
      <c r="N1094" s="1718"/>
    </row>
    <row r="1095">
      <c r="A1095" s="1721"/>
      <c r="C1095" s="1026"/>
      <c r="D1095" s="1714"/>
      <c r="E1095" s="1720"/>
      <c r="F1095" s="1720"/>
      <c r="G1095" s="1716"/>
      <c r="H1095" s="1715"/>
      <c r="I1095" s="1715"/>
      <c r="J1095" s="1717"/>
      <c r="K1095" s="1717"/>
      <c r="L1095" s="1717"/>
      <c r="M1095" s="1717"/>
      <c r="N1095" s="1718"/>
    </row>
    <row r="1096">
      <c r="A1096" s="1721"/>
      <c r="C1096" s="1026"/>
      <c r="D1096" s="1714"/>
      <c r="E1096" s="1720"/>
      <c r="F1096" s="1720"/>
      <c r="G1096" s="1716"/>
      <c r="H1096" s="1715"/>
      <c r="I1096" s="1715"/>
      <c r="J1096" s="1717"/>
      <c r="K1096" s="1717"/>
      <c r="L1096" s="1717"/>
      <c r="M1096" s="1717"/>
      <c r="N1096" s="1718"/>
    </row>
    <row r="1097">
      <c r="A1097" s="1721"/>
      <c r="C1097" s="1026"/>
      <c r="D1097" s="1714"/>
      <c r="E1097" s="1720"/>
      <c r="F1097" s="1720"/>
      <c r="G1097" s="1716"/>
      <c r="H1097" s="1715"/>
      <c r="I1097" s="1715"/>
      <c r="J1097" s="1717"/>
      <c r="K1097" s="1717"/>
      <c r="L1097" s="1717"/>
      <c r="M1097" s="1717"/>
      <c r="N1097" s="1718"/>
    </row>
    <row r="1098">
      <c r="A1098" s="1721"/>
      <c r="C1098" s="1026"/>
      <c r="D1098" s="1714"/>
      <c r="E1098" s="1720"/>
      <c r="F1098" s="1720"/>
      <c r="G1098" s="1716"/>
      <c r="H1098" s="1715"/>
      <c r="I1098" s="1715"/>
      <c r="J1098" s="1717"/>
      <c r="K1098" s="1717"/>
      <c r="L1098" s="1717"/>
      <c r="M1098" s="1717"/>
      <c r="N1098" s="1718"/>
    </row>
    <row r="1099">
      <c r="A1099" s="1721"/>
      <c r="C1099" s="1026"/>
      <c r="D1099" s="1714"/>
      <c r="E1099" s="1720"/>
      <c r="F1099" s="1720"/>
      <c r="G1099" s="1716"/>
      <c r="H1099" s="1715"/>
      <c r="I1099" s="1715"/>
      <c r="J1099" s="1717"/>
      <c r="K1099" s="1717"/>
      <c r="L1099" s="1717"/>
      <c r="M1099" s="1717"/>
      <c r="N1099" s="1718"/>
    </row>
    <row r="1100">
      <c r="A1100" s="1721"/>
      <c r="C1100" s="1026"/>
      <c r="D1100" s="1714"/>
      <c r="E1100" s="1720"/>
      <c r="F1100" s="1720"/>
      <c r="G1100" s="1716"/>
      <c r="H1100" s="1715"/>
      <c r="I1100" s="1715"/>
      <c r="J1100" s="1717"/>
      <c r="K1100" s="1717"/>
      <c r="L1100" s="1717"/>
      <c r="M1100" s="1717"/>
      <c r="N1100" s="1718"/>
    </row>
    <row r="1101">
      <c r="A1101" s="1721"/>
      <c r="C1101" s="1026"/>
      <c r="D1101" s="1714"/>
      <c r="E1101" s="1720"/>
      <c r="F1101" s="1720"/>
      <c r="G1101" s="1716"/>
      <c r="H1101" s="1715"/>
      <c r="I1101" s="1715"/>
      <c r="J1101" s="1717"/>
      <c r="K1101" s="1717"/>
      <c r="L1101" s="1717"/>
      <c r="M1101" s="1717"/>
      <c r="N1101" s="1718"/>
    </row>
    <row r="1102">
      <c r="A1102" s="1721"/>
      <c r="C1102" s="1026"/>
      <c r="D1102" s="1714"/>
      <c r="E1102" s="1720"/>
      <c r="F1102" s="1720"/>
      <c r="G1102" s="1716"/>
      <c r="H1102" s="1715"/>
      <c r="I1102" s="1715"/>
      <c r="J1102" s="1717"/>
      <c r="K1102" s="1717"/>
      <c r="L1102" s="1717"/>
      <c r="M1102" s="1717"/>
      <c r="N1102" s="1718"/>
    </row>
    <row r="1103">
      <c r="A1103" s="1721"/>
      <c r="C1103" s="1026"/>
      <c r="D1103" s="1714"/>
      <c r="E1103" s="1720"/>
      <c r="F1103" s="1720"/>
      <c r="G1103" s="1716"/>
      <c r="H1103" s="1715"/>
      <c r="I1103" s="1715"/>
      <c r="J1103" s="1717"/>
      <c r="K1103" s="1717"/>
      <c r="L1103" s="1717"/>
      <c r="M1103" s="1717"/>
      <c r="N1103" s="1718"/>
    </row>
    <row r="1104">
      <c r="A1104" s="1721"/>
      <c r="C1104" s="1026"/>
      <c r="D1104" s="1714"/>
      <c r="E1104" s="1720"/>
      <c r="F1104" s="1720"/>
      <c r="G1104" s="1716"/>
      <c r="H1104" s="1715"/>
      <c r="I1104" s="1715"/>
      <c r="J1104" s="1717"/>
      <c r="K1104" s="1717"/>
      <c r="L1104" s="1717"/>
      <c r="M1104" s="1717"/>
      <c r="N1104" s="1718"/>
    </row>
    <row r="1105">
      <c r="A1105" s="1721"/>
      <c r="C1105" s="1026"/>
      <c r="D1105" s="1714"/>
      <c r="E1105" s="1720"/>
      <c r="F1105" s="1720"/>
      <c r="G1105" s="1716"/>
      <c r="H1105" s="1715"/>
      <c r="I1105" s="1715"/>
      <c r="J1105" s="1717"/>
      <c r="K1105" s="1717"/>
      <c r="L1105" s="1717"/>
      <c r="M1105" s="1717"/>
      <c r="N1105" s="1718"/>
    </row>
    <row r="1106">
      <c r="A1106" s="1721"/>
      <c r="C1106" s="1026"/>
      <c r="D1106" s="1714"/>
      <c r="E1106" s="1720"/>
      <c r="F1106" s="1720"/>
      <c r="G1106" s="1716"/>
      <c r="H1106" s="1715"/>
      <c r="I1106" s="1715"/>
      <c r="J1106" s="1717"/>
      <c r="K1106" s="1717"/>
      <c r="L1106" s="1717"/>
      <c r="M1106" s="1717"/>
      <c r="N1106" s="1718"/>
    </row>
    <row r="1107">
      <c r="A1107" s="1721"/>
      <c r="C1107" s="1026"/>
      <c r="D1107" s="1714"/>
      <c r="E1107" s="1720"/>
      <c r="F1107" s="1720"/>
      <c r="G1107" s="1716"/>
      <c r="H1107" s="1715"/>
      <c r="I1107" s="1715"/>
      <c r="J1107" s="1717"/>
      <c r="K1107" s="1717"/>
      <c r="L1107" s="1717"/>
      <c r="M1107" s="1717"/>
      <c r="N1107" s="1718"/>
    </row>
    <row r="1108">
      <c r="A1108" s="1721"/>
      <c r="C1108" s="1026"/>
      <c r="D1108" s="1714"/>
      <c r="E1108" s="1720"/>
      <c r="F1108" s="1720"/>
      <c r="G1108" s="1716"/>
      <c r="H1108" s="1715"/>
      <c r="I1108" s="1715"/>
      <c r="J1108" s="1717"/>
      <c r="K1108" s="1717"/>
      <c r="L1108" s="1717"/>
      <c r="M1108" s="1717"/>
      <c r="N1108" s="1718"/>
    </row>
    <row r="1109">
      <c r="A1109" s="1721"/>
      <c r="C1109" s="1026"/>
      <c r="D1109" s="1714"/>
      <c r="E1109" s="1720"/>
      <c r="F1109" s="1720"/>
      <c r="G1109" s="1716"/>
      <c r="H1109" s="1715"/>
      <c r="I1109" s="1715"/>
      <c r="J1109" s="1717"/>
      <c r="K1109" s="1717"/>
      <c r="L1109" s="1717"/>
      <c r="M1109" s="1717"/>
      <c r="N1109" s="1718"/>
    </row>
    <row r="1110">
      <c r="A1110" s="1721"/>
      <c r="C1110" s="1026"/>
      <c r="D1110" s="1714"/>
      <c r="E1110" s="1720"/>
      <c r="F1110" s="1720"/>
      <c r="G1110" s="1716"/>
      <c r="H1110" s="1715"/>
      <c r="I1110" s="1715"/>
      <c r="J1110" s="1717"/>
      <c r="K1110" s="1717"/>
      <c r="L1110" s="1717"/>
      <c r="M1110" s="1717"/>
      <c r="N1110" s="1718"/>
    </row>
    <row r="1111">
      <c r="A1111" s="1721"/>
      <c r="C1111" s="1026"/>
      <c r="D1111" s="1714"/>
      <c r="E1111" s="1720"/>
      <c r="F1111" s="1720"/>
      <c r="G1111" s="1716"/>
      <c r="H1111" s="1715"/>
      <c r="I1111" s="1715"/>
      <c r="J1111" s="1717"/>
      <c r="K1111" s="1717"/>
      <c r="L1111" s="1717"/>
      <c r="M1111" s="1717"/>
      <c r="N1111" s="1718"/>
    </row>
    <row r="1112">
      <c r="A1112" s="1721"/>
      <c r="C1112" s="1026"/>
      <c r="D1112" s="1714"/>
      <c r="E1112" s="1720"/>
      <c r="F1112" s="1720"/>
      <c r="G1112" s="1716"/>
      <c r="H1112" s="1715"/>
      <c r="I1112" s="1715"/>
      <c r="J1112" s="1717"/>
      <c r="K1112" s="1717"/>
      <c r="L1112" s="1717"/>
      <c r="M1112" s="1717"/>
      <c r="N1112" s="1718"/>
    </row>
    <row r="1113">
      <c r="A1113" s="1721"/>
      <c r="C1113" s="1026"/>
      <c r="D1113" s="1714"/>
      <c r="E1113" s="1720"/>
      <c r="F1113" s="1720"/>
      <c r="G1113" s="1716"/>
      <c r="H1113" s="1715"/>
      <c r="I1113" s="1715"/>
      <c r="J1113" s="1717"/>
      <c r="K1113" s="1717"/>
      <c r="L1113" s="1717"/>
      <c r="M1113" s="1717"/>
      <c r="N1113" s="1718"/>
    </row>
    <row r="1114">
      <c r="A1114" s="1721"/>
      <c r="C1114" s="1026"/>
      <c r="D1114" s="1714"/>
      <c r="E1114" s="1720"/>
      <c r="F1114" s="1720"/>
      <c r="G1114" s="1716"/>
      <c r="H1114" s="1715"/>
      <c r="I1114" s="1715"/>
      <c r="J1114" s="1717"/>
      <c r="K1114" s="1717"/>
      <c r="L1114" s="1717"/>
      <c r="M1114" s="1717"/>
      <c r="N1114" s="1718"/>
    </row>
    <row r="1115">
      <c r="A1115" s="1721"/>
      <c r="C1115" s="1026"/>
      <c r="D1115" s="1714"/>
      <c r="E1115" s="1720"/>
      <c r="F1115" s="1720"/>
      <c r="G1115" s="1716"/>
      <c r="H1115" s="1715"/>
      <c r="I1115" s="1715"/>
      <c r="J1115" s="1717"/>
      <c r="K1115" s="1717"/>
      <c r="L1115" s="1717"/>
      <c r="M1115" s="1717"/>
      <c r="N1115" s="1718"/>
    </row>
    <row r="1116">
      <c r="A1116" s="1721"/>
      <c r="C1116" s="1026"/>
      <c r="D1116" s="1714"/>
      <c r="E1116" s="1720"/>
      <c r="F1116" s="1720"/>
      <c r="G1116" s="1716"/>
      <c r="H1116" s="1715"/>
      <c r="I1116" s="1715"/>
      <c r="J1116" s="1717"/>
      <c r="K1116" s="1717"/>
      <c r="L1116" s="1717"/>
      <c r="M1116" s="1717"/>
      <c r="N1116" s="1718"/>
    </row>
    <row r="1117">
      <c r="A1117" s="1721"/>
      <c r="C1117" s="1026"/>
      <c r="D1117" s="1714"/>
      <c r="E1117" s="1720"/>
      <c r="F1117" s="1720"/>
      <c r="G1117" s="1716"/>
      <c r="H1117" s="1715"/>
      <c r="I1117" s="1715"/>
      <c r="J1117" s="1717"/>
      <c r="K1117" s="1717"/>
      <c r="L1117" s="1717"/>
      <c r="M1117" s="1717"/>
      <c r="N1117" s="1718"/>
    </row>
    <row r="1118">
      <c r="A1118" s="1721"/>
      <c r="C1118" s="1026"/>
      <c r="D1118" s="1714"/>
      <c r="E1118" s="1720"/>
      <c r="F1118" s="1720"/>
      <c r="G1118" s="1716"/>
      <c r="H1118" s="1715"/>
      <c r="I1118" s="1715"/>
      <c r="J1118" s="1717"/>
      <c r="K1118" s="1717"/>
      <c r="L1118" s="1717"/>
      <c r="M1118" s="1717"/>
      <c r="N1118" s="1718"/>
    </row>
    <row r="1119">
      <c r="A1119" s="1721"/>
      <c r="C1119" s="1026"/>
      <c r="D1119" s="1714"/>
      <c r="E1119" s="1720"/>
      <c r="F1119" s="1720"/>
      <c r="G1119" s="1716"/>
      <c r="H1119" s="1715"/>
      <c r="I1119" s="1715"/>
      <c r="J1119" s="1717"/>
      <c r="K1119" s="1717"/>
      <c r="L1119" s="1717"/>
      <c r="M1119" s="1717"/>
      <c r="N1119" s="1718"/>
    </row>
    <row r="1120">
      <c r="A1120" s="1721"/>
      <c r="C1120" s="1026"/>
      <c r="D1120" s="1714"/>
      <c r="E1120" s="1720"/>
      <c r="F1120" s="1720"/>
      <c r="G1120" s="1716"/>
      <c r="H1120" s="1715"/>
      <c r="I1120" s="1715"/>
      <c r="J1120" s="1717"/>
      <c r="K1120" s="1717"/>
      <c r="L1120" s="1717"/>
      <c r="M1120" s="1717"/>
      <c r="N1120" s="1718"/>
    </row>
    <row r="1121">
      <c r="A1121" s="1721"/>
      <c r="C1121" s="1026"/>
      <c r="D1121" s="1714"/>
      <c r="E1121" s="1720"/>
      <c r="F1121" s="1720"/>
      <c r="G1121" s="1716"/>
      <c r="H1121" s="1715"/>
      <c r="I1121" s="1715"/>
      <c r="J1121" s="1717"/>
      <c r="K1121" s="1717"/>
      <c r="L1121" s="1717"/>
      <c r="M1121" s="1717"/>
      <c r="N1121" s="1718"/>
    </row>
    <row r="1122">
      <c r="A1122" s="1721"/>
      <c r="C1122" s="1026"/>
      <c r="D1122" s="1714"/>
      <c r="E1122" s="1720"/>
      <c r="F1122" s="1720"/>
      <c r="G1122" s="1716"/>
      <c r="H1122" s="1715"/>
      <c r="I1122" s="1715"/>
      <c r="J1122" s="1717"/>
      <c r="K1122" s="1717"/>
      <c r="L1122" s="1717"/>
      <c r="M1122" s="1717"/>
      <c r="N1122" s="1718"/>
    </row>
    <row r="1123">
      <c r="A1123" s="1721"/>
      <c r="C1123" s="1026"/>
      <c r="D1123" s="1714"/>
      <c r="E1123" s="1720"/>
      <c r="F1123" s="1720"/>
      <c r="G1123" s="1716"/>
      <c r="H1123" s="1715"/>
      <c r="I1123" s="1715"/>
      <c r="J1123" s="1717"/>
      <c r="K1123" s="1717"/>
      <c r="L1123" s="1717"/>
      <c r="M1123" s="1717"/>
      <c r="N1123" s="1718"/>
    </row>
    <row r="1124">
      <c r="A1124" s="1721"/>
      <c r="C1124" s="1026"/>
      <c r="D1124" s="1714"/>
      <c r="E1124" s="1720"/>
      <c r="F1124" s="1720"/>
      <c r="G1124" s="1716"/>
      <c r="H1124" s="1715"/>
      <c r="I1124" s="1715"/>
      <c r="J1124" s="1717"/>
      <c r="K1124" s="1717"/>
      <c r="L1124" s="1717"/>
      <c r="M1124" s="1717"/>
      <c r="N1124" s="1718"/>
    </row>
    <row r="1125">
      <c r="A1125" s="1721"/>
      <c r="C1125" s="1026"/>
      <c r="D1125" s="1714"/>
      <c r="E1125" s="1720"/>
      <c r="F1125" s="1720"/>
      <c r="G1125" s="1716"/>
      <c r="H1125" s="1715"/>
      <c r="I1125" s="1715"/>
      <c r="J1125" s="1717"/>
      <c r="K1125" s="1717"/>
      <c r="L1125" s="1717"/>
      <c r="M1125" s="1717"/>
      <c r="N1125" s="1718"/>
    </row>
    <row r="1126">
      <c r="A1126" s="1721"/>
      <c r="C1126" s="1026"/>
      <c r="D1126" s="1714"/>
      <c r="E1126" s="1720"/>
      <c r="F1126" s="1720"/>
      <c r="G1126" s="1716"/>
      <c r="H1126" s="1715"/>
      <c r="I1126" s="1715"/>
      <c r="J1126" s="1717"/>
      <c r="K1126" s="1717"/>
      <c r="L1126" s="1717"/>
      <c r="M1126" s="1717"/>
      <c r="N1126" s="1718"/>
    </row>
    <row r="1127">
      <c r="A1127" s="1721"/>
      <c r="C1127" s="1026"/>
      <c r="D1127" s="1714"/>
      <c r="E1127" s="1720"/>
      <c r="F1127" s="1720"/>
      <c r="G1127" s="1716"/>
      <c r="H1127" s="1715"/>
      <c r="I1127" s="1715"/>
      <c r="J1127" s="1717"/>
      <c r="K1127" s="1717"/>
      <c r="L1127" s="1717"/>
      <c r="M1127" s="1717"/>
      <c r="N1127" s="1718"/>
    </row>
    <row r="1128">
      <c r="A1128" s="1721"/>
      <c r="C1128" s="1026"/>
      <c r="D1128" s="1714"/>
      <c r="E1128" s="1720"/>
      <c r="F1128" s="1720"/>
      <c r="G1128" s="1716"/>
      <c r="H1128" s="1715"/>
      <c r="I1128" s="1715"/>
      <c r="J1128" s="1717"/>
      <c r="K1128" s="1717"/>
      <c r="L1128" s="1717"/>
      <c r="M1128" s="1717"/>
      <c r="N1128" s="1718"/>
    </row>
    <row r="1129">
      <c r="A1129" s="1721"/>
      <c r="C1129" s="1026"/>
      <c r="D1129" s="1714"/>
      <c r="E1129" s="1720"/>
      <c r="F1129" s="1720"/>
      <c r="G1129" s="1716"/>
      <c r="H1129" s="1715"/>
      <c r="I1129" s="1715"/>
      <c r="J1129" s="1717"/>
      <c r="K1129" s="1717"/>
      <c r="L1129" s="1717"/>
      <c r="M1129" s="1717"/>
      <c r="N1129" s="1718"/>
    </row>
    <row r="1130">
      <c r="A1130" s="1721"/>
      <c r="C1130" s="1026"/>
      <c r="D1130" s="1714"/>
      <c r="E1130" s="1720"/>
      <c r="F1130" s="1720"/>
      <c r="G1130" s="1716"/>
      <c r="H1130" s="1715"/>
      <c r="I1130" s="1715"/>
      <c r="J1130" s="1717"/>
      <c r="K1130" s="1717"/>
      <c r="L1130" s="1717"/>
      <c r="M1130" s="1717"/>
      <c r="N1130" s="1718"/>
    </row>
    <row r="1131">
      <c r="A1131" s="1721"/>
      <c r="C1131" s="1026"/>
      <c r="D1131" s="1714"/>
      <c r="E1131" s="1720"/>
      <c r="F1131" s="1720"/>
      <c r="G1131" s="1716"/>
      <c r="H1131" s="1715"/>
      <c r="I1131" s="1715"/>
      <c r="J1131" s="1717"/>
      <c r="K1131" s="1717"/>
      <c r="L1131" s="1717"/>
      <c r="M1131" s="1717"/>
      <c r="N1131" s="1718"/>
    </row>
    <row r="1132">
      <c r="A1132" s="1721"/>
      <c r="C1132" s="1026"/>
      <c r="D1132" s="1714"/>
      <c r="E1132" s="1720"/>
      <c r="F1132" s="1720"/>
      <c r="G1132" s="1716"/>
      <c r="H1132" s="1715"/>
      <c r="I1132" s="1715"/>
      <c r="J1132" s="1717"/>
      <c r="K1132" s="1717"/>
      <c r="L1132" s="1717"/>
      <c r="M1132" s="1717"/>
      <c r="N1132" s="1718"/>
    </row>
    <row r="1133">
      <c r="A1133" s="1721"/>
      <c r="C1133" s="1026"/>
      <c r="D1133" s="1714"/>
      <c r="E1133" s="1720"/>
      <c r="F1133" s="1720"/>
      <c r="G1133" s="1716"/>
      <c r="H1133" s="1715"/>
      <c r="I1133" s="1715"/>
      <c r="J1133" s="1717"/>
      <c r="K1133" s="1717"/>
      <c r="L1133" s="1717"/>
      <c r="M1133" s="1717"/>
      <c r="N1133" s="1718"/>
    </row>
    <row r="1134">
      <c r="A1134" s="1721"/>
      <c r="C1134" s="1026"/>
      <c r="D1134" s="1714"/>
      <c r="E1134" s="1720"/>
      <c r="F1134" s="1720"/>
      <c r="G1134" s="1716"/>
      <c r="H1134" s="1715"/>
      <c r="I1134" s="1715"/>
      <c r="J1134" s="1717"/>
      <c r="K1134" s="1717"/>
      <c r="L1134" s="1717"/>
      <c r="M1134" s="1717"/>
      <c r="N1134" s="1718"/>
    </row>
    <row r="1135">
      <c r="A1135" s="1721"/>
      <c r="C1135" s="1026"/>
      <c r="D1135" s="1714"/>
      <c r="E1135" s="1720"/>
      <c r="F1135" s="1720"/>
      <c r="G1135" s="1716"/>
      <c r="H1135" s="1715"/>
      <c r="I1135" s="1715"/>
      <c r="J1135" s="1717"/>
      <c r="K1135" s="1717"/>
      <c r="L1135" s="1717"/>
      <c r="M1135" s="1717"/>
      <c r="N1135" s="1718"/>
    </row>
    <row r="1136">
      <c r="A1136" s="1721"/>
      <c r="C1136" s="1026"/>
      <c r="D1136" s="1714"/>
      <c r="E1136" s="1720"/>
      <c r="F1136" s="1720"/>
      <c r="G1136" s="1716"/>
      <c r="H1136" s="1715"/>
      <c r="I1136" s="1715"/>
      <c r="J1136" s="1717"/>
      <c r="K1136" s="1717"/>
      <c r="L1136" s="1717"/>
      <c r="M1136" s="1717"/>
      <c r="N1136" s="1718"/>
    </row>
    <row r="1137">
      <c r="A1137" s="1721"/>
      <c r="C1137" s="1026"/>
      <c r="D1137" s="1714"/>
      <c r="E1137" s="1720"/>
      <c r="F1137" s="1720"/>
      <c r="G1137" s="1716"/>
      <c r="H1137" s="1715"/>
      <c r="I1137" s="1715"/>
      <c r="J1137" s="1717"/>
      <c r="K1137" s="1717"/>
      <c r="L1137" s="1717"/>
      <c r="M1137" s="1717"/>
      <c r="N1137" s="1718"/>
    </row>
    <row r="1138">
      <c r="A1138" s="1721"/>
      <c r="C1138" s="1026"/>
      <c r="D1138" s="1714"/>
      <c r="E1138" s="1720"/>
      <c r="F1138" s="1720"/>
      <c r="G1138" s="1716"/>
      <c r="H1138" s="1715"/>
      <c r="I1138" s="1715"/>
      <c r="J1138" s="1717"/>
      <c r="K1138" s="1717"/>
      <c r="L1138" s="1717"/>
      <c r="M1138" s="1717"/>
      <c r="N1138" s="1718"/>
    </row>
    <row r="1139">
      <c r="A1139" s="1721"/>
      <c r="C1139" s="1026"/>
      <c r="D1139" s="1714"/>
      <c r="E1139" s="1720"/>
      <c r="F1139" s="1720"/>
      <c r="G1139" s="1716"/>
      <c r="H1139" s="1715"/>
      <c r="I1139" s="1715"/>
      <c r="J1139" s="1717"/>
      <c r="K1139" s="1717"/>
      <c r="L1139" s="1717"/>
      <c r="M1139" s="1717"/>
      <c r="N1139" s="1718"/>
    </row>
    <row r="1140">
      <c r="A1140" s="1721"/>
      <c r="C1140" s="1026"/>
      <c r="D1140" s="1714"/>
      <c r="E1140" s="1720"/>
      <c r="F1140" s="1720"/>
      <c r="G1140" s="1716"/>
      <c r="H1140" s="1715"/>
      <c r="I1140" s="1715"/>
      <c r="J1140" s="1717"/>
      <c r="K1140" s="1717"/>
      <c r="L1140" s="1717"/>
      <c r="M1140" s="1717"/>
      <c r="N1140" s="1718"/>
    </row>
    <row r="1141">
      <c r="A1141" s="1721"/>
      <c r="C1141" s="1026"/>
      <c r="D1141" s="1714"/>
      <c r="E1141" s="1720"/>
      <c r="F1141" s="1720"/>
      <c r="G1141" s="1716"/>
      <c r="H1141" s="1715"/>
      <c r="I1141" s="1715"/>
      <c r="J1141" s="1717"/>
      <c r="K1141" s="1717"/>
      <c r="L1141" s="1717"/>
      <c r="M1141" s="1717"/>
      <c r="N1141" s="1718"/>
    </row>
    <row r="1142">
      <c r="A1142" s="1721"/>
      <c r="C1142" s="1026"/>
      <c r="D1142" s="1714"/>
      <c r="E1142" s="1720"/>
      <c r="F1142" s="1720"/>
      <c r="G1142" s="1716"/>
      <c r="H1142" s="1715"/>
      <c r="I1142" s="1715"/>
      <c r="J1142" s="1717"/>
      <c r="K1142" s="1717"/>
      <c r="L1142" s="1717"/>
      <c r="M1142" s="1717"/>
      <c r="N1142" s="1718"/>
    </row>
    <row r="1143">
      <c r="A1143" s="1721"/>
      <c r="C1143" s="1026"/>
      <c r="D1143" s="1714"/>
      <c r="E1143" s="1720"/>
      <c r="F1143" s="1720"/>
      <c r="G1143" s="1716"/>
      <c r="H1143" s="1715"/>
      <c r="I1143" s="1715"/>
      <c r="J1143" s="1717"/>
      <c r="K1143" s="1717"/>
      <c r="L1143" s="1717"/>
      <c r="M1143" s="1717"/>
      <c r="N1143" s="1718"/>
    </row>
    <row r="1144">
      <c r="A1144" s="1721"/>
      <c r="C1144" s="1026"/>
      <c r="D1144" s="1714"/>
      <c r="E1144" s="1720"/>
      <c r="F1144" s="1720"/>
      <c r="G1144" s="1716"/>
      <c r="H1144" s="1715"/>
      <c r="I1144" s="1715"/>
      <c r="J1144" s="1717"/>
      <c r="K1144" s="1717"/>
      <c r="L1144" s="1717"/>
      <c r="M1144" s="1717"/>
      <c r="N1144" s="1718"/>
    </row>
    <row r="1145">
      <c r="A1145" s="1721"/>
      <c r="C1145" s="1026"/>
      <c r="D1145" s="1714"/>
      <c r="E1145" s="1720"/>
      <c r="F1145" s="1720"/>
      <c r="G1145" s="1716"/>
      <c r="H1145" s="1715"/>
      <c r="I1145" s="1715"/>
      <c r="J1145" s="1717"/>
      <c r="K1145" s="1717"/>
      <c r="L1145" s="1717"/>
      <c r="M1145" s="1717"/>
      <c r="N1145" s="1718"/>
    </row>
    <row r="1146">
      <c r="A1146" s="1721"/>
      <c r="C1146" s="1026"/>
      <c r="D1146" s="1714"/>
      <c r="E1146" s="1720"/>
      <c r="F1146" s="1720"/>
      <c r="G1146" s="1716"/>
      <c r="H1146" s="1715"/>
      <c r="I1146" s="1715"/>
      <c r="J1146" s="1717"/>
      <c r="K1146" s="1717"/>
      <c r="L1146" s="1717"/>
      <c r="M1146" s="1717"/>
      <c r="N1146" s="1718"/>
    </row>
    <row r="1147">
      <c r="A1147" s="1721"/>
      <c r="C1147" s="1026"/>
      <c r="D1147" s="1714"/>
      <c r="E1147" s="1720"/>
      <c r="F1147" s="1720"/>
      <c r="G1147" s="1716"/>
      <c r="H1147" s="1715"/>
      <c r="I1147" s="1715"/>
      <c r="J1147" s="1717"/>
      <c r="K1147" s="1717"/>
      <c r="L1147" s="1717"/>
      <c r="M1147" s="1717"/>
      <c r="N1147" s="1718"/>
    </row>
    <row r="1148">
      <c r="A1148" s="1721"/>
      <c r="C1148" s="1026"/>
      <c r="D1148" s="1714"/>
      <c r="E1148" s="1720"/>
      <c r="F1148" s="1720"/>
      <c r="G1148" s="1716"/>
      <c r="H1148" s="1715"/>
      <c r="I1148" s="1715"/>
      <c r="J1148" s="1717"/>
      <c r="K1148" s="1717"/>
      <c r="L1148" s="1717"/>
      <c r="M1148" s="1717"/>
      <c r="N1148" s="1718"/>
    </row>
    <row r="1149">
      <c r="A1149" s="1721"/>
      <c r="C1149" s="1026"/>
      <c r="D1149" s="1714"/>
      <c r="E1149" s="1720"/>
      <c r="F1149" s="1720"/>
      <c r="G1149" s="1716"/>
      <c r="H1149" s="1715"/>
      <c r="I1149" s="1715"/>
      <c r="J1149" s="1717"/>
      <c r="K1149" s="1717"/>
      <c r="L1149" s="1717"/>
      <c r="M1149" s="1717"/>
      <c r="N1149" s="1718"/>
    </row>
    <row r="1150">
      <c r="A1150" s="1721"/>
      <c r="C1150" s="1026"/>
      <c r="D1150" s="1714"/>
      <c r="E1150" s="1720"/>
      <c r="F1150" s="1720"/>
      <c r="G1150" s="1716"/>
      <c r="H1150" s="1715"/>
      <c r="I1150" s="1715"/>
      <c r="J1150" s="1717"/>
      <c r="K1150" s="1717"/>
      <c r="L1150" s="1717"/>
      <c r="M1150" s="1717"/>
      <c r="N1150" s="1718"/>
    </row>
    <row r="1151">
      <c r="A1151" s="1721"/>
      <c r="C1151" s="1026"/>
      <c r="D1151" s="1714"/>
      <c r="E1151" s="1720"/>
      <c r="F1151" s="1720"/>
      <c r="G1151" s="1716"/>
      <c r="H1151" s="1715"/>
      <c r="I1151" s="1715"/>
      <c r="J1151" s="1717"/>
      <c r="K1151" s="1717"/>
      <c r="L1151" s="1717"/>
      <c r="M1151" s="1717"/>
      <c r="N1151" s="1718"/>
    </row>
    <row r="1152">
      <c r="A1152" s="1721"/>
      <c r="C1152" s="1026"/>
      <c r="D1152" s="1714"/>
      <c r="E1152" s="1720"/>
      <c r="F1152" s="1720"/>
      <c r="G1152" s="1716"/>
      <c r="H1152" s="1715"/>
      <c r="I1152" s="1715"/>
      <c r="J1152" s="1717"/>
      <c r="K1152" s="1717"/>
      <c r="L1152" s="1717"/>
      <c r="M1152" s="1717"/>
      <c r="N1152" s="1718"/>
    </row>
    <row r="1153">
      <c r="A1153" s="1721"/>
      <c r="C1153" s="1026"/>
      <c r="D1153" s="1714"/>
      <c r="E1153" s="1720"/>
      <c r="F1153" s="1720"/>
      <c r="G1153" s="1716"/>
      <c r="H1153" s="1715"/>
      <c r="I1153" s="1715"/>
      <c r="J1153" s="1717"/>
      <c r="K1153" s="1717"/>
      <c r="L1153" s="1717"/>
      <c r="M1153" s="1717"/>
      <c r="N1153" s="1718"/>
    </row>
    <row r="1154">
      <c r="A1154" s="1721"/>
      <c r="C1154" s="1026"/>
      <c r="D1154" s="1714"/>
      <c r="E1154" s="1720"/>
      <c r="F1154" s="1720"/>
      <c r="G1154" s="1716"/>
      <c r="H1154" s="1715"/>
      <c r="I1154" s="1715"/>
      <c r="J1154" s="1717"/>
      <c r="K1154" s="1717"/>
      <c r="L1154" s="1717"/>
      <c r="M1154" s="1717"/>
      <c r="N1154" s="1718"/>
    </row>
    <row r="1155">
      <c r="A1155" s="1721"/>
      <c r="C1155" s="1026"/>
      <c r="D1155" s="1714"/>
      <c r="E1155" s="1720"/>
      <c r="F1155" s="1720"/>
      <c r="G1155" s="1716"/>
      <c r="H1155" s="1715"/>
      <c r="I1155" s="1715"/>
      <c r="J1155" s="1717"/>
      <c r="K1155" s="1717"/>
      <c r="L1155" s="1717"/>
      <c r="M1155" s="1717"/>
      <c r="N1155" s="1718"/>
    </row>
    <row r="1156">
      <c r="A1156" s="1721"/>
      <c r="C1156" s="1026"/>
      <c r="D1156" s="1714"/>
      <c r="E1156" s="1720"/>
      <c r="F1156" s="1720"/>
      <c r="G1156" s="1716"/>
      <c r="H1156" s="1715"/>
      <c r="I1156" s="1715"/>
      <c r="J1156" s="1717"/>
      <c r="K1156" s="1717"/>
      <c r="L1156" s="1717"/>
      <c r="M1156" s="1717"/>
      <c r="N1156" s="1718"/>
    </row>
    <row r="1157">
      <c r="A1157" s="1721"/>
      <c r="C1157" s="1026"/>
      <c r="D1157" s="1714"/>
      <c r="E1157" s="1720"/>
      <c r="F1157" s="1720"/>
      <c r="G1157" s="1716"/>
      <c r="H1157" s="1715"/>
      <c r="I1157" s="1715"/>
      <c r="J1157" s="1717"/>
      <c r="K1157" s="1717"/>
      <c r="L1157" s="1717"/>
      <c r="M1157" s="1717"/>
      <c r="N1157" s="1718"/>
    </row>
    <row r="1158">
      <c r="A1158" s="1721"/>
      <c r="C1158" s="1026"/>
      <c r="D1158" s="1714"/>
      <c r="E1158" s="1720"/>
      <c r="F1158" s="1720"/>
      <c r="G1158" s="1716"/>
      <c r="H1158" s="1715"/>
      <c r="I1158" s="1715"/>
      <c r="J1158" s="1717"/>
      <c r="K1158" s="1717"/>
      <c r="L1158" s="1717"/>
      <c r="M1158" s="1717"/>
      <c r="N1158" s="1718"/>
    </row>
    <row r="1159">
      <c r="A1159" s="1721"/>
      <c r="C1159" s="1026"/>
      <c r="D1159" s="1714"/>
      <c r="E1159" s="1720"/>
      <c r="F1159" s="1720"/>
      <c r="G1159" s="1716"/>
      <c r="H1159" s="1715"/>
      <c r="I1159" s="1715"/>
      <c r="J1159" s="1717"/>
      <c r="K1159" s="1717"/>
      <c r="L1159" s="1717"/>
      <c r="M1159" s="1717"/>
      <c r="N1159" s="1718"/>
    </row>
    <row r="1160">
      <c r="A1160" s="1721"/>
      <c r="C1160" s="1026"/>
      <c r="D1160" s="1714"/>
      <c r="E1160" s="1720"/>
      <c r="F1160" s="1720"/>
      <c r="G1160" s="1716"/>
      <c r="H1160" s="1715"/>
      <c r="I1160" s="1715"/>
      <c r="J1160" s="1717"/>
      <c r="K1160" s="1717"/>
      <c r="L1160" s="1717"/>
      <c r="M1160" s="1717"/>
      <c r="N1160" s="1718"/>
    </row>
    <row r="1161">
      <c r="A1161" s="1721"/>
      <c r="C1161" s="1026"/>
      <c r="D1161" s="1714"/>
      <c r="E1161" s="1720"/>
      <c r="F1161" s="1720"/>
      <c r="G1161" s="1716"/>
      <c r="H1161" s="1715"/>
      <c r="I1161" s="1715"/>
      <c r="J1161" s="1717"/>
      <c r="K1161" s="1717"/>
      <c r="L1161" s="1717"/>
      <c r="M1161" s="1717"/>
      <c r="N1161" s="1718"/>
    </row>
    <row r="1162">
      <c r="A1162" s="1721"/>
      <c r="C1162" s="1026"/>
      <c r="D1162" s="1714"/>
      <c r="E1162" s="1720"/>
      <c r="F1162" s="1720"/>
      <c r="G1162" s="1716"/>
      <c r="H1162" s="1715"/>
      <c r="I1162" s="1715"/>
      <c r="J1162" s="1717"/>
      <c r="K1162" s="1717"/>
      <c r="L1162" s="1717"/>
      <c r="M1162" s="1717"/>
      <c r="N1162" s="1718"/>
    </row>
    <row r="1163">
      <c r="A1163" s="1721"/>
      <c r="C1163" s="1026"/>
      <c r="D1163" s="1714"/>
      <c r="E1163" s="1720"/>
      <c r="F1163" s="1720"/>
      <c r="G1163" s="1716"/>
      <c r="H1163" s="1715"/>
      <c r="I1163" s="1715"/>
      <c r="J1163" s="1717"/>
      <c r="K1163" s="1717"/>
      <c r="L1163" s="1717"/>
      <c r="M1163" s="1717"/>
      <c r="N1163" s="1718"/>
    </row>
    <row r="1164">
      <c r="A1164" s="1721"/>
      <c r="C1164" s="1026"/>
      <c r="D1164" s="1714"/>
      <c r="E1164" s="1720"/>
      <c r="F1164" s="1720"/>
      <c r="G1164" s="1716"/>
      <c r="H1164" s="1715"/>
      <c r="I1164" s="1715"/>
      <c r="J1164" s="1717"/>
      <c r="K1164" s="1717"/>
      <c r="L1164" s="1717"/>
      <c r="M1164" s="1717"/>
      <c r="N1164" s="1718"/>
    </row>
    <row r="1165">
      <c r="A1165" s="1721"/>
      <c r="C1165" s="1026"/>
      <c r="D1165" s="1714"/>
      <c r="E1165" s="1720"/>
      <c r="F1165" s="1720"/>
      <c r="G1165" s="1716"/>
      <c r="H1165" s="1715"/>
      <c r="I1165" s="1715"/>
      <c r="J1165" s="1717"/>
      <c r="K1165" s="1717"/>
      <c r="L1165" s="1717"/>
      <c r="M1165" s="1717"/>
      <c r="N1165" s="1718"/>
    </row>
    <row r="1166">
      <c r="A1166" s="1721"/>
      <c r="C1166" s="1026"/>
      <c r="D1166" s="1714"/>
      <c r="E1166" s="1720"/>
      <c r="F1166" s="1720"/>
      <c r="G1166" s="1716"/>
      <c r="H1166" s="1715"/>
      <c r="I1166" s="1715"/>
      <c r="J1166" s="1717"/>
      <c r="K1166" s="1717"/>
      <c r="L1166" s="1717"/>
      <c r="M1166" s="1717"/>
      <c r="N1166" s="1718"/>
    </row>
    <row r="1167">
      <c r="A1167" s="1721"/>
      <c r="C1167" s="1026"/>
      <c r="D1167" s="1714"/>
      <c r="E1167" s="1720"/>
      <c r="F1167" s="1720"/>
      <c r="G1167" s="1716"/>
      <c r="H1167" s="1715"/>
      <c r="I1167" s="1715"/>
      <c r="J1167" s="1717"/>
      <c r="K1167" s="1717"/>
      <c r="L1167" s="1717"/>
      <c r="M1167" s="1717"/>
      <c r="N1167" s="1718"/>
    </row>
    <row r="1168">
      <c r="A1168" s="1721"/>
      <c r="C1168" s="1026"/>
      <c r="D1168" s="1714"/>
      <c r="E1168" s="1720"/>
      <c r="F1168" s="1720"/>
      <c r="G1168" s="1716"/>
      <c r="H1168" s="1715"/>
      <c r="I1168" s="1715"/>
      <c r="J1168" s="1717"/>
      <c r="K1168" s="1717"/>
      <c r="L1168" s="1717"/>
      <c r="M1168" s="1717"/>
      <c r="N1168" s="1718"/>
    </row>
    <row r="1169">
      <c r="A1169" s="1721"/>
      <c r="C1169" s="1026"/>
      <c r="D1169" s="1714"/>
      <c r="E1169" s="1720"/>
      <c r="F1169" s="1720"/>
      <c r="G1169" s="1716"/>
      <c r="H1169" s="1715"/>
      <c r="I1169" s="1715"/>
      <c r="J1169" s="1717"/>
      <c r="K1169" s="1717"/>
      <c r="L1169" s="1717"/>
      <c r="M1169" s="1717"/>
      <c r="N1169" s="1718"/>
    </row>
    <row r="1170">
      <c r="A1170" s="1721"/>
      <c r="C1170" s="1026"/>
      <c r="D1170" s="1714"/>
      <c r="E1170" s="1720"/>
      <c r="F1170" s="1720"/>
      <c r="G1170" s="1716"/>
      <c r="H1170" s="1715"/>
      <c r="I1170" s="1715"/>
      <c r="J1170" s="1717"/>
      <c r="K1170" s="1717"/>
      <c r="L1170" s="1717"/>
      <c r="M1170" s="1717"/>
      <c r="N1170" s="1718"/>
    </row>
    <row r="1171">
      <c r="A1171" s="1721"/>
      <c r="C1171" s="1026"/>
      <c r="D1171" s="1714"/>
      <c r="E1171" s="1720"/>
      <c r="F1171" s="1720"/>
      <c r="G1171" s="1716"/>
      <c r="H1171" s="1715"/>
      <c r="I1171" s="1715"/>
      <c r="J1171" s="1717"/>
      <c r="K1171" s="1717"/>
      <c r="L1171" s="1717"/>
      <c r="M1171" s="1717"/>
      <c r="N1171" s="1718"/>
    </row>
    <row r="1172">
      <c r="A1172" s="1721"/>
      <c r="C1172" s="1026"/>
      <c r="D1172" s="1714"/>
      <c r="E1172" s="1720"/>
      <c r="F1172" s="1720"/>
      <c r="G1172" s="1716"/>
      <c r="H1172" s="1715"/>
      <c r="I1172" s="1715"/>
      <c r="J1172" s="1717"/>
      <c r="K1172" s="1717"/>
      <c r="L1172" s="1717"/>
      <c r="M1172" s="1717"/>
      <c r="N1172" s="1718"/>
    </row>
    <row r="1173">
      <c r="A1173" s="1721"/>
      <c r="C1173" s="1026"/>
      <c r="D1173" s="1714"/>
      <c r="E1173" s="1720"/>
      <c r="F1173" s="1720"/>
      <c r="G1173" s="1716"/>
      <c r="H1173" s="1715"/>
      <c r="I1173" s="1715"/>
      <c r="J1173" s="1717"/>
      <c r="K1173" s="1717"/>
      <c r="L1173" s="1717"/>
      <c r="M1173" s="1717"/>
      <c r="N1173" s="1718"/>
    </row>
    <row r="1174">
      <c r="A1174" s="1721"/>
      <c r="C1174" s="1026"/>
      <c r="D1174" s="1714"/>
      <c r="E1174" s="1720"/>
      <c r="F1174" s="1720"/>
      <c r="G1174" s="1716"/>
      <c r="H1174" s="1715"/>
      <c r="I1174" s="1715"/>
      <c r="J1174" s="1717"/>
      <c r="K1174" s="1717"/>
      <c r="L1174" s="1717"/>
      <c r="M1174" s="1717"/>
      <c r="N1174" s="1718"/>
    </row>
    <row r="1175">
      <c r="A1175" s="1721"/>
      <c r="C1175" s="1026"/>
      <c r="D1175" s="1714"/>
      <c r="E1175" s="1720"/>
      <c r="F1175" s="1720"/>
      <c r="G1175" s="1716"/>
      <c r="H1175" s="1715"/>
      <c r="I1175" s="1715"/>
      <c r="J1175" s="1717"/>
      <c r="K1175" s="1717"/>
      <c r="L1175" s="1717"/>
      <c r="M1175" s="1717"/>
      <c r="N1175" s="1718"/>
    </row>
    <row r="1176">
      <c r="A1176" s="1721"/>
      <c r="C1176" s="1026"/>
      <c r="D1176" s="1714"/>
      <c r="E1176" s="1720"/>
      <c r="F1176" s="1720"/>
      <c r="G1176" s="1716"/>
      <c r="H1176" s="1715"/>
      <c r="I1176" s="1715"/>
      <c r="J1176" s="1717"/>
      <c r="K1176" s="1717"/>
      <c r="L1176" s="1717"/>
      <c r="M1176" s="1717"/>
      <c r="N1176" s="1718"/>
    </row>
    <row r="1177">
      <c r="A1177" s="1721"/>
      <c r="C1177" s="1026"/>
      <c r="D1177" s="1714"/>
      <c r="E1177" s="1720"/>
      <c r="F1177" s="1720"/>
      <c r="G1177" s="1716"/>
      <c r="H1177" s="1715"/>
      <c r="I1177" s="1715"/>
      <c r="J1177" s="1717"/>
      <c r="K1177" s="1717"/>
      <c r="L1177" s="1717"/>
      <c r="M1177" s="1717"/>
      <c r="N1177" s="1718"/>
    </row>
    <row r="1178">
      <c r="A1178" s="1721"/>
      <c r="C1178" s="1026"/>
      <c r="D1178" s="1714"/>
      <c r="E1178" s="1720"/>
      <c r="F1178" s="1720"/>
      <c r="G1178" s="1716"/>
      <c r="H1178" s="1715"/>
      <c r="I1178" s="1715"/>
      <c r="J1178" s="1717"/>
      <c r="K1178" s="1717"/>
      <c r="L1178" s="1717"/>
      <c r="M1178" s="1717"/>
      <c r="N1178" s="1718"/>
    </row>
    <row r="1179">
      <c r="A1179" s="1721"/>
      <c r="C1179" s="1026"/>
      <c r="D1179" s="1714"/>
      <c r="E1179" s="1720"/>
      <c r="F1179" s="1720"/>
      <c r="G1179" s="1716"/>
      <c r="H1179" s="1715"/>
      <c r="I1179" s="1715"/>
      <c r="J1179" s="1717"/>
      <c r="K1179" s="1717"/>
      <c r="L1179" s="1717"/>
      <c r="M1179" s="1717"/>
      <c r="N1179" s="1718"/>
    </row>
    <row r="1180">
      <c r="A1180" s="1721"/>
      <c r="C1180" s="1026"/>
      <c r="D1180" s="1714"/>
      <c r="E1180" s="1720"/>
      <c r="F1180" s="1720"/>
      <c r="G1180" s="1716"/>
      <c r="H1180" s="1715"/>
      <c r="I1180" s="1715"/>
      <c r="J1180" s="1717"/>
      <c r="K1180" s="1717"/>
      <c r="L1180" s="1717"/>
      <c r="M1180" s="1717"/>
      <c r="N1180" s="1718"/>
    </row>
    <row r="1181">
      <c r="A1181" s="1721"/>
      <c r="C1181" s="1026"/>
      <c r="D1181" s="1714"/>
      <c r="E1181" s="1720"/>
      <c r="F1181" s="1720"/>
      <c r="G1181" s="1716"/>
      <c r="H1181" s="1715"/>
      <c r="I1181" s="1715"/>
      <c r="J1181" s="1717"/>
      <c r="K1181" s="1717"/>
      <c r="L1181" s="1717"/>
      <c r="M1181" s="1717"/>
      <c r="N1181" s="1718"/>
    </row>
    <row r="1182">
      <c r="A1182" s="1721"/>
      <c r="C1182" s="1026"/>
      <c r="D1182" s="1714"/>
      <c r="E1182" s="1720"/>
      <c r="F1182" s="1720"/>
      <c r="G1182" s="1716"/>
      <c r="H1182" s="1715"/>
      <c r="I1182" s="1715"/>
      <c r="J1182" s="1717"/>
      <c r="K1182" s="1717"/>
      <c r="L1182" s="1717"/>
      <c r="M1182" s="1717"/>
      <c r="N1182" s="1718"/>
    </row>
    <row r="1183">
      <c r="A1183" s="1721"/>
      <c r="C1183" s="1026"/>
      <c r="D1183" s="1714"/>
      <c r="E1183" s="1720"/>
      <c r="F1183" s="1720"/>
      <c r="G1183" s="1716"/>
      <c r="H1183" s="1715"/>
      <c r="I1183" s="1715"/>
      <c r="J1183" s="1717"/>
      <c r="K1183" s="1717"/>
      <c r="L1183" s="1717"/>
      <c r="M1183" s="1717"/>
      <c r="N1183" s="1718"/>
    </row>
    <row r="1184">
      <c r="A1184" s="1721"/>
      <c r="C1184" s="1026"/>
      <c r="D1184" s="1714"/>
      <c r="E1184" s="1720"/>
      <c r="F1184" s="1720"/>
      <c r="G1184" s="1716"/>
      <c r="H1184" s="1715"/>
      <c r="I1184" s="1715"/>
      <c r="J1184" s="1717"/>
      <c r="K1184" s="1717"/>
      <c r="L1184" s="1717"/>
      <c r="M1184" s="1717"/>
      <c r="N1184" s="1718"/>
    </row>
    <row r="1185">
      <c r="A1185" s="1721"/>
      <c r="C1185" s="1026"/>
      <c r="D1185" s="1714"/>
      <c r="E1185" s="1720"/>
      <c r="F1185" s="1720"/>
      <c r="G1185" s="1716"/>
      <c r="H1185" s="1715"/>
      <c r="I1185" s="1715"/>
      <c r="J1185" s="1717"/>
      <c r="K1185" s="1717"/>
      <c r="L1185" s="1717"/>
      <c r="M1185" s="1717"/>
      <c r="N1185" s="1718"/>
    </row>
    <row r="1186">
      <c r="A1186" s="1721"/>
      <c r="C1186" s="1026"/>
      <c r="D1186" s="1714"/>
      <c r="E1186" s="1720"/>
      <c r="F1186" s="1720"/>
      <c r="G1186" s="1716"/>
      <c r="H1186" s="1715"/>
      <c r="I1186" s="1715"/>
      <c r="J1186" s="1717"/>
      <c r="K1186" s="1717"/>
      <c r="L1186" s="1717"/>
      <c r="M1186" s="1717"/>
      <c r="N1186" s="1718"/>
    </row>
    <row r="1187">
      <c r="A1187" s="1721"/>
      <c r="C1187" s="1026"/>
      <c r="D1187" s="1714"/>
      <c r="E1187" s="1720"/>
      <c r="F1187" s="1720"/>
      <c r="G1187" s="1716"/>
      <c r="H1187" s="1715"/>
      <c r="I1187" s="1715"/>
      <c r="J1187" s="1717"/>
      <c r="K1187" s="1717"/>
      <c r="L1187" s="1717"/>
      <c r="M1187" s="1717"/>
      <c r="N1187" s="1718"/>
    </row>
    <row r="1188">
      <c r="A1188" s="1721"/>
      <c r="C1188" s="1026"/>
      <c r="D1188" s="1714"/>
      <c r="E1188" s="1720"/>
      <c r="F1188" s="1720"/>
      <c r="G1188" s="1716"/>
      <c r="H1188" s="1715"/>
      <c r="I1188" s="1715"/>
      <c r="J1188" s="1717"/>
      <c r="K1188" s="1717"/>
      <c r="L1188" s="1717"/>
      <c r="M1188" s="1717"/>
      <c r="N1188" s="1718"/>
    </row>
    <row r="1189">
      <c r="A1189" s="1721"/>
      <c r="C1189" s="1026"/>
      <c r="D1189" s="1714"/>
      <c r="E1189" s="1720"/>
      <c r="F1189" s="1720"/>
      <c r="G1189" s="1716"/>
      <c r="H1189" s="1715"/>
      <c r="I1189" s="1715"/>
      <c r="J1189" s="1717"/>
      <c r="K1189" s="1717"/>
      <c r="L1189" s="1717"/>
      <c r="M1189" s="1717"/>
      <c r="N1189" s="1718"/>
    </row>
    <row r="1190">
      <c r="A1190" s="1721"/>
      <c r="C1190" s="1026"/>
      <c r="D1190" s="1714"/>
      <c r="E1190" s="1720"/>
      <c r="F1190" s="1720"/>
      <c r="G1190" s="1716"/>
      <c r="H1190" s="1715"/>
      <c r="I1190" s="1715"/>
      <c r="J1190" s="1717"/>
      <c r="K1190" s="1717"/>
      <c r="L1190" s="1717"/>
      <c r="M1190" s="1717"/>
      <c r="N1190" s="1718"/>
    </row>
    <row r="1191">
      <c r="A1191" s="1721"/>
      <c r="C1191" s="1026"/>
      <c r="D1191" s="1714"/>
      <c r="E1191" s="1720"/>
      <c r="F1191" s="1720"/>
      <c r="G1191" s="1716"/>
      <c r="H1191" s="1715"/>
      <c r="I1191" s="1715"/>
      <c r="J1191" s="1717"/>
      <c r="K1191" s="1717"/>
      <c r="L1191" s="1717"/>
      <c r="M1191" s="1717"/>
      <c r="N1191" s="1718"/>
    </row>
    <row r="1192">
      <c r="A1192" s="1721"/>
      <c r="C1192" s="1026"/>
      <c r="D1192" s="1714"/>
      <c r="E1192" s="1720"/>
      <c r="F1192" s="1720"/>
      <c r="G1192" s="1716"/>
      <c r="H1192" s="1715"/>
      <c r="I1192" s="1715"/>
      <c r="J1192" s="1717"/>
      <c r="K1192" s="1717"/>
      <c r="L1192" s="1717"/>
      <c r="M1192" s="1717"/>
      <c r="N1192" s="1718"/>
    </row>
    <row r="1193">
      <c r="A1193" s="1721"/>
      <c r="C1193" s="1026"/>
      <c r="D1193" s="1714"/>
      <c r="E1193" s="1720"/>
      <c r="F1193" s="1720"/>
      <c r="G1193" s="1716"/>
      <c r="H1193" s="1715"/>
      <c r="I1193" s="1715"/>
      <c r="J1193" s="1717"/>
      <c r="K1193" s="1717"/>
      <c r="L1193" s="1717"/>
      <c r="M1193" s="1717"/>
      <c r="N1193" s="1718"/>
    </row>
    <row r="1194">
      <c r="A1194" s="1721"/>
      <c r="C1194" s="1026"/>
      <c r="D1194" s="1714"/>
      <c r="E1194" s="1720"/>
      <c r="F1194" s="1720"/>
      <c r="G1194" s="1716"/>
      <c r="H1194" s="1715"/>
      <c r="I1194" s="1715"/>
      <c r="J1194" s="1717"/>
      <c r="K1194" s="1717"/>
      <c r="L1194" s="1717"/>
      <c r="M1194" s="1717"/>
      <c r="N1194" s="1718"/>
    </row>
    <row r="1195">
      <c r="A1195" s="1721"/>
      <c r="C1195" s="1026"/>
      <c r="D1195" s="1714"/>
      <c r="E1195" s="1720"/>
      <c r="F1195" s="1720"/>
      <c r="G1195" s="1716"/>
      <c r="H1195" s="1715"/>
      <c r="I1195" s="1715"/>
      <c r="J1195" s="1717"/>
      <c r="K1195" s="1717"/>
      <c r="L1195" s="1717"/>
      <c r="M1195" s="1717"/>
      <c r="N1195" s="1718"/>
    </row>
    <row r="1196">
      <c r="A1196" s="1721"/>
      <c r="C1196" s="1026"/>
      <c r="D1196" s="1714"/>
      <c r="E1196" s="1720"/>
      <c r="F1196" s="1720"/>
      <c r="G1196" s="1716"/>
      <c r="H1196" s="1715"/>
      <c r="I1196" s="1715"/>
      <c r="J1196" s="1717"/>
      <c r="K1196" s="1717"/>
      <c r="L1196" s="1717"/>
      <c r="M1196" s="1717"/>
      <c r="N1196" s="1718"/>
    </row>
    <row r="1197">
      <c r="A1197" s="1721"/>
      <c r="C1197" s="1026"/>
      <c r="D1197" s="1714"/>
      <c r="E1197" s="1720"/>
      <c r="F1197" s="1720"/>
      <c r="G1197" s="1716"/>
      <c r="H1197" s="1715"/>
      <c r="I1197" s="1715"/>
      <c r="J1197" s="1717"/>
      <c r="K1197" s="1717"/>
      <c r="L1197" s="1717"/>
      <c r="M1197" s="1717"/>
      <c r="N1197" s="1718"/>
    </row>
    <row r="1198">
      <c r="A1198" s="1721"/>
      <c r="C1198" s="1026"/>
      <c r="D1198" s="1714"/>
      <c r="E1198" s="1720"/>
      <c r="F1198" s="1720"/>
      <c r="G1198" s="1716"/>
      <c r="H1198" s="1715"/>
      <c r="I1198" s="1715"/>
      <c r="J1198" s="1717"/>
      <c r="K1198" s="1717"/>
      <c r="L1198" s="1717"/>
      <c r="M1198" s="1717"/>
      <c r="N1198" s="1718"/>
    </row>
    <row r="1199">
      <c r="A1199" s="1721"/>
      <c r="C1199" s="1026"/>
      <c r="D1199" s="1714"/>
      <c r="E1199" s="1720"/>
      <c r="F1199" s="1720"/>
      <c r="G1199" s="1716"/>
      <c r="H1199" s="1715"/>
      <c r="I1199" s="1715"/>
      <c r="J1199" s="1717"/>
      <c r="K1199" s="1717"/>
      <c r="L1199" s="1717"/>
      <c r="M1199" s="1717"/>
      <c r="N1199" s="1718"/>
    </row>
    <row r="1200">
      <c r="A1200" s="1721"/>
      <c r="C1200" s="1026"/>
      <c r="D1200" s="1714"/>
      <c r="E1200" s="1720"/>
      <c r="F1200" s="1720"/>
      <c r="G1200" s="1716"/>
      <c r="H1200" s="1715"/>
      <c r="I1200" s="1715"/>
      <c r="J1200" s="1717"/>
      <c r="K1200" s="1717"/>
      <c r="L1200" s="1717"/>
      <c r="M1200" s="1717"/>
      <c r="N1200" s="1718"/>
    </row>
    <row r="1201">
      <c r="A1201" s="1721"/>
      <c r="C1201" s="1026"/>
      <c r="D1201" s="1714"/>
      <c r="E1201" s="1720"/>
      <c r="F1201" s="1720"/>
      <c r="G1201" s="1716"/>
      <c r="H1201" s="1715"/>
      <c r="I1201" s="1715"/>
      <c r="J1201" s="1717"/>
      <c r="K1201" s="1717"/>
      <c r="L1201" s="1717"/>
      <c r="M1201" s="1717"/>
      <c r="N1201" s="1718"/>
    </row>
    <row r="1202">
      <c r="A1202" s="1721"/>
      <c r="C1202" s="1026"/>
      <c r="D1202" s="1714"/>
      <c r="E1202" s="1720"/>
      <c r="F1202" s="1720"/>
      <c r="G1202" s="1716"/>
      <c r="H1202" s="1715"/>
      <c r="I1202" s="1715"/>
      <c r="J1202" s="1717"/>
      <c r="K1202" s="1717"/>
      <c r="L1202" s="1717"/>
      <c r="M1202" s="1717"/>
      <c r="N1202" s="1718"/>
    </row>
    <row r="1203">
      <c r="A1203" s="1721"/>
      <c r="C1203" s="1026"/>
      <c r="D1203" s="1714"/>
      <c r="E1203" s="1720"/>
      <c r="F1203" s="1720"/>
      <c r="G1203" s="1716"/>
      <c r="H1203" s="1715"/>
      <c r="I1203" s="1715"/>
      <c r="J1203" s="1717"/>
      <c r="K1203" s="1717"/>
      <c r="L1203" s="1717"/>
      <c r="M1203" s="1717"/>
      <c r="N1203" s="1718"/>
    </row>
    <row r="1204">
      <c r="A1204" s="1721"/>
      <c r="C1204" s="1026"/>
      <c r="D1204" s="1714"/>
      <c r="E1204" s="1720"/>
      <c r="F1204" s="1720"/>
      <c r="G1204" s="1716"/>
      <c r="H1204" s="1715"/>
      <c r="I1204" s="1715"/>
      <c r="J1204" s="1717"/>
      <c r="K1204" s="1717"/>
      <c r="L1204" s="1717"/>
      <c r="M1204" s="1717"/>
      <c r="N1204" s="1718"/>
    </row>
    <row r="1205">
      <c r="A1205" s="1721"/>
      <c r="C1205" s="1026"/>
      <c r="D1205" s="1714"/>
      <c r="E1205" s="1720"/>
      <c r="F1205" s="1720"/>
      <c r="G1205" s="1716"/>
      <c r="H1205" s="1715"/>
      <c r="I1205" s="1715"/>
      <c r="J1205" s="1717"/>
      <c r="K1205" s="1717"/>
      <c r="L1205" s="1717"/>
      <c r="M1205" s="1717"/>
      <c r="N1205" s="1718"/>
    </row>
    <row r="1206">
      <c r="A1206" s="1721"/>
      <c r="C1206" s="1026"/>
      <c r="D1206" s="1714"/>
      <c r="E1206" s="1720"/>
      <c r="F1206" s="1720"/>
      <c r="G1206" s="1716"/>
      <c r="H1206" s="1715"/>
      <c r="I1206" s="1715"/>
      <c r="J1206" s="1717"/>
      <c r="K1206" s="1717"/>
      <c r="L1206" s="1717"/>
      <c r="M1206" s="1717"/>
      <c r="N1206" s="1718"/>
    </row>
    <row r="1207">
      <c r="A1207" s="1721"/>
      <c r="C1207" s="1026"/>
      <c r="D1207" s="1714"/>
      <c r="E1207" s="1720"/>
      <c r="F1207" s="1720"/>
      <c r="G1207" s="1716"/>
      <c r="H1207" s="1715"/>
      <c r="I1207" s="1715"/>
      <c r="J1207" s="1717"/>
      <c r="K1207" s="1717"/>
      <c r="L1207" s="1717"/>
      <c r="M1207" s="1717"/>
      <c r="N1207" s="1718"/>
    </row>
    <row r="1208">
      <c r="A1208" s="1721"/>
      <c r="C1208" s="1026"/>
      <c r="D1208" s="1714"/>
      <c r="E1208" s="1720"/>
      <c r="F1208" s="1720"/>
      <c r="G1208" s="1716"/>
      <c r="H1208" s="1715"/>
      <c r="I1208" s="1715"/>
      <c r="J1208" s="1717"/>
      <c r="K1208" s="1717"/>
      <c r="L1208" s="1717"/>
      <c r="M1208" s="1717"/>
      <c r="N1208" s="1718"/>
    </row>
    <row r="1209">
      <c r="A1209" s="1721"/>
      <c r="C1209" s="1026"/>
      <c r="D1209" s="1714"/>
      <c r="E1209" s="1720"/>
      <c r="F1209" s="1720"/>
      <c r="G1209" s="1716"/>
      <c r="H1209" s="1715"/>
      <c r="I1209" s="1715"/>
      <c r="J1209" s="1717"/>
      <c r="K1209" s="1717"/>
      <c r="L1209" s="1717"/>
      <c r="M1209" s="1717"/>
      <c r="N1209" s="1718"/>
    </row>
    <row r="1210">
      <c r="A1210" s="1721"/>
      <c r="C1210" s="1026"/>
      <c r="D1210" s="1714"/>
      <c r="E1210" s="1720"/>
      <c r="F1210" s="1720"/>
      <c r="G1210" s="1716"/>
      <c r="H1210" s="1715"/>
      <c r="I1210" s="1715"/>
      <c r="J1210" s="1717"/>
      <c r="K1210" s="1717"/>
      <c r="L1210" s="1717"/>
      <c r="M1210" s="1717"/>
      <c r="N1210" s="1718"/>
    </row>
    <row r="1211">
      <c r="A1211" s="1721"/>
      <c r="C1211" s="1026"/>
      <c r="D1211" s="1714"/>
      <c r="E1211" s="1720"/>
      <c r="F1211" s="1720"/>
      <c r="G1211" s="1716"/>
      <c r="H1211" s="1715"/>
      <c r="I1211" s="1715"/>
      <c r="J1211" s="1717"/>
      <c r="K1211" s="1717"/>
      <c r="L1211" s="1717"/>
      <c r="M1211" s="1717"/>
      <c r="N1211" s="1718"/>
    </row>
    <row r="1212">
      <c r="A1212" s="1721"/>
      <c r="C1212" s="1026"/>
      <c r="D1212" s="1714"/>
      <c r="E1212" s="1720"/>
      <c r="F1212" s="1720"/>
      <c r="G1212" s="1716"/>
      <c r="H1212" s="1715"/>
      <c r="I1212" s="1715"/>
      <c r="J1212" s="1717"/>
      <c r="K1212" s="1717"/>
      <c r="L1212" s="1717"/>
      <c r="M1212" s="1717"/>
      <c r="N1212" s="1718"/>
    </row>
    <row r="1213">
      <c r="A1213" s="1721"/>
      <c r="C1213" s="1026"/>
      <c r="D1213" s="1714"/>
      <c r="E1213" s="1720"/>
      <c r="F1213" s="1720"/>
      <c r="G1213" s="1716"/>
      <c r="H1213" s="1715"/>
      <c r="I1213" s="1715"/>
      <c r="J1213" s="1717"/>
      <c r="K1213" s="1717"/>
      <c r="L1213" s="1717"/>
      <c r="M1213" s="1717"/>
      <c r="N1213" s="1718"/>
    </row>
    <row r="1214">
      <c r="A1214" s="1721"/>
      <c r="C1214" s="1026"/>
      <c r="D1214" s="1714"/>
      <c r="E1214" s="1720"/>
      <c r="F1214" s="1720"/>
      <c r="G1214" s="1716"/>
      <c r="H1214" s="1715"/>
      <c r="I1214" s="1715"/>
      <c r="J1214" s="1717"/>
      <c r="K1214" s="1717"/>
      <c r="L1214" s="1717"/>
      <c r="M1214" s="1717"/>
      <c r="N1214" s="1718"/>
    </row>
    <row r="1215">
      <c r="A1215" s="1721"/>
      <c r="C1215" s="1026"/>
      <c r="D1215" s="1714"/>
      <c r="E1215" s="1720"/>
      <c r="F1215" s="1720"/>
      <c r="G1215" s="1716"/>
      <c r="H1215" s="1715"/>
      <c r="I1215" s="1715"/>
      <c r="J1215" s="1717"/>
      <c r="K1215" s="1717"/>
      <c r="L1215" s="1717"/>
      <c r="M1215" s="1717"/>
      <c r="N1215" s="1718"/>
    </row>
    <row r="1216">
      <c r="A1216" s="1721"/>
      <c r="C1216" s="1026"/>
      <c r="D1216" s="1714"/>
      <c r="E1216" s="1720"/>
      <c r="F1216" s="1720"/>
      <c r="G1216" s="1716"/>
      <c r="H1216" s="1715"/>
      <c r="I1216" s="1715"/>
      <c r="J1216" s="1717"/>
      <c r="K1216" s="1717"/>
      <c r="L1216" s="1717"/>
      <c r="M1216" s="1717"/>
      <c r="N1216" s="1718"/>
    </row>
    <row r="1217">
      <c r="A1217" s="1721"/>
      <c r="C1217" s="1026"/>
      <c r="D1217" s="1714"/>
      <c r="E1217" s="1720"/>
      <c r="F1217" s="1720"/>
      <c r="G1217" s="1716"/>
      <c r="H1217" s="1715"/>
      <c r="I1217" s="1715"/>
      <c r="J1217" s="1717"/>
      <c r="K1217" s="1717"/>
      <c r="L1217" s="1717"/>
      <c r="M1217" s="1717"/>
      <c r="N1217" s="1718"/>
    </row>
    <row r="1218">
      <c r="A1218" s="1721"/>
      <c r="C1218" s="1026"/>
      <c r="D1218" s="1714"/>
      <c r="E1218" s="1720"/>
      <c r="F1218" s="1720"/>
      <c r="G1218" s="1716"/>
      <c r="H1218" s="1715"/>
      <c r="I1218" s="1715"/>
      <c r="J1218" s="1717"/>
      <c r="K1218" s="1717"/>
      <c r="L1218" s="1717"/>
      <c r="M1218" s="1717"/>
      <c r="N1218" s="1718"/>
    </row>
    <row r="1219">
      <c r="A1219" s="1721"/>
      <c r="C1219" s="1026"/>
      <c r="D1219" s="1714"/>
      <c r="E1219" s="1720"/>
      <c r="F1219" s="1720"/>
      <c r="G1219" s="1716"/>
      <c r="H1219" s="1715"/>
      <c r="I1219" s="1715"/>
      <c r="J1219" s="1717"/>
      <c r="K1219" s="1717"/>
      <c r="L1219" s="1717"/>
      <c r="M1219" s="1717"/>
      <c r="N1219" s="1718"/>
    </row>
    <row r="1220">
      <c r="A1220" s="1721"/>
      <c r="C1220" s="1026"/>
      <c r="D1220" s="1714"/>
      <c r="E1220" s="1720"/>
      <c r="F1220" s="1720"/>
      <c r="G1220" s="1716"/>
      <c r="H1220" s="1715"/>
      <c r="I1220" s="1715"/>
      <c r="J1220" s="1717"/>
      <c r="K1220" s="1717"/>
      <c r="L1220" s="1717"/>
      <c r="M1220" s="1717"/>
      <c r="N1220" s="1718"/>
    </row>
    <row r="1221">
      <c r="A1221" s="1721"/>
      <c r="C1221" s="1026"/>
      <c r="D1221" s="1714"/>
      <c r="E1221" s="1720"/>
      <c r="F1221" s="1720"/>
      <c r="G1221" s="1716"/>
      <c r="H1221" s="1715"/>
      <c r="I1221" s="1715"/>
      <c r="J1221" s="1717"/>
      <c r="K1221" s="1717"/>
      <c r="L1221" s="1717"/>
      <c r="M1221" s="1717"/>
      <c r="N1221" s="1718"/>
    </row>
    <row r="1222">
      <c r="A1222" s="1721"/>
      <c r="C1222" s="1026"/>
      <c r="D1222" s="1714"/>
      <c r="E1222" s="1720"/>
      <c r="F1222" s="1720"/>
      <c r="G1222" s="1716"/>
      <c r="H1222" s="1715"/>
      <c r="I1222" s="1715"/>
      <c r="J1222" s="1717"/>
      <c r="K1222" s="1717"/>
      <c r="L1222" s="1717"/>
      <c r="M1222" s="1717"/>
      <c r="N1222" s="1718"/>
    </row>
    <row r="1223">
      <c r="A1223" s="1721"/>
      <c r="C1223" s="1026"/>
      <c r="D1223" s="1714"/>
      <c r="E1223" s="1720"/>
      <c r="F1223" s="1720"/>
      <c r="G1223" s="1716"/>
      <c r="H1223" s="1715"/>
      <c r="I1223" s="1715"/>
      <c r="J1223" s="1717"/>
      <c r="K1223" s="1717"/>
      <c r="L1223" s="1717"/>
      <c r="M1223" s="1717"/>
      <c r="N1223" s="1718"/>
    </row>
    <row r="1224">
      <c r="A1224" s="1721"/>
      <c r="C1224" s="1026"/>
      <c r="D1224" s="1714"/>
      <c r="E1224" s="1720"/>
      <c r="F1224" s="1720"/>
      <c r="G1224" s="1716"/>
      <c r="H1224" s="1715"/>
      <c r="I1224" s="1715"/>
      <c r="J1224" s="1717"/>
      <c r="K1224" s="1717"/>
      <c r="L1224" s="1717"/>
      <c r="M1224" s="1717"/>
      <c r="N1224" s="1718"/>
    </row>
    <row r="1225">
      <c r="A1225" s="1721"/>
      <c r="C1225" s="1026"/>
      <c r="D1225" s="1714"/>
      <c r="E1225" s="1720"/>
      <c r="F1225" s="1720"/>
      <c r="G1225" s="1716"/>
      <c r="H1225" s="1715"/>
      <c r="I1225" s="1715"/>
      <c r="J1225" s="1717"/>
      <c r="K1225" s="1717"/>
      <c r="L1225" s="1717"/>
      <c r="M1225" s="1717"/>
      <c r="N1225" s="1718"/>
    </row>
    <row r="1226">
      <c r="A1226" s="1721"/>
      <c r="C1226" s="1026"/>
      <c r="D1226" s="1714"/>
      <c r="E1226" s="1720"/>
      <c r="F1226" s="1720"/>
      <c r="G1226" s="1716"/>
      <c r="H1226" s="1715"/>
      <c r="I1226" s="1715"/>
      <c r="J1226" s="1717"/>
      <c r="K1226" s="1717"/>
      <c r="L1226" s="1717"/>
      <c r="M1226" s="1717"/>
      <c r="N1226" s="1718"/>
    </row>
    <row r="1227">
      <c r="A1227" s="1721"/>
      <c r="C1227" s="1026"/>
      <c r="D1227" s="1714"/>
      <c r="E1227" s="1720"/>
      <c r="F1227" s="1720"/>
      <c r="G1227" s="1716"/>
      <c r="H1227" s="1715"/>
      <c r="I1227" s="1715"/>
      <c r="J1227" s="1717"/>
      <c r="K1227" s="1717"/>
      <c r="L1227" s="1717"/>
      <c r="M1227" s="1717"/>
      <c r="N1227" s="1718"/>
    </row>
    <row r="1228">
      <c r="A1228" s="1721"/>
      <c r="C1228" s="1026"/>
      <c r="D1228" s="1714"/>
      <c r="E1228" s="1720"/>
      <c r="F1228" s="1720"/>
      <c r="G1228" s="1716"/>
      <c r="H1228" s="1715"/>
      <c r="I1228" s="1715"/>
      <c r="J1228" s="1717"/>
      <c r="K1228" s="1717"/>
      <c r="L1228" s="1717"/>
      <c r="M1228" s="1717"/>
      <c r="N1228" s="1718"/>
    </row>
    <row r="1229">
      <c r="A1229" s="1721"/>
      <c r="C1229" s="1026"/>
      <c r="D1229" s="1714"/>
      <c r="E1229" s="1720"/>
      <c r="F1229" s="1720"/>
      <c r="G1229" s="1716"/>
      <c r="H1229" s="1715"/>
      <c r="I1229" s="1715"/>
      <c r="J1229" s="1717"/>
      <c r="K1229" s="1717"/>
      <c r="L1229" s="1717"/>
      <c r="M1229" s="1717"/>
      <c r="N1229" s="1718"/>
    </row>
    <row r="1230">
      <c r="A1230" s="1721"/>
      <c r="C1230" s="1026"/>
      <c r="D1230" s="1714"/>
      <c r="E1230" s="1720"/>
      <c r="F1230" s="1720"/>
      <c r="G1230" s="1716"/>
      <c r="H1230" s="1715"/>
      <c r="I1230" s="1715"/>
      <c r="J1230" s="1717"/>
      <c r="K1230" s="1717"/>
      <c r="L1230" s="1717"/>
      <c r="M1230" s="1717"/>
      <c r="N1230" s="1718"/>
    </row>
    <row r="1231">
      <c r="A1231" s="1721"/>
      <c r="C1231" s="1026"/>
      <c r="D1231" s="1714"/>
      <c r="E1231" s="1720"/>
      <c r="F1231" s="1720"/>
      <c r="G1231" s="1716"/>
      <c r="H1231" s="1715"/>
      <c r="I1231" s="1715"/>
      <c r="J1231" s="1717"/>
      <c r="K1231" s="1717"/>
      <c r="L1231" s="1717"/>
      <c r="M1231" s="1717"/>
      <c r="N1231" s="1718"/>
    </row>
    <row r="1232">
      <c r="A1232" s="1721"/>
      <c r="C1232" s="1026"/>
      <c r="D1232" s="1714"/>
      <c r="E1232" s="1720"/>
      <c r="F1232" s="1720"/>
      <c r="G1232" s="1716"/>
      <c r="H1232" s="1715"/>
      <c r="I1232" s="1715"/>
      <c r="J1232" s="1717"/>
      <c r="K1232" s="1717"/>
      <c r="L1232" s="1717"/>
      <c r="M1232" s="1717"/>
      <c r="N1232" s="1718"/>
    </row>
    <row r="1233">
      <c r="A1233" s="1721"/>
      <c r="C1233" s="1026"/>
      <c r="D1233" s="1714"/>
      <c r="E1233" s="1720"/>
      <c r="F1233" s="1720"/>
      <c r="G1233" s="1716"/>
      <c r="H1233" s="1715"/>
      <c r="I1233" s="1715"/>
      <c r="J1233" s="1717"/>
      <c r="K1233" s="1717"/>
      <c r="L1233" s="1717"/>
      <c r="M1233" s="1717"/>
      <c r="N1233" s="1718"/>
    </row>
    <row r="1234">
      <c r="A1234" s="1721"/>
      <c r="C1234" s="1026"/>
      <c r="D1234" s="1714"/>
      <c r="E1234" s="1720"/>
      <c r="F1234" s="1720"/>
      <c r="G1234" s="1716"/>
      <c r="H1234" s="1715"/>
      <c r="I1234" s="1715"/>
      <c r="J1234" s="1717"/>
      <c r="K1234" s="1717"/>
      <c r="L1234" s="1717"/>
      <c r="M1234" s="1717"/>
      <c r="N1234" s="1718"/>
    </row>
    <row r="1235">
      <c r="A1235" s="1721"/>
      <c r="C1235" s="1026"/>
      <c r="D1235" s="1714"/>
      <c r="E1235" s="1720"/>
      <c r="F1235" s="1720"/>
      <c r="G1235" s="1716"/>
      <c r="H1235" s="1715"/>
      <c r="I1235" s="1715"/>
      <c r="J1235" s="1717"/>
      <c r="K1235" s="1717"/>
      <c r="L1235" s="1717"/>
      <c r="M1235" s="1717"/>
      <c r="N1235" s="1718"/>
    </row>
    <row r="1236">
      <c r="A1236" s="1721"/>
      <c r="C1236" s="1026"/>
      <c r="D1236" s="1714"/>
      <c r="E1236" s="1720"/>
      <c r="F1236" s="1720"/>
      <c r="G1236" s="1716"/>
      <c r="H1236" s="1715"/>
      <c r="I1236" s="1715"/>
      <c r="J1236" s="1717"/>
      <c r="K1236" s="1717"/>
      <c r="L1236" s="1717"/>
      <c r="M1236" s="1717"/>
      <c r="N1236" s="1718"/>
    </row>
    <row r="1237">
      <c r="A1237" s="1721"/>
      <c r="C1237" s="1026"/>
      <c r="D1237" s="1714"/>
      <c r="E1237" s="1720"/>
      <c r="F1237" s="1720"/>
      <c r="G1237" s="1716"/>
      <c r="H1237" s="1715"/>
      <c r="I1237" s="1715"/>
      <c r="J1237" s="1717"/>
      <c r="K1237" s="1717"/>
      <c r="L1237" s="1717"/>
      <c r="M1237" s="1717"/>
      <c r="N1237" s="1718"/>
    </row>
    <row r="1238">
      <c r="A1238" s="1721"/>
      <c r="C1238" s="1026"/>
      <c r="D1238" s="1714"/>
      <c r="E1238" s="1720"/>
      <c r="F1238" s="1720"/>
      <c r="G1238" s="1716"/>
      <c r="H1238" s="1715"/>
      <c r="I1238" s="1715"/>
      <c r="J1238" s="1717"/>
      <c r="K1238" s="1717"/>
      <c r="L1238" s="1717"/>
      <c r="M1238" s="1717"/>
      <c r="N1238" s="1718"/>
    </row>
    <row r="1239">
      <c r="A1239" s="1721"/>
      <c r="C1239" s="1026"/>
      <c r="D1239" s="1714"/>
      <c r="E1239" s="1720"/>
      <c r="F1239" s="1720"/>
      <c r="G1239" s="1716"/>
      <c r="H1239" s="1715"/>
      <c r="I1239" s="1715"/>
      <c r="J1239" s="1717"/>
      <c r="K1239" s="1717"/>
      <c r="L1239" s="1717"/>
      <c r="M1239" s="1717"/>
      <c r="N1239" s="1718"/>
    </row>
    <row r="1240">
      <c r="A1240" s="1721"/>
      <c r="C1240" s="1026"/>
      <c r="D1240" s="1714"/>
      <c r="E1240" s="1720"/>
      <c r="F1240" s="1720"/>
      <c r="G1240" s="1716"/>
      <c r="H1240" s="1715"/>
      <c r="I1240" s="1715"/>
      <c r="J1240" s="1717"/>
      <c r="K1240" s="1717"/>
      <c r="L1240" s="1717"/>
      <c r="M1240" s="1717"/>
      <c r="N1240" s="1718"/>
    </row>
    <row r="1241">
      <c r="A1241" s="1721"/>
      <c r="C1241" s="1026"/>
      <c r="D1241" s="1714"/>
      <c r="E1241" s="1720"/>
      <c r="F1241" s="1720"/>
      <c r="G1241" s="1716"/>
      <c r="H1241" s="1715"/>
      <c r="I1241" s="1715"/>
      <c r="J1241" s="1717"/>
      <c r="K1241" s="1717"/>
      <c r="L1241" s="1717"/>
      <c r="M1241" s="1717"/>
      <c r="N1241" s="1718"/>
    </row>
    <row r="1242">
      <c r="A1242" s="1721"/>
      <c r="C1242" s="1026"/>
      <c r="D1242" s="1714"/>
      <c r="E1242" s="1720"/>
      <c r="F1242" s="1720"/>
      <c r="G1242" s="1716"/>
      <c r="H1242" s="1715"/>
      <c r="I1242" s="1715"/>
      <c r="J1242" s="1717"/>
      <c r="K1242" s="1717"/>
      <c r="L1242" s="1717"/>
      <c r="M1242" s="1717"/>
      <c r="N1242" s="1718"/>
    </row>
    <row r="1243">
      <c r="A1243" s="1721"/>
      <c r="C1243" s="1026"/>
      <c r="D1243" s="1714"/>
      <c r="E1243" s="1720"/>
      <c r="F1243" s="1720"/>
      <c r="G1243" s="1716"/>
      <c r="H1243" s="1715"/>
      <c r="I1243" s="1715"/>
      <c r="J1243" s="1717"/>
      <c r="K1243" s="1717"/>
      <c r="L1243" s="1717"/>
      <c r="M1243" s="1717"/>
      <c r="N1243" s="1718"/>
    </row>
    <row r="1244">
      <c r="A1244" s="1721"/>
      <c r="C1244" s="1026"/>
      <c r="D1244" s="1714"/>
      <c r="E1244" s="1720"/>
      <c r="F1244" s="1720"/>
      <c r="G1244" s="1716"/>
      <c r="H1244" s="1715"/>
      <c r="I1244" s="1715"/>
      <c r="J1244" s="1717"/>
      <c r="K1244" s="1717"/>
      <c r="L1244" s="1717"/>
      <c r="M1244" s="1717"/>
      <c r="N1244" s="1718"/>
    </row>
    <row r="1245">
      <c r="A1245" s="1721"/>
      <c r="C1245" s="1026"/>
      <c r="D1245" s="1714"/>
      <c r="E1245" s="1720"/>
      <c r="F1245" s="1720"/>
      <c r="G1245" s="1716"/>
      <c r="H1245" s="1715"/>
      <c r="I1245" s="1715"/>
      <c r="J1245" s="1717"/>
      <c r="K1245" s="1717"/>
      <c r="L1245" s="1717"/>
      <c r="M1245" s="1717"/>
      <c r="N1245" s="1718"/>
    </row>
    <row r="1246">
      <c r="A1246" s="1721"/>
      <c r="C1246" s="1026"/>
      <c r="D1246" s="1714"/>
      <c r="E1246" s="1720"/>
      <c r="F1246" s="1720"/>
      <c r="G1246" s="1716"/>
      <c r="H1246" s="1715"/>
      <c r="I1246" s="1715"/>
      <c r="J1246" s="1717"/>
      <c r="K1246" s="1717"/>
      <c r="L1246" s="1717"/>
      <c r="M1246" s="1717"/>
      <c r="N1246" s="1718"/>
    </row>
    <row r="1247">
      <c r="A1247" s="1721"/>
      <c r="C1247" s="1026"/>
      <c r="D1247" s="1714"/>
      <c r="E1247" s="1720"/>
      <c r="F1247" s="1720"/>
      <c r="G1247" s="1716"/>
      <c r="H1247" s="1715"/>
      <c r="I1247" s="1715"/>
      <c r="J1247" s="1717"/>
      <c r="K1247" s="1717"/>
      <c r="L1247" s="1717"/>
      <c r="M1247" s="1717"/>
      <c r="N1247" s="1718"/>
    </row>
    <row r="1248">
      <c r="A1248" s="1721"/>
      <c r="C1248" s="1026"/>
      <c r="D1248" s="1714"/>
      <c r="E1248" s="1720"/>
      <c r="F1248" s="1720"/>
      <c r="G1248" s="1716"/>
      <c r="H1248" s="1715"/>
      <c r="I1248" s="1715"/>
      <c r="J1248" s="1717"/>
      <c r="K1248" s="1717"/>
      <c r="L1248" s="1717"/>
      <c r="M1248" s="1717"/>
      <c r="N1248" s="1718"/>
    </row>
    <row r="1249">
      <c r="A1249" s="1721"/>
      <c r="C1249" s="1026"/>
      <c r="D1249" s="1714"/>
      <c r="E1249" s="1720"/>
      <c r="F1249" s="1720"/>
      <c r="G1249" s="1716"/>
      <c r="H1249" s="1715"/>
      <c r="I1249" s="1715"/>
      <c r="J1249" s="1717"/>
      <c r="K1249" s="1717"/>
      <c r="L1249" s="1717"/>
      <c r="M1249" s="1717"/>
      <c r="N1249" s="1718"/>
    </row>
    <row r="1250">
      <c r="A1250" s="1721"/>
      <c r="C1250" s="1026"/>
      <c r="D1250" s="1714"/>
      <c r="E1250" s="1720"/>
      <c r="F1250" s="1720"/>
      <c r="G1250" s="1716"/>
      <c r="H1250" s="1715"/>
      <c r="I1250" s="1715"/>
      <c r="J1250" s="1717"/>
      <c r="K1250" s="1717"/>
      <c r="L1250" s="1717"/>
      <c r="M1250" s="1717"/>
      <c r="N1250" s="1718"/>
    </row>
    <row r="1251">
      <c r="A1251" s="1721"/>
      <c r="C1251" s="1026"/>
      <c r="D1251" s="1714"/>
      <c r="E1251" s="1720"/>
      <c r="F1251" s="1720"/>
      <c r="G1251" s="1716"/>
      <c r="H1251" s="1715"/>
      <c r="I1251" s="1715"/>
      <c r="J1251" s="1717"/>
      <c r="K1251" s="1717"/>
      <c r="L1251" s="1717"/>
      <c r="M1251" s="1717"/>
      <c r="N1251" s="1718"/>
    </row>
    <row r="1252">
      <c r="A1252" s="1721"/>
      <c r="C1252" s="1026"/>
      <c r="D1252" s="1714"/>
      <c r="E1252" s="1720"/>
      <c r="F1252" s="1720"/>
      <c r="G1252" s="1716"/>
      <c r="H1252" s="1715"/>
      <c r="I1252" s="1715"/>
      <c r="J1252" s="1717"/>
      <c r="K1252" s="1717"/>
      <c r="L1252" s="1717"/>
      <c r="M1252" s="1717"/>
      <c r="N1252" s="1718"/>
    </row>
    <row r="1253">
      <c r="A1253" s="1721"/>
      <c r="C1253" s="1026"/>
      <c r="D1253" s="1714"/>
      <c r="E1253" s="1720"/>
      <c r="F1253" s="1720"/>
      <c r="G1253" s="1716"/>
      <c r="H1253" s="1715"/>
      <c r="I1253" s="1715"/>
      <c r="J1253" s="1717"/>
      <c r="K1253" s="1717"/>
      <c r="L1253" s="1717"/>
      <c r="M1253" s="1717"/>
      <c r="N1253" s="1718"/>
    </row>
    <row r="1254">
      <c r="A1254" s="1721"/>
      <c r="C1254" s="1026"/>
      <c r="D1254" s="1714"/>
      <c r="E1254" s="1720"/>
      <c r="F1254" s="1720"/>
      <c r="G1254" s="1716"/>
      <c r="H1254" s="1715"/>
      <c r="I1254" s="1715"/>
      <c r="J1254" s="1717"/>
      <c r="K1254" s="1717"/>
      <c r="L1254" s="1717"/>
      <c r="M1254" s="1717"/>
      <c r="N1254" s="1718"/>
    </row>
    <row r="1255">
      <c r="A1255" s="1721"/>
      <c r="C1255" s="1026"/>
      <c r="D1255" s="1714"/>
      <c r="E1255" s="1720"/>
      <c r="F1255" s="1720"/>
      <c r="G1255" s="1716"/>
      <c r="H1255" s="1715"/>
      <c r="I1255" s="1715"/>
      <c r="J1255" s="1717"/>
      <c r="K1255" s="1717"/>
      <c r="L1255" s="1717"/>
      <c r="M1255" s="1717"/>
      <c r="N1255" s="1718"/>
    </row>
    <row r="1256">
      <c r="A1256" s="1721"/>
      <c r="C1256" s="1026"/>
      <c r="D1256" s="1714"/>
      <c r="E1256" s="1720"/>
      <c r="F1256" s="1720"/>
      <c r="G1256" s="1716"/>
      <c r="H1256" s="1715"/>
      <c r="I1256" s="1715"/>
      <c r="J1256" s="1717"/>
      <c r="K1256" s="1717"/>
      <c r="L1256" s="1717"/>
      <c r="M1256" s="1717"/>
      <c r="N1256" s="1718"/>
    </row>
    <row r="1257">
      <c r="A1257" s="1721"/>
      <c r="C1257" s="1026"/>
      <c r="D1257" s="1714"/>
      <c r="E1257" s="1720"/>
      <c r="F1257" s="1720"/>
      <c r="G1257" s="1716"/>
      <c r="H1257" s="1715"/>
      <c r="I1257" s="1715"/>
      <c r="J1257" s="1717"/>
      <c r="K1257" s="1717"/>
      <c r="L1257" s="1717"/>
      <c r="M1257" s="1717"/>
      <c r="N1257" s="1718"/>
    </row>
    <row r="1258">
      <c r="A1258" s="1721"/>
      <c r="C1258" s="1026"/>
      <c r="D1258" s="1714"/>
      <c r="E1258" s="1720"/>
      <c r="F1258" s="1720"/>
      <c r="G1258" s="1716"/>
      <c r="H1258" s="1715"/>
      <c r="I1258" s="1715"/>
      <c r="J1258" s="1717"/>
      <c r="K1258" s="1717"/>
      <c r="L1258" s="1717"/>
      <c r="M1258" s="1717"/>
      <c r="N1258" s="1718"/>
    </row>
    <row r="1259">
      <c r="A1259" s="1721"/>
      <c r="C1259" s="1026"/>
      <c r="D1259" s="1714"/>
      <c r="E1259" s="1720"/>
      <c r="F1259" s="1720"/>
      <c r="G1259" s="1716"/>
      <c r="H1259" s="1715"/>
      <c r="I1259" s="1715"/>
      <c r="J1259" s="1717"/>
      <c r="K1259" s="1717"/>
      <c r="L1259" s="1717"/>
      <c r="M1259" s="1717"/>
      <c r="N1259" s="1718"/>
    </row>
    <row r="1260">
      <c r="A1260" s="1721"/>
      <c r="C1260" s="1026"/>
      <c r="D1260" s="1714"/>
      <c r="E1260" s="1720"/>
      <c r="F1260" s="1720"/>
      <c r="G1260" s="1716"/>
      <c r="H1260" s="1715"/>
      <c r="I1260" s="1715"/>
      <c r="J1260" s="1717"/>
      <c r="K1260" s="1717"/>
      <c r="L1260" s="1717"/>
      <c r="M1260" s="1717"/>
      <c r="N1260" s="1718"/>
    </row>
    <row r="1261">
      <c r="A1261" s="1721"/>
      <c r="C1261" s="1026"/>
      <c r="D1261" s="1714"/>
      <c r="E1261" s="1720"/>
      <c r="F1261" s="1720"/>
      <c r="G1261" s="1716"/>
      <c r="H1261" s="1715"/>
      <c r="I1261" s="1715"/>
      <c r="J1261" s="1717"/>
      <c r="K1261" s="1717"/>
      <c r="L1261" s="1717"/>
      <c r="M1261" s="1717"/>
      <c r="N1261" s="1718"/>
    </row>
    <row r="1262">
      <c r="A1262" s="1721"/>
      <c r="C1262" s="1026"/>
      <c r="D1262" s="1714"/>
      <c r="E1262" s="1720"/>
      <c r="F1262" s="1720"/>
      <c r="G1262" s="1716"/>
      <c r="H1262" s="1715"/>
      <c r="I1262" s="1715"/>
      <c r="J1262" s="1717"/>
      <c r="K1262" s="1717"/>
      <c r="L1262" s="1717"/>
      <c r="M1262" s="1717"/>
      <c r="N1262" s="1718"/>
    </row>
    <row r="1263">
      <c r="A1263" s="1721"/>
      <c r="C1263" s="1026"/>
      <c r="D1263" s="1714"/>
      <c r="E1263" s="1720"/>
      <c r="F1263" s="1720"/>
      <c r="G1263" s="1716"/>
      <c r="H1263" s="1715"/>
      <c r="I1263" s="1715"/>
      <c r="J1263" s="1717"/>
      <c r="K1263" s="1717"/>
      <c r="L1263" s="1717"/>
      <c r="M1263" s="1717"/>
      <c r="N1263" s="1718"/>
    </row>
    <row r="1264">
      <c r="A1264" s="1721"/>
      <c r="C1264" s="1026"/>
      <c r="D1264" s="1714"/>
      <c r="E1264" s="1720"/>
      <c r="F1264" s="1720"/>
      <c r="G1264" s="1716"/>
      <c r="H1264" s="1715"/>
      <c r="I1264" s="1715"/>
      <c r="J1264" s="1717"/>
      <c r="K1264" s="1717"/>
      <c r="L1264" s="1717"/>
      <c r="M1264" s="1717"/>
      <c r="N1264" s="1718"/>
    </row>
    <row r="1265">
      <c r="A1265" s="1721"/>
      <c r="C1265" s="1026"/>
      <c r="D1265" s="1714"/>
      <c r="E1265" s="1720"/>
      <c r="F1265" s="1720"/>
      <c r="G1265" s="1716"/>
      <c r="H1265" s="1715"/>
      <c r="I1265" s="1715"/>
      <c r="J1265" s="1717"/>
      <c r="K1265" s="1717"/>
      <c r="L1265" s="1717"/>
      <c r="M1265" s="1717"/>
      <c r="N1265" s="1718"/>
    </row>
    <row r="1266">
      <c r="A1266" s="1721"/>
      <c r="C1266" s="1026"/>
      <c r="D1266" s="1714"/>
      <c r="E1266" s="1720"/>
      <c r="F1266" s="1720"/>
      <c r="G1266" s="1716"/>
      <c r="H1266" s="1715"/>
      <c r="I1266" s="1715"/>
      <c r="J1266" s="1717"/>
      <c r="K1266" s="1717"/>
      <c r="L1266" s="1717"/>
      <c r="M1266" s="1717"/>
      <c r="N1266" s="1718"/>
    </row>
    <row r="1267">
      <c r="A1267" s="1721"/>
      <c r="C1267" s="1026"/>
      <c r="D1267" s="1714"/>
      <c r="E1267" s="1720"/>
      <c r="F1267" s="1720"/>
      <c r="G1267" s="1716"/>
      <c r="H1267" s="1715"/>
      <c r="I1267" s="1715"/>
      <c r="J1267" s="1717"/>
      <c r="K1267" s="1717"/>
      <c r="L1267" s="1717"/>
      <c r="M1267" s="1717"/>
      <c r="N1267" s="1718"/>
    </row>
    <row r="1268">
      <c r="A1268" s="1721"/>
      <c r="C1268" s="1026"/>
      <c r="D1268" s="1714"/>
      <c r="E1268" s="1720"/>
      <c r="F1268" s="1720"/>
      <c r="G1268" s="1716"/>
      <c r="H1268" s="1715"/>
      <c r="I1268" s="1715"/>
      <c r="J1268" s="1717"/>
      <c r="K1268" s="1717"/>
      <c r="L1268" s="1717"/>
      <c r="M1268" s="1717"/>
      <c r="N1268" s="1718"/>
    </row>
    <row r="1269">
      <c r="A1269" s="1721"/>
      <c r="C1269" s="1026"/>
      <c r="D1269" s="1714"/>
      <c r="E1269" s="1720"/>
      <c r="F1269" s="1720"/>
      <c r="G1269" s="1716"/>
      <c r="H1269" s="1715"/>
      <c r="I1269" s="1715"/>
      <c r="J1269" s="1717"/>
      <c r="K1269" s="1717"/>
      <c r="L1269" s="1717"/>
      <c r="M1269" s="1717"/>
      <c r="N1269" s="1718"/>
    </row>
    <row r="1270">
      <c r="A1270" s="1721"/>
      <c r="C1270" s="1026"/>
      <c r="D1270" s="1714"/>
      <c r="E1270" s="1720"/>
      <c r="F1270" s="1720"/>
      <c r="G1270" s="1716"/>
      <c r="H1270" s="1715"/>
      <c r="I1270" s="1715"/>
      <c r="J1270" s="1717"/>
      <c r="K1270" s="1717"/>
      <c r="L1270" s="1717"/>
      <c r="M1270" s="1717"/>
      <c r="N1270" s="1718"/>
    </row>
    <row r="1271">
      <c r="A1271" s="1721"/>
      <c r="C1271" s="1026"/>
      <c r="D1271" s="1714"/>
      <c r="E1271" s="1720"/>
      <c r="F1271" s="1720"/>
      <c r="G1271" s="1716"/>
      <c r="H1271" s="1715"/>
      <c r="I1271" s="1715"/>
      <c r="J1271" s="1717"/>
      <c r="K1271" s="1717"/>
      <c r="L1271" s="1717"/>
      <c r="M1271" s="1717"/>
      <c r="N1271" s="1718"/>
    </row>
    <row r="1272">
      <c r="A1272" s="1721"/>
      <c r="C1272" s="1026"/>
      <c r="D1272" s="1714"/>
      <c r="E1272" s="1720"/>
      <c r="F1272" s="1720"/>
      <c r="G1272" s="1716"/>
      <c r="H1272" s="1715"/>
      <c r="I1272" s="1715"/>
      <c r="J1272" s="1717"/>
      <c r="K1272" s="1717"/>
      <c r="L1272" s="1717"/>
      <c r="M1272" s="1717"/>
      <c r="N1272" s="1718"/>
    </row>
    <row r="1273">
      <c r="A1273" s="1721"/>
      <c r="C1273" s="1026"/>
      <c r="D1273" s="1714"/>
      <c r="E1273" s="1720"/>
      <c r="F1273" s="1720"/>
      <c r="G1273" s="1716"/>
      <c r="H1273" s="1715"/>
      <c r="I1273" s="1715"/>
      <c r="J1273" s="1717"/>
      <c r="K1273" s="1717"/>
      <c r="L1273" s="1717"/>
      <c r="M1273" s="1717"/>
      <c r="N1273" s="1718"/>
    </row>
    <row r="1274">
      <c r="A1274" s="1721"/>
      <c r="C1274" s="1026"/>
      <c r="D1274" s="1714"/>
      <c r="E1274" s="1720"/>
      <c r="F1274" s="1720"/>
      <c r="G1274" s="1716"/>
      <c r="H1274" s="1715"/>
      <c r="I1274" s="1715"/>
      <c r="J1274" s="1717"/>
      <c r="K1274" s="1717"/>
      <c r="L1274" s="1717"/>
      <c r="M1274" s="1717"/>
      <c r="N1274" s="1718"/>
    </row>
    <row r="1275">
      <c r="A1275" s="1721"/>
      <c r="C1275" s="1026"/>
      <c r="D1275" s="1714"/>
      <c r="E1275" s="1720"/>
      <c r="F1275" s="1720"/>
      <c r="G1275" s="1716"/>
      <c r="H1275" s="1715"/>
      <c r="I1275" s="1715"/>
      <c r="J1275" s="1717"/>
      <c r="K1275" s="1717"/>
      <c r="L1275" s="1717"/>
      <c r="M1275" s="1717"/>
      <c r="N1275" s="1718"/>
    </row>
    <row r="1276">
      <c r="A1276" s="1721"/>
      <c r="C1276" s="1026"/>
      <c r="D1276" s="1714"/>
      <c r="E1276" s="1720"/>
      <c r="F1276" s="1720"/>
      <c r="G1276" s="1716"/>
      <c r="H1276" s="1715"/>
      <c r="I1276" s="1715"/>
      <c r="J1276" s="1717"/>
      <c r="K1276" s="1717"/>
      <c r="L1276" s="1717"/>
      <c r="M1276" s="1717"/>
      <c r="N1276" s="1718"/>
    </row>
    <row r="1277">
      <c r="A1277" s="1721"/>
      <c r="C1277" s="1026"/>
      <c r="D1277" s="1714"/>
      <c r="E1277" s="1720"/>
      <c r="F1277" s="1720"/>
      <c r="G1277" s="1716"/>
      <c r="H1277" s="1715"/>
      <c r="I1277" s="1715"/>
      <c r="J1277" s="1717"/>
      <c r="K1277" s="1717"/>
      <c r="L1277" s="1717"/>
      <c r="M1277" s="1717"/>
      <c r="N1277" s="1718"/>
    </row>
    <row r="1278">
      <c r="A1278" s="1721"/>
      <c r="C1278" s="1026"/>
      <c r="D1278" s="1714"/>
      <c r="E1278" s="1720"/>
      <c r="F1278" s="1720"/>
      <c r="G1278" s="1716"/>
      <c r="H1278" s="1715"/>
      <c r="I1278" s="1715"/>
      <c r="J1278" s="1717"/>
      <c r="K1278" s="1717"/>
      <c r="L1278" s="1717"/>
      <c r="M1278" s="1717"/>
      <c r="N1278" s="1718"/>
    </row>
    <row r="1279">
      <c r="A1279" s="1721"/>
      <c r="C1279" s="1026"/>
      <c r="D1279" s="1714"/>
      <c r="E1279" s="1720"/>
      <c r="F1279" s="1720"/>
      <c r="G1279" s="1716"/>
      <c r="H1279" s="1715"/>
      <c r="I1279" s="1715"/>
      <c r="J1279" s="1717"/>
      <c r="K1279" s="1717"/>
      <c r="L1279" s="1717"/>
      <c r="M1279" s="1717"/>
      <c r="N1279" s="1718"/>
    </row>
    <row r="1280">
      <c r="A1280" s="1721"/>
      <c r="C1280" s="1026"/>
      <c r="D1280" s="1714"/>
      <c r="E1280" s="1720"/>
      <c r="F1280" s="1720"/>
      <c r="G1280" s="1716"/>
      <c r="H1280" s="1715"/>
      <c r="I1280" s="1715"/>
      <c r="J1280" s="1717"/>
      <c r="K1280" s="1717"/>
      <c r="L1280" s="1717"/>
      <c r="M1280" s="1717"/>
      <c r="N1280" s="1718"/>
    </row>
    <row r="1281">
      <c r="A1281" s="1721"/>
      <c r="C1281" s="1026"/>
      <c r="D1281" s="1714"/>
      <c r="E1281" s="1720"/>
      <c r="F1281" s="1720"/>
      <c r="G1281" s="1716"/>
      <c r="H1281" s="1715"/>
      <c r="I1281" s="1715"/>
      <c r="J1281" s="1717"/>
      <c r="K1281" s="1717"/>
      <c r="L1281" s="1717"/>
      <c r="M1281" s="1717"/>
      <c r="N1281" s="1718"/>
    </row>
    <row r="1282">
      <c r="A1282" s="1721"/>
      <c r="C1282" s="1026"/>
      <c r="D1282" s="1714"/>
      <c r="E1282" s="1720"/>
      <c r="F1282" s="1720"/>
      <c r="G1282" s="1716"/>
      <c r="H1282" s="1715"/>
      <c r="I1282" s="1715"/>
      <c r="J1282" s="1717"/>
      <c r="K1282" s="1717"/>
      <c r="L1282" s="1717"/>
      <c r="M1282" s="1717"/>
      <c r="N1282" s="1718"/>
    </row>
    <row r="1283">
      <c r="A1283" s="1721"/>
      <c r="C1283" s="1026"/>
      <c r="D1283" s="1714"/>
      <c r="E1283" s="1720"/>
      <c r="F1283" s="1720"/>
      <c r="G1283" s="1716"/>
      <c r="H1283" s="1715"/>
      <c r="I1283" s="1715"/>
      <c r="J1283" s="1717"/>
      <c r="K1283" s="1717"/>
      <c r="L1283" s="1717"/>
      <c r="M1283" s="1717"/>
      <c r="N1283" s="1718"/>
    </row>
    <row r="1284">
      <c r="A1284" s="1721"/>
      <c r="C1284" s="1026"/>
      <c r="D1284" s="1714"/>
      <c r="E1284" s="1720"/>
      <c r="F1284" s="1720"/>
      <c r="G1284" s="1716"/>
      <c r="H1284" s="1715"/>
      <c r="I1284" s="1715"/>
      <c r="J1284" s="1717"/>
      <c r="K1284" s="1717"/>
      <c r="L1284" s="1717"/>
      <c r="M1284" s="1717"/>
      <c r="N1284" s="1718"/>
    </row>
    <row r="1285">
      <c r="A1285" s="1721"/>
      <c r="C1285" s="1026"/>
      <c r="D1285" s="1714"/>
      <c r="E1285" s="1720"/>
      <c r="F1285" s="1720"/>
      <c r="G1285" s="1716"/>
      <c r="H1285" s="1715"/>
      <c r="I1285" s="1715"/>
      <c r="J1285" s="1717"/>
      <c r="K1285" s="1717"/>
      <c r="L1285" s="1717"/>
      <c r="M1285" s="1717"/>
      <c r="N1285" s="1718"/>
    </row>
    <row r="1286">
      <c r="A1286" s="1721"/>
      <c r="C1286" s="1026"/>
      <c r="D1286" s="1714"/>
      <c r="E1286" s="1720"/>
      <c r="F1286" s="1720"/>
      <c r="G1286" s="1716"/>
      <c r="H1286" s="1715"/>
      <c r="I1286" s="1715"/>
      <c r="J1286" s="1717"/>
      <c r="K1286" s="1717"/>
      <c r="L1286" s="1717"/>
      <c r="M1286" s="1717"/>
      <c r="N1286" s="1718"/>
    </row>
    <row r="1287">
      <c r="A1287" s="1721"/>
      <c r="C1287" s="1026"/>
      <c r="D1287" s="1714"/>
      <c r="E1287" s="1720"/>
      <c r="F1287" s="1720"/>
      <c r="G1287" s="1716"/>
      <c r="H1287" s="1715"/>
      <c r="I1287" s="1715"/>
      <c r="J1287" s="1717"/>
      <c r="K1287" s="1717"/>
      <c r="L1287" s="1717"/>
      <c r="M1287" s="1717"/>
      <c r="N1287" s="1718"/>
    </row>
    <row r="1288">
      <c r="A1288" s="1721"/>
      <c r="C1288" s="1026"/>
      <c r="D1288" s="1714"/>
      <c r="E1288" s="1720"/>
      <c r="F1288" s="1720"/>
      <c r="G1288" s="1716"/>
      <c r="H1288" s="1715"/>
      <c r="I1288" s="1715"/>
      <c r="J1288" s="1717"/>
      <c r="K1288" s="1717"/>
      <c r="L1288" s="1717"/>
      <c r="M1288" s="1717"/>
      <c r="N1288" s="1718"/>
    </row>
    <row r="1289">
      <c r="A1289" s="1721"/>
      <c r="C1289" s="1026"/>
      <c r="D1289" s="1714"/>
      <c r="E1289" s="1720"/>
      <c r="F1289" s="1720"/>
      <c r="G1289" s="1716"/>
      <c r="H1289" s="1715"/>
      <c r="I1289" s="1715"/>
      <c r="J1289" s="1717"/>
      <c r="K1289" s="1717"/>
      <c r="L1289" s="1717"/>
      <c r="M1289" s="1717"/>
      <c r="N1289" s="1718"/>
    </row>
    <row r="1290">
      <c r="A1290" s="1721"/>
      <c r="C1290" s="1026"/>
      <c r="D1290" s="1714"/>
      <c r="E1290" s="1720"/>
      <c r="F1290" s="1720"/>
      <c r="G1290" s="1716"/>
      <c r="H1290" s="1715"/>
      <c r="I1290" s="1715"/>
      <c r="J1290" s="1717"/>
      <c r="K1290" s="1717"/>
      <c r="L1290" s="1717"/>
      <c r="M1290" s="1717"/>
      <c r="N1290" s="1718"/>
    </row>
    <row r="1291">
      <c r="A1291" s="1721"/>
      <c r="C1291" s="1026"/>
      <c r="D1291" s="1714"/>
      <c r="E1291" s="1720"/>
      <c r="F1291" s="1720"/>
      <c r="G1291" s="1716"/>
      <c r="H1291" s="1715"/>
      <c r="I1291" s="1715"/>
      <c r="J1291" s="1717"/>
      <c r="K1291" s="1717"/>
      <c r="L1291" s="1717"/>
      <c r="M1291" s="1717"/>
      <c r="N1291" s="1718"/>
    </row>
    <row r="1292">
      <c r="A1292" s="1721"/>
      <c r="C1292" s="1026"/>
      <c r="D1292" s="1714"/>
      <c r="E1292" s="1720"/>
      <c r="F1292" s="1720"/>
      <c r="G1292" s="1716"/>
      <c r="H1292" s="1715"/>
      <c r="I1292" s="1715"/>
      <c r="J1292" s="1717"/>
      <c r="K1292" s="1717"/>
      <c r="L1292" s="1717"/>
      <c r="M1292" s="1717"/>
      <c r="N1292" s="1718"/>
    </row>
    <row r="1293">
      <c r="A1293" s="1721"/>
      <c r="C1293" s="1026"/>
      <c r="D1293" s="1714"/>
      <c r="E1293" s="1720"/>
      <c r="F1293" s="1720"/>
      <c r="G1293" s="1716"/>
      <c r="H1293" s="1715"/>
      <c r="I1293" s="1715"/>
      <c r="J1293" s="1717"/>
      <c r="K1293" s="1717"/>
      <c r="L1293" s="1717"/>
      <c r="M1293" s="1717"/>
      <c r="N1293" s="1718"/>
    </row>
    <row r="1294">
      <c r="A1294" s="1721"/>
      <c r="C1294" s="1026"/>
      <c r="D1294" s="1714"/>
      <c r="E1294" s="1720"/>
      <c r="F1294" s="1720"/>
      <c r="G1294" s="1716"/>
      <c r="H1294" s="1715"/>
      <c r="I1294" s="1715"/>
      <c r="J1294" s="1717"/>
      <c r="K1294" s="1717"/>
      <c r="L1294" s="1717"/>
      <c r="M1294" s="1717"/>
      <c r="N1294" s="1718"/>
    </row>
    <row r="1295">
      <c r="A1295" s="1721"/>
      <c r="C1295" s="1026"/>
      <c r="D1295" s="1714"/>
      <c r="E1295" s="1720"/>
      <c r="F1295" s="1720"/>
      <c r="G1295" s="1716"/>
      <c r="H1295" s="1715"/>
      <c r="I1295" s="1715"/>
      <c r="J1295" s="1717"/>
      <c r="K1295" s="1717"/>
      <c r="L1295" s="1717"/>
      <c r="M1295" s="1717"/>
      <c r="N1295" s="1718"/>
    </row>
    <row r="1296">
      <c r="A1296" s="1721"/>
      <c r="C1296" s="1026"/>
      <c r="D1296" s="1714"/>
      <c r="E1296" s="1720"/>
      <c r="F1296" s="1720"/>
      <c r="G1296" s="1716"/>
      <c r="H1296" s="1715"/>
      <c r="I1296" s="1715"/>
      <c r="J1296" s="1717"/>
      <c r="K1296" s="1717"/>
      <c r="L1296" s="1717"/>
      <c r="M1296" s="1717"/>
      <c r="N1296" s="1718"/>
    </row>
    <row r="1297">
      <c r="A1297" s="1721"/>
      <c r="C1297" s="1026"/>
      <c r="D1297" s="1714"/>
      <c r="E1297" s="1720"/>
      <c r="F1297" s="1720"/>
      <c r="G1297" s="1716"/>
      <c r="H1297" s="1715"/>
      <c r="I1297" s="1715"/>
      <c r="J1297" s="1717"/>
      <c r="K1297" s="1717"/>
      <c r="L1297" s="1717"/>
      <c r="M1297" s="1717"/>
      <c r="N1297" s="1718"/>
    </row>
    <row r="1298">
      <c r="A1298" s="1721"/>
      <c r="C1298" s="1026"/>
      <c r="D1298" s="1714"/>
      <c r="E1298" s="1720"/>
      <c r="F1298" s="1720"/>
      <c r="G1298" s="1716"/>
      <c r="H1298" s="1715"/>
      <c r="I1298" s="1715"/>
      <c r="J1298" s="1717"/>
      <c r="K1298" s="1717"/>
      <c r="L1298" s="1717"/>
      <c r="M1298" s="1717"/>
      <c r="N1298" s="1718"/>
    </row>
    <row r="1299">
      <c r="A1299" s="1721"/>
      <c r="C1299" s="1026"/>
      <c r="D1299" s="1714"/>
      <c r="E1299" s="1720"/>
      <c r="F1299" s="1720"/>
      <c r="G1299" s="1716"/>
      <c r="H1299" s="1715"/>
      <c r="I1299" s="1715"/>
      <c r="J1299" s="1717"/>
      <c r="K1299" s="1717"/>
      <c r="L1299" s="1717"/>
      <c r="M1299" s="1717"/>
      <c r="N1299" s="1718"/>
    </row>
    <row r="1300">
      <c r="A1300" s="1721"/>
      <c r="C1300" s="1026"/>
      <c r="D1300" s="1714"/>
      <c r="E1300" s="1720"/>
      <c r="F1300" s="1720"/>
      <c r="G1300" s="1716"/>
      <c r="H1300" s="1715"/>
      <c r="I1300" s="1715"/>
      <c r="J1300" s="1717"/>
      <c r="K1300" s="1717"/>
      <c r="L1300" s="1717"/>
      <c r="M1300" s="1717"/>
      <c r="N1300" s="1718"/>
    </row>
    <row r="1301">
      <c r="A1301" s="1721"/>
      <c r="C1301" s="1026"/>
      <c r="D1301" s="1714"/>
      <c r="E1301" s="1720"/>
      <c r="F1301" s="1720"/>
      <c r="G1301" s="1716"/>
      <c r="H1301" s="1715"/>
      <c r="I1301" s="1715"/>
      <c r="J1301" s="1717"/>
      <c r="K1301" s="1717"/>
      <c r="L1301" s="1717"/>
      <c r="M1301" s="1717"/>
      <c r="N1301" s="1718"/>
    </row>
    <row r="1302">
      <c r="A1302" s="1721"/>
      <c r="C1302" s="1026"/>
      <c r="D1302" s="1714"/>
      <c r="E1302" s="1720"/>
      <c r="F1302" s="1720"/>
      <c r="G1302" s="1716"/>
      <c r="H1302" s="1715"/>
      <c r="I1302" s="1715"/>
      <c r="J1302" s="1717"/>
      <c r="K1302" s="1717"/>
      <c r="L1302" s="1717"/>
      <c r="M1302" s="1717"/>
      <c r="N1302" s="1718"/>
    </row>
    <row r="1303">
      <c r="A1303" s="1721"/>
      <c r="C1303" s="1026"/>
      <c r="D1303" s="1714"/>
      <c r="E1303" s="1720"/>
      <c r="F1303" s="1720"/>
      <c r="G1303" s="1716"/>
      <c r="H1303" s="1715"/>
      <c r="I1303" s="1715"/>
      <c r="J1303" s="1717"/>
      <c r="K1303" s="1717"/>
      <c r="L1303" s="1717"/>
      <c r="M1303" s="1717"/>
      <c r="N1303" s="1718"/>
    </row>
    <row r="1304">
      <c r="A1304" s="1721"/>
      <c r="C1304" s="1026"/>
      <c r="D1304" s="1714"/>
      <c r="E1304" s="1720"/>
      <c r="F1304" s="1720"/>
      <c r="G1304" s="1716"/>
      <c r="H1304" s="1715"/>
      <c r="I1304" s="1715"/>
      <c r="J1304" s="1717"/>
      <c r="K1304" s="1717"/>
      <c r="L1304" s="1717"/>
      <c r="M1304" s="1717"/>
      <c r="N1304" s="1718"/>
    </row>
    <row r="1305">
      <c r="A1305" s="1721"/>
      <c r="C1305" s="1026"/>
      <c r="D1305" s="1714"/>
      <c r="E1305" s="1720"/>
      <c r="F1305" s="1720"/>
      <c r="G1305" s="1716"/>
      <c r="H1305" s="1715"/>
      <c r="I1305" s="1715"/>
      <c r="J1305" s="1717"/>
      <c r="K1305" s="1717"/>
      <c r="L1305" s="1717"/>
      <c r="M1305" s="1717"/>
      <c r="N1305" s="1718"/>
    </row>
    <row r="1306">
      <c r="A1306" s="1721"/>
      <c r="C1306" s="1026"/>
      <c r="D1306" s="1714"/>
      <c r="E1306" s="1720"/>
      <c r="F1306" s="1720"/>
      <c r="G1306" s="1716"/>
      <c r="H1306" s="1715"/>
      <c r="I1306" s="1715"/>
      <c r="J1306" s="1717"/>
      <c r="K1306" s="1717"/>
      <c r="L1306" s="1717"/>
      <c r="M1306" s="1717"/>
      <c r="N1306" s="1718"/>
    </row>
    <row r="1307">
      <c r="A1307" s="1721"/>
      <c r="C1307" s="1026"/>
      <c r="D1307" s="1714"/>
      <c r="E1307" s="1720"/>
      <c r="F1307" s="1720"/>
      <c r="G1307" s="1716"/>
      <c r="H1307" s="1715"/>
      <c r="I1307" s="1715"/>
      <c r="J1307" s="1717"/>
      <c r="K1307" s="1717"/>
      <c r="L1307" s="1717"/>
      <c r="M1307" s="1717"/>
      <c r="N1307" s="1718"/>
    </row>
    <row r="1308">
      <c r="A1308" s="1721"/>
      <c r="C1308" s="1026"/>
      <c r="D1308" s="1714"/>
      <c r="E1308" s="1720"/>
      <c r="F1308" s="1720"/>
      <c r="G1308" s="1716"/>
      <c r="H1308" s="1715"/>
      <c r="I1308" s="1715"/>
      <c r="J1308" s="1717"/>
      <c r="K1308" s="1717"/>
      <c r="L1308" s="1717"/>
      <c r="M1308" s="1717"/>
      <c r="N1308" s="1718"/>
    </row>
    <row r="1309">
      <c r="A1309" s="1721"/>
      <c r="C1309" s="1026"/>
      <c r="D1309" s="1714"/>
      <c r="E1309" s="1720"/>
      <c r="F1309" s="1720"/>
      <c r="G1309" s="1716"/>
      <c r="H1309" s="1715"/>
      <c r="I1309" s="1715"/>
      <c r="J1309" s="1717"/>
      <c r="K1309" s="1717"/>
      <c r="L1309" s="1717"/>
      <c r="M1309" s="1717"/>
      <c r="N1309" s="1718"/>
    </row>
    <row r="1310">
      <c r="A1310" s="1721"/>
      <c r="C1310" s="1026"/>
      <c r="D1310" s="1714"/>
      <c r="E1310" s="1720"/>
      <c r="F1310" s="1720"/>
      <c r="G1310" s="1716"/>
      <c r="H1310" s="1715"/>
      <c r="I1310" s="1715"/>
      <c r="J1310" s="1717"/>
      <c r="K1310" s="1717"/>
      <c r="L1310" s="1717"/>
      <c r="M1310" s="1717"/>
      <c r="N1310" s="1718"/>
    </row>
    <row r="1311">
      <c r="A1311" s="1721"/>
      <c r="C1311" s="1026"/>
      <c r="D1311" s="1714"/>
      <c r="E1311" s="1720"/>
      <c r="F1311" s="1720"/>
      <c r="G1311" s="1716"/>
      <c r="H1311" s="1715"/>
      <c r="I1311" s="1715"/>
      <c r="J1311" s="1717"/>
      <c r="K1311" s="1717"/>
      <c r="L1311" s="1717"/>
      <c r="M1311" s="1717"/>
      <c r="N1311" s="1718"/>
    </row>
    <row r="1312">
      <c r="A1312" s="1721"/>
      <c r="C1312" s="1026"/>
      <c r="D1312" s="1714"/>
      <c r="E1312" s="1720"/>
      <c r="F1312" s="1720"/>
      <c r="G1312" s="1716"/>
      <c r="H1312" s="1715"/>
      <c r="I1312" s="1715"/>
      <c r="J1312" s="1717"/>
      <c r="K1312" s="1717"/>
      <c r="L1312" s="1717"/>
      <c r="M1312" s="1717"/>
      <c r="N1312" s="1718"/>
    </row>
    <row r="1313">
      <c r="A1313" s="1721"/>
      <c r="C1313" s="1026"/>
      <c r="D1313" s="1714"/>
      <c r="E1313" s="1720"/>
      <c r="F1313" s="1720"/>
      <c r="G1313" s="1716"/>
      <c r="H1313" s="1715"/>
      <c r="I1313" s="1715"/>
      <c r="J1313" s="1717"/>
      <c r="K1313" s="1717"/>
      <c r="L1313" s="1717"/>
      <c r="M1313" s="1717"/>
      <c r="N1313" s="1718"/>
    </row>
    <row r="1314">
      <c r="A1314" s="1721"/>
      <c r="C1314" s="1026"/>
      <c r="D1314" s="1714"/>
      <c r="E1314" s="1720"/>
      <c r="F1314" s="1720"/>
      <c r="G1314" s="1716"/>
      <c r="H1314" s="1715"/>
      <c r="I1314" s="1715"/>
      <c r="J1314" s="1717"/>
      <c r="K1314" s="1717"/>
      <c r="L1314" s="1717"/>
      <c r="M1314" s="1717"/>
      <c r="N1314" s="1718"/>
    </row>
    <row r="1315">
      <c r="A1315" s="1721"/>
      <c r="C1315" s="1026"/>
      <c r="D1315" s="1714"/>
      <c r="E1315" s="1720"/>
      <c r="F1315" s="1720"/>
      <c r="G1315" s="1716"/>
      <c r="H1315" s="1715"/>
      <c r="I1315" s="1715"/>
      <c r="J1315" s="1717"/>
      <c r="K1315" s="1717"/>
      <c r="L1315" s="1717"/>
      <c r="M1315" s="1717"/>
      <c r="N1315" s="1718"/>
    </row>
    <row r="1316">
      <c r="A1316" s="1721"/>
      <c r="C1316" s="1026"/>
      <c r="D1316" s="1714"/>
      <c r="E1316" s="1720"/>
      <c r="F1316" s="1720"/>
      <c r="G1316" s="1716"/>
      <c r="H1316" s="1715"/>
      <c r="I1316" s="1715"/>
      <c r="J1316" s="1717"/>
      <c r="K1316" s="1717"/>
      <c r="L1316" s="1717"/>
      <c r="M1316" s="1717"/>
      <c r="N1316" s="1718"/>
    </row>
    <row r="1317">
      <c r="A1317" s="1721"/>
      <c r="C1317" s="1026"/>
      <c r="D1317" s="1714"/>
      <c r="E1317" s="1720"/>
      <c r="F1317" s="1720"/>
      <c r="G1317" s="1716"/>
      <c r="H1317" s="1715"/>
      <c r="I1317" s="1715"/>
      <c r="J1317" s="1717"/>
      <c r="K1317" s="1717"/>
      <c r="L1317" s="1717"/>
      <c r="M1317" s="1717"/>
      <c r="N1317" s="1718"/>
    </row>
    <row r="1318">
      <c r="A1318" s="1721"/>
      <c r="C1318" s="1026"/>
      <c r="D1318" s="1714"/>
      <c r="E1318" s="1720"/>
      <c r="F1318" s="1720"/>
      <c r="G1318" s="1716"/>
      <c r="H1318" s="1715"/>
      <c r="I1318" s="1715"/>
      <c r="J1318" s="1717"/>
      <c r="K1318" s="1717"/>
      <c r="L1318" s="1717"/>
      <c r="M1318" s="1717"/>
      <c r="N1318" s="1718"/>
    </row>
    <row r="1319">
      <c r="A1319" s="1721"/>
      <c r="C1319" s="1026"/>
      <c r="D1319" s="1714"/>
      <c r="E1319" s="1720"/>
      <c r="F1319" s="1720"/>
      <c r="G1319" s="1716"/>
      <c r="H1319" s="1715"/>
      <c r="I1319" s="1715"/>
      <c r="J1319" s="1717"/>
      <c r="K1319" s="1717"/>
      <c r="L1319" s="1717"/>
      <c r="M1319" s="1717"/>
      <c r="N1319" s="1718"/>
    </row>
    <row r="1320">
      <c r="A1320" s="1721"/>
      <c r="C1320" s="1026"/>
      <c r="D1320" s="1714"/>
      <c r="E1320" s="1720"/>
      <c r="F1320" s="1720"/>
      <c r="G1320" s="1716"/>
      <c r="H1320" s="1715"/>
      <c r="I1320" s="1715"/>
      <c r="J1320" s="1717"/>
      <c r="K1320" s="1717"/>
      <c r="L1320" s="1717"/>
      <c r="M1320" s="1717"/>
      <c r="N1320" s="1718"/>
    </row>
    <row r="1321">
      <c r="A1321" s="1721"/>
      <c r="C1321" s="1026"/>
      <c r="D1321" s="1714"/>
      <c r="E1321" s="1720"/>
      <c r="F1321" s="1720"/>
      <c r="G1321" s="1716"/>
      <c r="H1321" s="1715"/>
      <c r="I1321" s="1715"/>
      <c r="J1321" s="1717"/>
      <c r="K1321" s="1717"/>
      <c r="L1321" s="1717"/>
      <c r="M1321" s="1717"/>
      <c r="N1321" s="1718"/>
    </row>
    <row r="1322">
      <c r="A1322" s="1721"/>
      <c r="C1322" s="1026"/>
      <c r="D1322" s="1714"/>
      <c r="E1322" s="1720"/>
      <c r="F1322" s="1720"/>
      <c r="G1322" s="1716"/>
      <c r="H1322" s="1715"/>
      <c r="I1322" s="1715"/>
      <c r="J1322" s="1717"/>
      <c r="K1322" s="1717"/>
      <c r="L1322" s="1717"/>
      <c r="M1322" s="1717"/>
      <c r="N1322" s="1718"/>
    </row>
    <row r="1323">
      <c r="A1323" s="1721"/>
      <c r="C1323" s="1026"/>
      <c r="D1323" s="1714"/>
      <c r="E1323" s="1720"/>
      <c r="F1323" s="1720"/>
      <c r="G1323" s="1716"/>
      <c r="H1323" s="1715"/>
      <c r="I1323" s="1715"/>
      <c r="J1323" s="1717"/>
      <c r="K1323" s="1717"/>
      <c r="L1323" s="1717"/>
      <c r="M1323" s="1717"/>
      <c r="N1323" s="1718"/>
    </row>
    <row r="1324">
      <c r="A1324" s="1721"/>
      <c r="C1324" s="1026"/>
      <c r="D1324" s="1714"/>
      <c r="E1324" s="1720"/>
      <c r="F1324" s="1720"/>
      <c r="G1324" s="1716"/>
      <c r="H1324" s="1715"/>
      <c r="I1324" s="1715"/>
      <c r="J1324" s="1717"/>
      <c r="K1324" s="1717"/>
      <c r="L1324" s="1717"/>
      <c r="M1324" s="1717"/>
      <c r="N1324" s="1718"/>
    </row>
    <row r="1325">
      <c r="A1325" s="1721"/>
      <c r="C1325" s="1026"/>
      <c r="D1325" s="1714"/>
      <c r="E1325" s="1720"/>
      <c r="F1325" s="1720"/>
      <c r="G1325" s="1716"/>
      <c r="H1325" s="1715"/>
      <c r="I1325" s="1715"/>
      <c r="J1325" s="1717"/>
      <c r="K1325" s="1717"/>
      <c r="L1325" s="1717"/>
      <c r="M1325" s="1717"/>
      <c r="N1325" s="1718"/>
    </row>
    <row r="1326">
      <c r="A1326" s="1721"/>
      <c r="C1326" s="1026"/>
      <c r="D1326" s="1714"/>
      <c r="E1326" s="1720"/>
      <c r="F1326" s="1720"/>
      <c r="G1326" s="1716"/>
      <c r="H1326" s="1715"/>
      <c r="I1326" s="1715"/>
      <c r="J1326" s="1717"/>
      <c r="K1326" s="1717"/>
      <c r="L1326" s="1717"/>
      <c r="M1326" s="1717"/>
      <c r="N1326" s="1718"/>
    </row>
    <row r="1327">
      <c r="A1327" s="1721"/>
      <c r="C1327" s="1026"/>
      <c r="D1327" s="1714"/>
      <c r="E1327" s="1720"/>
      <c r="F1327" s="1720"/>
      <c r="G1327" s="1716"/>
      <c r="H1327" s="1715"/>
      <c r="I1327" s="1715"/>
      <c r="J1327" s="1717"/>
      <c r="K1327" s="1717"/>
      <c r="L1327" s="1717"/>
      <c r="M1327" s="1717"/>
      <c r="N1327" s="1718"/>
    </row>
    <row r="1328">
      <c r="A1328" s="1721"/>
      <c r="C1328" s="1026"/>
      <c r="D1328" s="1714"/>
      <c r="E1328" s="1720"/>
      <c r="F1328" s="1720"/>
      <c r="G1328" s="1716"/>
      <c r="H1328" s="1715"/>
      <c r="I1328" s="1715"/>
      <c r="J1328" s="1717"/>
      <c r="K1328" s="1717"/>
      <c r="L1328" s="1717"/>
      <c r="M1328" s="1717"/>
      <c r="N1328" s="1718"/>
    </row>
    <row r="1329">
      <c r="A1329" s="1721"/>
      <c r="C1329" s="1026"/>
      <c r="D1329" s="1714"/>
      <c r="E1329" s="1720"/>
      <c r="F1329" s="1720"/>
      <c r="G1329" s="1716"/>
      <c r="H1329" s="1715"/>
      <c r="I1329" s="1715"/>
      <c r="J1329" s="1717"/>
      <c r="K1329" s="1717"/>
      <c r="L1329" s="1717"/>
      <c r="M1329" s="1717"/>
      <c r="N1329" s="1718"/>
    </row>
    <row r="1330">
      <c r="A1330" s="1721"/>
      <c r="C1330" s="1026"/>
      <c r="D1330" s="1714"/>
      <c r="E1330" s="1720"/>
      <c r="F1330" s="1720"/>
      <c r="G1330" s="1716"/>
      <c r="H1330" s="1715"/>
      <c r="I1330" s="1715"/>
      <c r="J1330" s="1717"/>
      <c r="K1330" s="1717"/>
      <c r="L1330" s="1717"/>
      <c r="M1330" s="1717"/>
      <c r="N1330" s="1718"/>
    </row>
    <row r="1331">
      <c r="A1331" s="1721"/>
      <c r="C1331" s="1026"/>
      <c r="D1331" s="1714"/>
      <c r="E1331" s="1720"/>
      <c r="F1331" s="1720"/>
      <c r="G1331" s="1716"/>
      <c r="H1331" s="1715"/>
      <c r="I1331" s="1715"/>
      <c r="J1331" s="1717"/>
      <c r="K1331" s="1717"/>
      <c r="L1331" s="1717"/>
      <c r="M1331" s="1717"/>
      <c r="N1331" s="1718"/>
    </row>
    <row r="1332">
      <c r="A1332" s="1721"/>
      <c r="C1332" s="1026"/>
      <c r="D1332" s="1714"/>
      <c r="E1332" s="1720"/>
      <c r="F1332" s="1720"/>
      <c r="G1332" s="1716"/>
      <c r="H1332" s="1715"/>
      <c r="I1332" s="1715"/>
      <c r="J1332" s="1717"/>
      <c r="K1332" s="1717"/>
      <c r="L1332" s="1717"/>
      <c r="M1332" s="1717"/>
      <c r="N1332" s="1718"/>
    </row>
    <row r="1333">
      <c r="A1333" s="1721"/>
      <c r="C1333" s="1026"/>
      <c r="D1333" s="1714"/>
      <c r="E1333" s="1720"/>
      <c r="F1333" s="1720"/>
      <c r="G1333" s="1716"/>
      <c r="H1333" s="1715"/>
      <c r="I1333" s="1715"/>
      <c r="J1333" s="1717"/>
      <c r="K1333" s="1717"/>
      <c r="L1333" s="1717"/>
      <c r="M1333" s="1717"/>
      <c r="N1333" s="1718"/>
    </row>
    <row r="1334">
      <c r="A1334" s="1721"/>
      <c r="C1334" s="1026"/>
      <c r="D1334" s="1714"/>
      <c r="E1334" s="1720"/>
      <c r="F1334" s="1720"/>
      <c r="G1334" s="1716"/>
      <c r="H1334" s="1715"/>
      <c r="I1334" s="1715"/>
      <c r="J1334" s="1717"/>
      <c r="K1334" s="1717"/>
      <c r="L1334" s="1717"/>
      <c r="M1334" s="1717"/>
      <c r="N1334" s="1718"/>
    </row>
    <row r="1335">
      <c r="A1335" s="1721"/>
      <c r="C1335" s="1026"/>
      <c r="D1335" s="1714"/>
      <c r="E1335" s="1720"/>
      <c r="F1335" s="1720"/>
      <c r="G1335" s="1716"/>
      <c r="H1335" s="1715"/>
      <c r="I1335" s="1715"/>
      <c r="J1335" s="1717"/>
      <c r="K1335" s="1717"/>
      <c r="L1335" s="1717"/>
      <c r="M1335" s="1717"/>
      <c r="N1335" s="1718"/>
    </row>
    <row r="1336">
      <c r="A1336" s="1721"/>
      <c r="C1336" s="1026"/>
      <c r="D1336" s="1714"/>
      <c r="E1336" s="1720"/>
      <c r="F1336" s="1720"/>
      <c r="G1336" s="1716"/>
      <c r="H1336" s="1715"/>
      <c r="I1336" s="1715"/>
      <c r="J1336" s="1717"/>
      <c r="K1336" s="1717"/>
      <c r="L1336" s="1717"/>
      <c r="M1336" s="1717"/>
      <c r="N1336" s="1718"/>
    </row>
    <row r="1337">
      <c r="A1337" s="1721"/>
      <c r="C1337" s="1026"/>
      <c r="D1337" s="1714"/>
      <c r="E1337" s="1720"/>
      <c r="F1337" s="1720"/>
      <c r="G1337" s="1716"/>
      <c r="H1337" s="1715"/>
      <c r="I1337" s="1715"/>
      <c r="J1337" s="1717"/>
      <c r="K1337" s="1717"/>
      <c r="L1337" s="1717"/>
      <c r="M1337" s="1717"/>
      <c r="N1337" s="1718"/>
    </row>
    <row r="1338">
      <c r="A1338" s="1721"/>
      <c r="C1338" s="1026"/>
      <c r="D1338" s="1714"/>
      <c r="E1338" s="1720"/>
      <c r="F1338" s="1720"/>
      <c r="G1338" s="1716"/>
      <c r="H1338" s="1715"/>
      <c r="I1338" s="1715"/>
      <c r="J1338" s="1717"/>
      <c r="K1338" s="1717"/>
      <c r="L1338" s="1717"/>
      <c r="M1338" s="1717"/>
      <c r="N1338" s="1718"/>
    </row>
    <row r="1339">
      <c r="A1339" s="1721"/>
      <c r="C1339" s="1026"/>
      <c r="D1339" s="1714"/>
      <c r="E1339" s="1720"/>
      <c r="F1339" s="1720"/>
      <c r="G1339" s="1716"/>
      <c r="H1339" s="1715"/>
      <c r="I1339" s="1715"/>
      <c r="J1339" s="1717"/>
      <c r="K1339" s="1717"/>
      <c r="L1339" s="1717"/>
      <c r="M1339" s="1717"/>
      <c r="N1339" s="1718"/>
    </row>
    <row r="1340">
      <c r="A1340" s="1721"/>
      <c r="C1340" s="1026"/>
      <c r="D1340" s="1714"/>
      <c r="E1340" s="1720"/>
      <c r="F1340" s="1720"/>
      <c r="G1340" s="1716"/>
      <c r="H1340" s="1715"/>
      <c r="I1340" s="1715"/>
      <c r="J1340" s="1717"/>
      <c r="K1340" s="1717"/>
      <c r="L1340" s="1717"/>
      <c r="M1340" s="1717"/>
      <c r="N1340" s="1718"/>
    </row>
    <row r="1341">
      <c r="A1341" s="1721"/>
      <c r="C1341" s="1026"/>
      <c r="D1341" s="1714"/>
      <c r="E1341" s="1720"/>
      <c r="F1341" s="1720"/>
      <c r="G1341" s="1716"/>
      <c r="H1341" s="1715"/>
      <c r="I1341" s="1715"/>
      <c r="J1341" s="1717"/>
      <c r="K1341" s="1717"/>
      <c r="L1341" s="1717"/>
      <c r="M1341" s="1717"/>
      <c r="N1341" s="1718"/>
    </row>
    <row r="1342">
      <c r="A1342" s="1721"/>
      <c r="C1342" s="1026"/>
      <c r="D1342" s="1714"/>
      <c r="E1342" s="1720"/>
      <c r="F1342" s="1720"/>
      <c r="G1342" s="1716"/>
      <c r="H1342" s="1715"/>
      <c r="I1342" s="1715"/>
      <c r="J1342" s="1717"/>
      <c r="K1342" s="1717"/>
      <c r="L1342" s="1717"/>
      <c r="M1342" s="1717"/>
      <c r="N1342" s="1718"/>
    </row>
    <row r="1343">
      <c r="A1343" s="1721"/>
      <c r="C1343" s="1026"/>
      <c r="D1343" s="1714"/>
      <c r="E1343" s="1720"/>
      <c r="F1343" s="1720"/>
      <c r="G1343" s="1716"/>
      <c r="H1343" s="1715"/>
      <c r="I1343" s="1715"/>
      <c r="J1343" s="1717"/>
      <c r="K1343" s="1717"/>
      <c r="L1343" s="1717"/>
      <c r="M1343" s="1717"/>
      <c r="N1343" s="1718"/>
    </row>
    <row r="1344">
      <c r="A1344" s="1721"/>
      <c r="C1344" s="1026"/>
      <c r="D1344" s="1714"/>
      <c r="E1344" s="1720"/>
      <c r="F1344" s="1720"/>
      <c r="G1344" s="1716"/>
      <c r="H1344" s="1715"/>
      <c r="I1344" s="1715"/>
      <c r="J1344" s="1717"/>
      <c r="K1344" s="1717"/>
      <c r="L1344" s="1717"/>
      <c r="M1344" s="1717"/>
      <c r="N1344" s="1718"/>
    </row>
    <row r="1345">
      <c r="A1345" s="1721"/>
      <c r="C1345" s="1026"/>
      <c r="D1345" s="1714"/>
      <c r="E1345" s="1720"/>
      <c r="F1345" s="1720"/>
      <c r="G1345" s="1716"/>
      <c r="H1345" s="1715"/>
      <c r="I1345" s="1715"/>
      <c r="J1345" s="1717"/>
      <c r="K1345" s="1717"/>
      <c r="L1345" s="1717"/>
      <c r="M1345" s="1717"/>
      <c r="N1345" s="1718"/>
    </row>
    <row r="1346">
      <c r="A1346" s="1721"/>
      <c r="C1346" s="1026"/>
      <c r="D1346" s="1714"/>
      <c r="E1346" s="1720"/>
      <c r="F1346" s="1720"/>
      <c r="G1346" s="1716"/>
      <c r="H1346" s="1715"/>
      <c r="I1346" s="1715"/>
      <c r="J1346" s="1717"/>
      <c r="K1346" s="1717"/>
      <c r="L1346" s="1717"/>
      <c r="M1346" s="1717"/>
      <c r="N1346" s="1718"/>
    </row>
    <row r="1347">
      <c r="A1347" s="1721"/>
      <c r="C1347" s="1026"/>
      <c r="D1347" s="1714"/>
      <c r="E1347" s="1720"/>
      <c r="F1347" s="1720"/>
      <c r="G1347" s="1716"/>
      <c r="H1347" s="1715"/>
      <c r="I1347" s="1715"/>
      <c r="J1347" s="1717"/>
      <c r="K1347" s="1717"/>
      <c r="L1347" s="1717"/>
      <c r="M1347" s="1717"/>
      <c r="N1347" s="1718"/>
    </row>
    <row r="1348">
      <c r="A1348" s="1721"/>
      <c r="C1348" s="1026"/>
      <c r="D1348" s="1714"/>
      <c r="E1348" s="1720"/>
      <c r="F1348" s="1720"/>
      <c r="G1348" s="1716"/>
      <c r="H1348" s="1715"/>
      <c r="I1348" s="1715"/>
      <c r="J1348" s="1717"/>
      <c r="K1348" s="1717"/>
      <c r="L1348" s="1717"/>
      <c r="M1348" s="1717"/>
      <c r="N1348" s="1718"/>
    </row>
    <row r="1349">
      <c r="A1349" s="1721"/>
      <c r="C1349" s="1026"/>
      <c r="D1349" s="1714"/>
      <c r="E1349" s="1720"/>
      <c r="F1349" s="1720"/>
      <c r="G1349" s="1716"/>
      <c r="H1349" s="1715"/>
      <c r="I1349" s="1715"/>
      <c r="J1349" s="1717"/>
      <c r="K1349" s="1717"/>
      <c r="L1349" s="1717"/>
      <c r="M1349" s="1717"/>
      <c r="N1349" s="1718"/>
    </row>
    <row r="1350">
      <c r="A1350" s="1721"/>
      <c r="C1350" s="1026"/>
      <c r="D1350" s="1714"/>
      <c r="E1350" s="1720"/>
      <c r="F1350" s="1720"/>
      <c r="G1350" s="1716"/>
      <c r="H1350" s="1715"/>
      <c r="I1350" s="1715"/>
      <c r="J1350" s="1717"/>
      <c r="K1350" s="1717"/>
      <c r="L1350" s="1717"/>
      <c r="M1350" s="1717"/>
      <c r="N1350" s="1718"/>
    </row>
    <row r="1351">
      <c r="A1351" s="1721"/>
      <c r="C1351" s="1026"/>
      <c r="D1351" s="1714"/>
      <c r="E1351" s="1720"/>
      <c r="F1351" s="1720"/>
      <c r="G1351" s="1716"/>
      <c r="H1351" s="1715"/>
      <c r="I1351" s="1715"/>
      <c r="J1351" s="1717"/>
      <c r="K1351" s="1717"/>
      <c r="L1351" s="1717"/>
      <c r="M1351" s="1717"/>
      <c r="N1351" s="1718"/>
    </row>
    <row r="1352">
      <c r="A1352" s="1721"/>
      <c r="C1352" s="1026"/>
      <c r="D1352" s="1714"/>
      <c r="E1352" s="1720"/>
      <c r="F1352" s="1720"/>
      <c r="G1352" s="1716"/>
      <c r="H1352" s="1715"/>
      <c r="I1352" s="1715"/>
      <c r="J1352" s="1717"/>
      <c r="K1352" s="1717"/>
      <c r="L1352" s="1717"/>
      <c r="M1352" s="1717"/>
      <c r="N1352" s="1718"/>
    </row>
    <row r="1353">
      <c r="A1353" s="1721"/>
      <c r="C1353" s="1026"/>
      <c r="D1353" s="1714"/>
      <c r="E1353" s="1720"/>
      <c r="F1353" s="1720"/>
      <c r="G1353" s="1716"/>
      <c r="H1353" s="1715"/>
      <c r="I1353" s="1715"/>
      <c r="J1353" s="1717"/>
      <c r="K1353" s="1717"/>
      <c r="L1353" s="1717"/>
      <c r="M1353" s="1717"/>
      <c r="N1353" s="1718"/>
    </row>
    <row r="1354">
      <c r="A1354" s="1721"/>
      <c r="C1354" s="1026"/>
      <c r="D1354" s="1714"/>
      <c r="E1354" s="1720"/>
      <c r="F1354" s="1720"/>
      <c r="G1354" s="1716"/>
      <c r="H1354" s="1715"/>
      <c r="I1354" s="1715"/>
      <c r="J1354" s="1717"/>
      <c r="K1354" s="1717"/>
      <c r="L1354" s="1717"/>
      <c r="M1354" s="1717"/>
      <c r="N1354" s="1718"/>
    </row>
    <row r="1355">
      <c r="A1355" s="1721"/>
      <c r="C1355" s="1026"/>
      <c r="D1355" s="1714"/>
      <c r="E1355" s="1720"/>
      <c r="F1355" s="1720"/>
      <c r="G1355" s="1716"/>
      <c r="H1355" s="1715"/>
      <c r="I1355" s="1715"/>
      <c r="J1355" s="1717"/>
      <c r="K1355" s="1717"/>
      <c r="L1355" s="1717"/>
      <c r="M1355" s="1717"/>
      <c r="N1355" s="1718"/>
    </row>
    <row r="1356">
      <c r="A1356" s="1721"/>
      <c r="C1356" s="1026"/>
      <c r="D1356" s="1714"/>
      <c r="E1356" s="1720"/>
      <c r="F1356" s="1720"/>
      <c r="G1356" s="1716"/>
      <c r="H1356" s="1715"/>
      <c r="I1356" s="1715"/>
      <c r="J1356" s="1717"/>
      <c r="K1356" s="1717"/>
      <c r="L1356" s="1717"/>
      <c r="M1356" s="1717"/>
      <c r="N1356" s="1718"/>
    </row>
    <row r="1357">
      <c r="A1357" s="1721"/>
      <c r="C1357" s="1026"/>
      <c r="D1357" s="1714"/>
      <c r="E1357" s="1720"/>
      <c r="F1357" s="1720"/>
      <c r="G1357" s="1716"/>
      <c r="H1357" s="1715"/>
      <c r="I1357" s="1715"/>
      <c r="J1357" s="1717"/>
      <c r="K1357" s="1717"/>
      <c r="L1357" s="1717"/>
      <c r="M1357" s="1717"/>
      <c r="N1357" s="1718"/>
    </row>
    <row r="1358">
      <c r="A1358" s="1721"/>
      <c r="C1358" s="1026"/>
      <c r="D1358" s="1714"/>
      <c r="E1358" s="1720"/>
      <c r="F1358" s="1720"/>
      <c r="G1358" s="1716"/>
      <c r="H1358" s="1715"/>
      <c r="I1358" s="1715"/>
      <c r="J1358" s="1717"/>
      <c r="K1358" s="1717"/>
      <c r="L1358" s="1717"/>
      <c r="M1358" s="1717"/>
      <c r="N1358" s="1718"/>
    </row>
    <row r="1359">
      <c r="A1359" s="1721"/>
      <c r="C1359" s="1026"/>
      <c r="D1359" s="1714"/>
      <c r="E1359" s="1720"/>
      <c r="F1359" s="1720"/>
      <c r="G1359" s="1716"/>
      <c r="H1359" s="1715"/>
      <c r="I1359" s="1715"/>
      <c r="J1359" s="1717"/>
      <c r="K1359" s="1717"/>
      <c r="L1359" s="1717"/>
      <c r="M1359" s="1717"/>
      <c r="N1359" s="1718"/>
    </row>
    <row r="1360">
      <c r="A1360" s="1721"/>
      <c r="C1360" s="1026"/>
      <c r="D1360" s="1714"/>
      <c r="E1360" s="1720"/>
      <c r="F1360" s="1720"/>
      <c r="G1360" s="1716"/>
      <c r="H1360" s="1715"/>
      <c r="I1360" s="1715"/>
      <c r="J1360" s="1717"/>
      <c r="K1360" s="1717"/>
      <c r="L1360" s="1717"/>
      <c r="M1360" s="1717"/>
      <c r="N1360" s="1718"/>
    </row>
    <row r="1361">
      <c r="A1361" s="1721"/>
      <c r="C1361" s="1026"/>
      <c r="D1361" s="1714"/>
      <c r="E1361" s="1720"/>
      <c r="F1361" s="1720"/>
      <c r="G1361" s="1716"/>
      <c r="H1361" s="1715"/>
      <c r="I1361" s="1715"/>
      <c r="J1361" s="1717"/>
      <c r="K1361" s="1717"/>
      <c r="L1361" s="1717"/>
      <c r="M1361" s="1717"/>
      <c r="N1361" s="1718"/>
    </row>
    <row r="1362">
      <c r="A1362" s="1721"/>
      <c r="C1362" s="1026"/>
      <c r="D1362" s="1714"/>
      <c r="E1362" s="1720"/>
      <c r="F1362" s="1720"/>
      <c r="G1362" s="1716"/>
      <c r="H1362" s="1715"/>
      <c r="I1362" s="1715"/>
      <c r="J1362" s="1717"/>
      <c r="K1362" s="1717"/>
      <c r="L1362" s="1717"/>
      <c r="M1362" s="1717"/>
      <c r="N1362" s="1718"/>
    </row>
    <row r="1363">
      <c r="A1363" s="1721"/>
      <c r="C1363" s="1026"/>
      <c r="D1363" s="1714"/>
      <c r="E1363" s="1720"/>
      <c r="F1363" s="1720"/>
      <c r="G1363" s="1716"/>
      <c r="H1363" s="1715"/>
      <c r="I1363" s="1715"/>
      <c r="J1363" s="1717"/>
      <c r="K1363" s="1717"/>
      <c r="L1363" s="1717"/>
      <c r="M1363" s="1717"/>
      <c r="N1363" s="1718"/>
    </row>
    <row r="1364">
      <c r="A1364" s="1721"/>
      <c r="C1364" s="1026"/>
      <c r="D1364" s="1714"/>
      <c r="E1364" s="1720"/>
      <c r="F1364" s="1720"/>
      <c r="G1364" s="1716"/>
      <c r="H1364" s="1715"/>
      <c r="I1364" s="1715"/>
      <c r="J1364" s="1717"/>
      <c r="K1364" s="1717"/>
      <c r="L1364" s="1717"/>
      <c r="M1364" s="1717"/>
      <c r="N1364" s="1718"/>
    </row>
    <row r="1365">
      <c r="A1365" s="1721"/>
      <c r="C1365" s="1026"/>
      <c r="D1365" s="1714"/>
      <c r="E1365" s="1720"/>
      <c r="F1365" s="1720"/>
      <c r="G1365" s="1716"/>
      <c r="H1365" s="1715"/>
      <c r="I1365" s="1715"/>
      <c r="J1365" s="1717"/>
      <c r="K1365" s="1717"/>
      <c r="L1365" s="1717"/>
      <c r="M1365" s="1717"/>
      <c r="N1365" s="1718"/>
    </row>
    <row r="1366">
      <c r="A1366" s="1721"/>
      <c r="C1366" s="1026"/>
      <c r="D1366" s="1714"/>
      <c r="E1366" s="1720"/>
      <c r="F1366" s="1720"/>
      <c r="G1366" s="1716"/>
      <c r="H1366" s="1715"/>
      <c r="I1366" s="1715"/>
      <c r="J1366" s="1717"/>
      <c r="K1366" s="1717"/>
      <c r="L1366" s="1717"/>
      <c r="M1366" s="1717"/>
      <c r="N1366" s="1718"/>
    </row>
    <row r="1367">
      <c r="A1367" s="1721"/>
      <c r="C1367" s="1026"/>
      <c r="D1367" s="1714"/>
      <c r="E1367" s="1720"/>
      <c r="F1367" s="1720"/>
      <c r="G1367" s="1716"/>
      <c r="H1367" s="1715"/>
      <c r="I1367" s="1715"/>
      <c r="J1367" s="1717"/>
      <c r="K1367" s="1717"/>
      <c r="L1367" s="1717"/>
      <c r="M1367" s="1717"/>
      <c r="N1367" s="1718"/>
    </row>
    <row r="1368">
      <c r="A1368" s="1721"/>
      <c r="C1368" s="1026"/>
      <c r="D1368" s="1714"/>
      <c r="E1368" s="1720"/>
      <c r="F1368" s="1720"/>
      <c r="G1368" s="1716"/>
      <c r="H1368" s="1715"/>
      <c r="I1368" s="1715"/>
      <c r="J1368" s="1717"/>
      <c r="K1368" s="1717"/>
      <c r="L1368" s="1717"/>
      <c r="M1368" s="1717"/>
      <c r="N1368" s="1718"/>
    </row>
    <row r="1369">
      <c r="A1369" s="1721"/>
      <c r="C1369" s="1026"/>
      <c r="D1369" s="1714"/>
      <c r="E1369" s="1720"/>
      <c r="F1369" s="1720"/>
      <c r="G1369" s="1716"/>
      <c r="H1369" s="1715"/>
      <c r="I1369" s="1715"/>
      <c r="J1369" s="1717"/>
      <c r="K1369" s="1717"/>
      <c r="L1369" s="1717"/>
      <c r="M1369" s="1717"/>
      <c r="N1369" s="1718"/>
    </row>
    <row r="1370">
      <c r="A1370" s="1721"/>
      <c r="C1370" s="1026"/>
      <c r="D1370" s="1714"/>
      <c r="E1370" s="1720"/>
      <c r="F1370" s="1720"/>
      <c r="G1370" s="1716"/>
      <c r="H1370" s="1715"/>
      <c r="I1370" s="1715"/>
      <c r="J1370" s="1717"/>
      <c r="K1370" s="1717"/>
      <c r="L1370" s="1717"/>
      <c r="M1370" s="1717"/>
      <c r="N1370" s="1718"/>
    </row>
    <row r="1371">
      <c r="A1371" s="1721"/>
      <c r="C1371" s="1026"/>
      <c r="D1371" s="1714"/>
      <c r="E1371" s="1720"/>
      <c r="F1371" s="1720"/>
      <c r="G1371" s="1716"/>
      <c r="H1371" s="1715"/>
      <c r="I1371" s="1715"/>
      <c r="J1371" s="1717"/>
      <c r="K1371" s="1717"/>
      <c r="L1371" s="1717"/>
      <c r="M1371" s="1717"/>
      <c r="N1371" s="1718"/>
    </row>
    <row r="1372">
      <c r="A1372" s="1721"/>
      <c r="C1372" s="1026"/>
      <c r="D1372" s="1714"/>
      <c r="E1372" s="1720"/>
      <c r="F1372" s="1720"/>
      <c r="G1372" s="1716"/>
      <c r="H1372" s="1715"/>
      <c r="I1372" s="1715"/>
      <c r="J1372" s="1717"/>
      <c r="K1372" s="1717"/>
      <c r="L1372" s="1717"/>
      <c r="M1372" s="1717"/>
      <c r="N1372" s="1718"/>
    </row>
    <row r="1373">
      <c r="A1373" s="1721"/>
      <c r="C1373" s="1026"/>
      <c r="D1373" s="1714"/>
      <c r="E1373" s="1720"/>
      <c r="F1373" s="1720"/>
      <c r="G1373" s="1716"/>
      <c r="H1373" s="1715"/>
      <c r="I1373" s="1715"/>
      <c r="J1373" s="1717"/>
      <c r="K1373" s="1717"/>
      <c r="L1373" s="1717"/>
      <c r="M1373" s="1717"/>
      <c r="N1373" s="1718"/>
    </row>
    <row r="1374">
      <c r="A1374" s="1721"/>
      <c r="C1374" s="1026"/>
      <c r="D1374" s="1714"/>
      <c r="E1374" s="1720"/>
      <c r="F1374" s="1720"/>
      <c r="G1374" s="1716"/>
      <c r="H1374" s="1715"/>
      <c r="I1374" s="1715"/>
      <c r="J1374" s="1717"/>
      <c r="K1374" s="1717"/>
      <c r="L1374" s="1717"/>
      <c r="M1374" s="1717"/>
      <c r="N1374" s="1718"/>
    </row>
    <row r="1375">
      <c r="A1375" s="1721"/>
      <c r="C1375" s="1026"/>
      <c r="D1375" s="1714"/>
      <c r="E1375" s="1720"/>
      <c r="F1375" s="1720"/>
      <c r="G1375" s="1716"/>
      <c r="H1375" s="1715"/>
      <c r="I1375" s="1715"/>
      <c r="J1375" s="1717"/>
      <c r="K1375" s="1717"/>
      <c r="L1375" s="1717"/>
      <c r="M1375" s="1717"/>
      <c r="N1375" s="1718"/>
    </row>
    <row r="1376">
      <c r="A1376" s="1721"/>
      <c r="C1376" s="1026"/>
      <c r="D1376" s="1714"/>
      <c r="E1376" s="1720"/>
      <c r="F1376" s="1720"/>
      <c r="G1376" s="1716"/>
      <c r="H1376" s="1715"/>
      <c r="I1376" s="1715"/>
      <c r="J1376" s="1717"/>
      <c r="K1376" s="1717"/>
      <c r="L1376" s="1717"/>
      <c r="M1376" s="1717"/>
      <c r="N1376" s="1718"/>
    </row>
    <row r="1377">
      <c r="A1377" s="1721"/>
      <c r="C1377" s="1026"/>
      <c r="D1377" s="1714"/>
      <c r="E1377" s="1720"/>
      <c r="F1377" s="1720"/>
      <c r="G1377" s="1716"/>
      <c r="H1377" s="1715"/>
      <c r="I1377" s="1715"/>
      <c r="J1377" s="1717"/>
      <c r="K1377" s="1717"/>
      <c r="L1377" s="1717"/>
      <c r="M1377" s="1717"/>
      <c r="N1377" s="1718"/>
    </row>
    <row r="1378">
      <c r="A1378" s="1721"/>
      <c r="C1378" s="1026"/>
      <c r="D1378" s="1714"/>
      <c r="E1378" s="1720"/>
      <c r="F1378" s="1720"/>
      <c r="G1378" s="1716"/>
      <c r="H1378" s="1715"/>
      <c r="I1378" s="1715"/>
      <c r="J1378" s="1717"/>
      <c r="K1378" s="1717"/>
      <c r="L1378" s="1717"/>
      <c r="M1378" s="1717"/>
      <c r="N1378" s="1718"/>
    </row>
    <row r="1379">
      <c r="A1379" s="1721"/>
      <c r="C1379" s="1026"/>
      <c r="D1379" s="1714"/>
      <c r="E1379" s="1720"/>
      <c r="F1379" s="1720"/>
      <c r="G1379" s="1716"/>
      <c r="H1379" s="1715"/>
      <c r="I1379" s="1715"/>
      <c r="J1379" s="1717"/>
      <c r="K1379" s="1717"/>
      <c r="L1379" s="1717"/>
      <c r="M1379" s="1717"/>
      <c r="N1379" s="1718"/>
    </row>
    <row r="1380">
      <c r="A1380" s="1721"/>
      <c r="C1380" s="1026"/>
      <c r="D1380" s="1714"/>
      <c r="E1380" s="1720"/>
      <c r="F1380" s="1720"/>
      <c r="G1380" s="1716"/>
      <c r="H1380" s="1715"/>
      <c r="I1380" s="1715"/>
      <c r="J1380" s="1717"/>
      <c r="K1380" s="1717"/>
      <c r="L1380" s="1717"/>
      <c r="M1380" s="1717"/>
      <c r="N1380" s="1718"/>
    </row>
    <row r="1381">
      <c r="A1381" s="1721"/>
      <c r="C1381" s="1026"/>
      <c r="D1381" s="1714"/>
      <c r="E1381" s="1720"/>
      <c r="F1381" s="1720"/>
      <c r="G1381" s="1716"/>
      <c r="H1381" s="1715"/>
      <c r="I1381" s="1715"/>
      <c r="J1381" s="1717"/>
      <c r="K1381" s="1717"/>
      <c r="L1381" s="1717"/>
      <c r="M1381" s="1717"/>
      <c r="N1381" s="1718"/>
    </row>
    <row r="1382">
      <c r="A1382" s="1721"/>
      <c r="C1382" s="1026"/>
      <c r="D1382" s="1714"/>
      <c r="E1382" s="1720"/>
      <c r="F1382" s="1720"/>
      <c r="G1382" s="1716"/>
      <c r="H1382" s="1715"/>
      <c r="I1382" s="1715"/>
      <c r="J1382" s="1717"/>
      <c r="K1382" s="1717"/>
      <c r="L1382" s="1717"/>
      <c r="M1382" s="1717"/>
      <c r="N1382" s="1718"/>
    </row>
    <row r="1383">
      <c r="A1383" s="1721"/>
      <c r="C1383" s="1026"/>
      <c r="D1383" s="1714"/>
      <c r="E1383" s="1720"/>
      <c r="F1383" s="1720"/>
      <c r="G1383" s="1716"/>
      <c r="H1383" s="1715"/>
      <c r="I1383" s="1715"/>
      <c r="J1383" s="1717"/>
      <c r="K1383" s="1717"/>
      <c r="L1383" s="1717"/>
      <c r="M1383" s="1717"/>
      <c r="N1383" s="1718"/>
    </row>
    <row r="1384">
      <c r="A1384" s="1721"/>
      <c r="C1384" s="1026"/>
      <c r="D1384" s="1714"/>
      <c r="E1384" s="1720"/>
      <c r="F1384" s="1720"/>
      <c r="G1384" s="1716"/>
      <c r="H1384" s="1715"/>
      <c r="I1384" s="1715"/>
      <c r="J1384" s="1717"/>
      <c r="K1384" s="1717"/>
      <c r="L1384" s="1717"/>
      <c r="M1384" s="1717"/>
      <c r="N1384" s="1718"/>
    </row>
    <row r="1385">
      <c r="A1385" s="1721"/>
      <c r="C1385" s="1026"/>
      <c r="D1385" s="1714"/>
      <c r="E1385" s="1720"/>
      <c r="F1385" s="1720"/>
      <c r="G1385" s="1716"/>
      <c r="H1385" s="1715"/>
      <c r="I1385" s="1715"/>
      <c r="J1385" s="1717"/>
      <c r="K1385" s="1717"/>
      <c r="L1385" s="1717"/>
      <c r="M1385" s="1717"/>
      <c r="N1385" s="1718"/>
    </row>
    <row r="1386">
      <c r="A1386" s="1721"/>
      <c r="C1386" s="1026"/>
      <c r="D1386" s="1714"/>
      <c r="E1386" s="1720"/>
      <c r="F1386" s="1720"/>
      <c r="G1386" s="1716"/>
      <c r="H1386" s="1715"/>
      <c r="I1386" s="1715"/>
      <c r="J1386" s="1717"/>
      <c r="K1386" s="1717"/>
      <c r="L1386" s="1717"/>
      <c r="M1386" s="1717"/>
      <c r="N1386" s="1718"/>
    </row>
    <row r="1387">
      <c r="A1387" s="1721"/>
      <c r="C1387" s="1026"/>
      <c r="D1387" s="1714"/>
      <c r="E1387" s="1720"/>
      <c r="F1387" s="1720"/>
      <c r="G1387" s="1716"/>
      <c r="H1387" s="1715"/>
      <c r="I1387" s="1715"/>
      <c r="J1387" s="1717"/>
      <c r="K1387" s="1717"/>
      <c r="L1387" s="1717"/>
      <c r="M1387" s="1717"/>
      <c r="N1387" s="1718"/>
    </row>
    <row r="1388">
      <c r="A1388" s="1721"/>
      <c r="C1388" s="1026"/>
      <c r="D1388" s="1714"/>
      <c r="E1388" s="1720"/>
      <c r="F1388" s="1720"/>
      <c r="G1388" s="1716"/>
      <c r="H1388" s="1715"/>
      <c r="I1388" s="1715"/>
      <c r="J1388" s="1717"/>
      <c r="K1388" s="1717"/>
      <c r="L1388" s="1717"/>
      <c r="M1388" s="1717"/>
      <c r="N1388" s="1718"/>
    </row>
    <row r="1389">
      <c r="A1389" s="1721"/>
      <c r="C1389" s="1026"/>
      <c r="D1389" s="1714"/>
      <c r="E1389" s="1720"/>
      <c r="F1389" s="1720"/>
      <c r="G1389" s="1716"/>
      <c r="H1389" s="1715"/>
      <c r="I1389" s="1715"/>
      <c r="J1389" s="1717"/>
      <c r="K1389" s="1717"/>
      <c r="L1389" s="1717"/>
      <c r="M1389" s="1717"/>
      <c r="N1389" s="1718"/>
    </row>
    <row r="1390">
      <c r="A1390" s="1721"/>
      <c r="C1390" s="1026"/>
      <c r="D1390" s="1714"/>
      <c r="E1390" s="1720"/>
      <c r="F1390" s="1720"/>
      <c r="G1390" s="1716"/>
      <c r="H1390" s="1715"/>
      <c r="I1390" s="1715"/>
      <c r="J1390" s="1717"/>
      <c r="K1390" s="1717"/>
      <c r="L1390" s="1717"/>
      <c r="M1390" s="1717"/>
      <c r="N1390" s="1718"/>
    </row>
    <row r="1391">
      <c r="A1391" s="1721"/>
      <c r="C1391" s="1026"/>
      <c r="D1391" s="1714"/>
      <c r="E1391" s="1720"/>
      <c r="F1391" s="1720"/>
      <c r="G1391" s="1716"/>
      <c r="H1391" s="1715"/>
      <c r="I1391" s="1715"/>
      <c r="J1391" s="1717"/>
      <c r="K1391" s="1717"/>
      <c r="L1391" s="1717"/>
      <c r="M1391" s="1717"/>
      <c r="N1391" s="1718"/>
    </row>
    <row r="1392">
      <c r="A1392" s="1721"/>
      <c r="C1392" s="1026"/>
      <c r="D1392" s="1714"/>
      <c r="E1392" s="1720"/>
      <c r="F1392" s="1720"/>
      <c r="G1392" s="1716"/>
      <c r="H1392" s="1715"/>
      <c r="I1392" s="1715"/>
      <c r="J1392" s="1717"/>
      <c r="K1392" s="1717"/>
      <c r="L1392" s="1717"/>
      <c r="M1392" s="1717"/>
      <c r="N1392" s="1718"/>
    </row>
    <row r="1393">
      <c r="A1393" s="1721"/>
      <c r="C1393" s="1026"/>
      <c r="D1393" s="1714"/>
      <c r="E1393" s="1720"/>
      <c r="F1393" s="1720"/>
      <c r="G1393" s="1716"/>
      <c r="H1393" s="1715"/>
      <c r="I1393" s="1715"/>
      <c r="J1393" s="1717"/>
      <c r="K1393" s="1717"/>
      <c r="L1393" s="1717"/>
      <c r="M1393" s="1717"/>
      <c r="N1393" s="1718"/>
    </row>
    <row r="1394">
      <c r="A1394" s="1721"/>
      <c r="C1394" s="1026"/>
      <c r="D1394" s="1714"/>
      <c r="E1394" s="1720"/>
      <c r="F1394" s="1720"/>
      <c r="G1394" s="1716"/>
      <c r="H1394" s="1715"/>
      <c r="I1394" s="1715"/>
      <c r="J1394" s="1717"/>
      <c r="K1394" s="1717"/>
      <c r="L1394" s="1717"/>
      <c r="M1394" s="1717"/>
      <c r="N1394" s="1718"/>
    </row>
    <row r="1395">
      <c r="A1395" s="1721"/>
      <c r="C1395" s="1026"/>
      <c r="D1395" s="1714"/>
      <c r="E1395" s="1720"/>
      <c r="F1395" s="1720"/>
      <c r="G1395" s="1716"/>
      <c r="H1395" s="1715"/>
      <c r="I1395" s="1715"/>
      <c r="J1395" s="1717"/>
      <c r="K1395" s="1717"/>
      <c r="L1395" s="1717"/>
      <c r="M1395" s="1717"/>
      <c r="N1395" s="1718"/>
    </row>
    <row r="1396">
      <c r="A1396" s="1721"/>
      <c r="C1396" s="1026"/>
      <c r="D1396" s="1714"/>
      <c r="E1396" s="1720"/>
      <c r="F1396" s="1720"/>
      <c r="G1396" s="1716"/>
      <c r="H1396" s="1715"/>
      <c r="I1396" s="1715"/>
      <c r="J1396" s="1717"/>
      <c r="K1396" s="1717"/>
      <c r="L1396" s="1717"/>
      <c r="M1396" s="1717"/>
      <c r="N1396" s="1718"/>
    </row>
    <row r="1397">
      <c r="A1397" s="1721"/>
      <c r="C1397" s="1026"/>
      <c r="D1397" s="1714"/>
      <c r="E1397" s="1720"/>
      <c r="F1397" s="1720"/>
      <c r="G1397" s="1716"/>
      <c r="H1397" s="1715"/>
      <c r="I1397" s="1715"/>
      <c r="J1397" s="1717"/>
      <c r="K1397" s="1717"/>
      <c r="L1397" s="1717"/>
      <c r="M1397" s="1717"/>
      <c r="N1397" s="1718"/>
    </row>
    <row r="1398">
      <c r="A1398" s="1721"/>
      <c r="C1398" s="1026"/>
      <c r="D1398" s="1714"/>
      <c r="E1398" s="1720"/>
      <c r="F1398" s="1720"/>
      <c r="G1398" s="1716"/>
      <c r="H1398" s="1715"/>
      <c r="I1398" s="1715"/>
      <c r="J1398" s="1717"/>
      <c r="K1398" s="1717"/>
      <c r="L1398" s="1717"/>
      <c r="M1398" s="1717"/>
      <c r="N1398" s="1718"/>
    </row>
    <row r="1399">
      <c r="A1399" s="1721"/>
      <c r="C1399" s="1026"/>
      <c r="D1399" s="1714"/>
      <c r="E1399" s="1720"/>
      <c r="F1399" s="1720"/>
      <c r="G1399" s="1716"/>
      <c r="H1399" s="1715"/>
      <c r="I1399" s="1715"/>
      <c r="J1399" s="1717"/>
      <c r="K1399" s="1717"/>
      <c r="L1399" s="1717"/>
      <c r="M1399" s="1717"/>
      <c r="N1399" s="1718"/>
    </row>
    <row r="1400">
      <c r="A1400" s="1721"/>
      <c r="C1400" s="1026"/>
      <c r="D1400" s="1714"/>
      <c r="E1400" s="1720"/>
      <c r="F1400" s="1720"/>
      <c r="G1400" s="1716"/>
      <c r="H1400" s="1715"/>
      <c r="I1400" s="1715"/>
      <c r="J1400" s="1717"/>
      <c r="K1400" s="1717"/>
      <c r="L1400" s="1717"/>
      <c r="M1400" s="1717"/>
      <c r="N1400" s="1718"/>
    </row>
    <row r="1401">
      <c r="A1401" s="1721"/>
      <c r="C1401" s="1026"/>
      <c r="D1401" s="1714"/>
      <c r="E1401" s="1720"/>
      <c r="F1401" s="1720"/>
      <c r="G1401" s="1716"/>
      <c r="H1401" s="1715"/>
      <c r="I1401" s="1715"/>
      <c r="J1401" s="1717"/>
      <c r="K1401" s="1717"/>
      <c r="L1401" s="1717"/>
      <c r="M1401" s="1717"/>
      <c r="N1401" s="1718"/>
    </row>
    <row r="1402">
      <c r="A1402" s="1721"/>
      <c r="C1402" s="1026"/>
      <c r="D1402" s="1714"/>
      <c r="E1402" s="1720"/>
      <c r="F1402" s="1720"/>
      <c r="G1402" s="1716"/>
      <c r="H1402" s="1715"/>
      <c r="I1402" s="1715"/>
      <c r="J1402" s="1717"/>
      <c r="K1402" s="1717"/>
      <c r="L1402" s="1717"/>
      <c r="M1402" s="1717"/>
      <c r="N1402" s="1718"/>
    </row>
    <row r="1403">
      <c r="A1403" s="1721"/>
      <c r="C1403" s="1026"/>
      <c r="D1403" s="1714"/>
      <c r="E1403" s="1720"/>
      <c r="F1403" s="1720"/>
      <c r="G1403" s="1716"/>
      <c r="H1403" s="1715"/>
      <c r="I1403" s="1715"/>
      <c r="J1403" s="1717"/>
      <c r="K1403" s="1717"/>
      <c r="L1403" s="1717"/>
      <c r="M1403" s="1717"/>
      <c r="N1403" s="1718"/>
    </row>
    <row r="1404">
      <c r="A1404" s="1721"/>
      <c r="C1404" s="1026"/>
      <c r="D1404" s="1714"/>
      <c r="E1404" s="1720"/>
      <c r="F1404" s="1720"/>
      <c r="G1404" s="1716"/>
      <c r="H1404" s="1715"/>
      <c r="I1404" s="1715"/>
      <c r="J1404" s="1717"/>
      <c r="K1404" s="1717"/>
      <c r="L1404" s="1717"/>
      <c r="M1404" s="1717"/>
      <c r="N1404" s="1718"/>
    </row>
    <row r="1405">
      <c r="A1405" s="1721"/>
      <c r="C1405" s="1026"/>
      <c r="D1405" s="1714"/>
      <c r="E1405" s="1720"/>
      <c r="F1405" s="1720"/>
      <c r="G1405" s="1716"/>
      <c r="H1405" s="1715"/>
      <c r="I1405" s="1715"/>
      <c r="J1405" s="1717"/>
      <c r="K1405" s="1717"/>
      <c r="L1405" s="1717"/>
      <c r="M1405" s="1717"/>
      <c r="N1405" s="1718"/>
    </row>
    <row r="1406">
      <c r="A1406" s="1721"/>
      <c r="C1406" s="1026"/>
      <c r="D1406" s="1714"/>
      <c r="E1406" s="1720"/>
      <c r="F1406" s="1720"/>
      <c r="G1406" s="1716"/>
      <c r="H1406" s="1715"/>
      <c r="I1406" s="1715"/>
      <c r="J1406" s="1717"/>
      <c r="K1406" s="1717"/>
      <c r="L1406" s="1717"/>
      <c r="M1406" s="1717"/>
      <c r="N1406" s="1718"/>
    </row>
    <row r="1407">
      <c r="A1407" s="1721"/>
      <c r="C1407" s="1026"/>
      <c r="D1407" s="1714"/>
      <c r="E1407" s="1720"/>
      <c r="F1407" s="1720"/>
      <c r="G1407" s="1716"/>
      <c r="H1407" s="1715"/>
      <c r="I1407" s="1715"/>
      <c r="J1407" s="1717"/>
      <c r="K1407" s="1717"/>
      <c r="L1407" s="1717"/>
      <c r="M1407" s="1717"/>
      <c r="N1407" s="1718"/>
    </row>
    <row r="1408">
      <c r="A1408" s="1721"/>
      <c r="C1408" s="1026"/>
      <c r="D1408" s="1714"/>
      <c r="E1408" s="1720"/>
      <c r="F1408" s="1720"/>
      <c r="G1408" s="1716"/>
      <c r="H1408" s="1715"/>
      <c r="I1408" s="1715"/>
      <c r="J1408" s="1717"/>
      <c r="K1408" s="1717"/>
      <c r="L1408" s="1717"/>
      <c r="M1408" s="1717"/>
      <c r="N1408" s="1718"/>
    </row>
    <row r="1409">
      <c r="A1409" s="1721"/>
      <c r="C1409" s="1026"/>
      <c r="D1409" s="1714"/>
      <c r="E1409" s="1720"/>
      <c r="F1409" s="1720"/>
      <c r="G1409" s="1716"/>
      <c r="H1409" s="1715"/>
      <c r="I1409" s="1715"/>
      <c r="J1409" s="1717"/>
      <c r="K1409" s="1717"/>
      <c r="L1409" s="1717"/>
      <c r="M1409" s="1717"/>
      <c r="N1409" s="1718"/>
    </row>
    <row r="1410">
      <c r="A1410" s="1721"/>
      <c r="C1410" s="1026"/>
      <c r="D1410" s="1714"/>
      <c r="E1410" s="1720"/>
      <c r="F1410" s="1720"/>
      <c r="G1410" s="1716"/>
      <c r="H1410" s="1715"/>
      <c r="I1410" s="1715"/>
      <c r="J1410" s="1717"/>
      <c r="K1410" s="1717"/>
      <c r="L1410" s="1717"/>
      <c r="M1410" s="1717"/>
      <c r="N1410" s="1718"/>
    </row>
    <row r="1411">
      <c r="A1411" s="1721"/>
      <c r="C1411" s="1026"/>
      <c r="D1411" s="1714"/>
      <c r="E1411" s="1720"/>
      <c r="F1411" s="1720"/>
      <c r="G1411" s="1716"/>
      <c r="H1411" s="1715"/>
      <c r="I1411" s="1715"/>
      <c r="J1411" s="1717"/>
      <c r="K1411" s="1717"/>
      <c r="L1411" s="1717"/>
      <c r="M1411" s="1717"/>
      <c r="N1411" s="1718"/>
    </row>
    <row r="1412">
      <c r="A1412" s="1721"/>
      <c r="C1412" s="1026"/>
      <c r="D1412" s="1714"/>
      <c r="E1412" s="1720"/>
      <c r="F1412" s="1720"/>
      <c r="G1412" s="1716"/>
      <c r="H1412" s="1715"/>
      <c r="I1412" s="1715"/>
      <c r="J1412" s="1717"/>
      <c r="K1412" s="1717"/>
      <c r="L1412" s="1717"/>
      <c r="M1412" s="1717"/>
      <c r="N1412" s="1718"/>
    </row>
    <row r="1413">
      <c r="A1413" s="1721"/>
      <c r="C1413" s="1026"/>
      <c r="D1413" s="1714"/>
      <c r="E1413" s="1720"/>
      <c r="F1413" s="1720"/>
      <c r="G1413" s="1716"/>
      <c r="H1413" s="1715"/>
      <c r="I1413" s="1715"/>
      <c r="J1413" s="1717"/>
      <c r="K1413" s="1717"/>
      <c r="L1413" s="1717"/>
      <c r="M1413" s="1717"/>
      <c r="N1413" s="1718"/>
    </row>
    <row r="1414">
      <c r="A1414" s="1721"/>
      <c r="C1414" s="1026"/>
      <c r="D1414" s="1714"/>
      <c r="E1414" s="1720"/>
      <c r="F1414" s="1720"/>
      <c r="G1414" s="1716"/>
      <c r="H1414" s="1715"/>
      <c r="I1414" s="1715"/>
      <c r="J1414" s="1717"/>
      <c r="K1414" s="1717"/>
      <c r="L1414" s="1717"/>
      <c r="M1414" s="1717"/>
      <c r="N1414" s="1718"/>
    </row>
    <row r="1415">
      <c r="A1415" s="1721"/>
      <c r="C1415" s="1026"/>
      <c r="D1415" s="1714"/>
      <c r="E1415" s="1720"/>
      <c r="F1415" s="1720"/>
      <c r="G1415" s="1716"/>
      <c r="H1415" s="1715"/>
      <c r="I1415" s="1715"/>
      <c r="J1415" s="1717"/>
      <c r="K1415" s="1717"/>
      <c r="L1415" s="1717"/>
      <c r="M1415" s="1717"/>
      <c r="N1415" s="1718"/>
    </row>
    <row r="1416">
      <c r="A1416" s="1721"/>
      <c r="C1416" s="1026"/>
      <c r="D1416" s="1714"/>
      <c r="E1416" s="1720"/>
      <c r="F1416" s="1720"/>
      <c r="G1416" s="1716"/>
      <c r="H1416" s="1715"/>
      <c r="I1416" s="1715"/>
      <c r="J1416" s="1717"/>
      <c r="K1416" s="1717"/>
      <c r="L1416" s="1717"/>
      <c r="M1416" s="1717"/>
      <c r="N1416" s="1718"/>
    </row>
    <row r="1417">
      <c r="A1417" s="1721"/>
      <c r="C1417" s="1026"/>
      <c r="D1417" s="1714"/>
      <c r="E1417" s="1720"/>
      <c r="F1417" s="1720"/>
      <c r="G1417" s="1716"/>
      <c r="H1417" s="1715"/>
      <c r="I1417" s="1715"/>
      <c r="J1417" s="1717"/>
      <c r="K1417" s="1717"/>
      <c r="L1417" s="1717"/>
      <c r="M1417" s="1717"/>
      <c r="N1417" s="1718"/>
    </row>
    <row r="1418">
      <c r="A1418" s="1721"/>
      <c r="C1418" s="1026"/>
      <c r="D1418" s="1714"/>
      <c r="E1418" s="1720"/>
      <c r="F1418" s="1720"/>
      <c r="G1418" s="1716"/>
      <c r="H1418" s="1715"/>
      <c r="I1418" s="1715"/>
      <c r="J1418" s="1717"/>
      <c r="K1418" s="1717"/>
      <c r="L1418" s="1717"/>
      <c r="M1418" s="1717"/>
      <c r="N1418" s="1718"/>
    </row>
    <row r="1419">
      <c r="A1419" s="1721"/>
      <c r="C1419" s="1026"/>
      <c r="D1419" s="1714"/>
      <c r="E1419" s="1720"/>
      <c r="F1419" s="1720"/>
      <c r="G1419" s="1716"/>
      <c r="H1419" s="1715"/>
      <c r="I1419" s="1715"/>
      <c r="J1419" s="1717"/>
      <c r="K1419" s="1717"/>
      <c r="L1419" s="1717"/>
      <c r="M1419" s="1717"/>
      <c r="N1419" s="1718"/>
    </row>
    <row r="1420">
      <c r="A1420" s="1721"/>
      <c r="C1420" s="1026"/>
      <c r="D1420" s="1714"/>
      <c r="E1420" s="1720"/>
      <c r="F1420" s="1720"/>
      <c r="G1420" s="1716"/>
      <c r="H1420" s="1715"/>
      <c r="I1420" s="1715"/>
      <c r="J1420" s="1717"/>
      <c r="K1420" s="1717"/>
      <c r="L1420" s="1717"/>
      <c r="M1420" s="1717"/>
      <c r="N1420" s="1718"/>
    </row>
    <row r="1421">
      <c r="A1421" s="1721"/>
      <c r="C1421" s="1026"/>
      <c r="D1421" s="1714"/>
      <c r="E1421" s="1720"/>
      <c r="F1421" s="1720"/>
      <c r="G1421" s="1716"/>
      <c r="H1421" s="1715"/>
      <c r="I1421" s="1715"/>
      <c r="J1421" s="1717"/>
      <c r="K1421" s="1717"/>
      <c r="L1421" s="1717"/>
      <c r="M1421" s="1717"/>
      <c r="N1421" s="1718"/>
    </row>
    <row r="1422">
      <c r="A1422" s="1721"/>
      <c r="C1422" s="1026"/>
      <c r="D1422" s="1714"/>
      <c r="E1422" s="1720"/>
      <c r="F1422" s="1720"/>
      <c r="G1422" s="1716"/>
      <c r="H1422" s="1715"/>
      <c r="I1422" s="1715"/>
      <c r="J1422" s="1717"/>
      <c r="K1422" s="1717"/>
      <c r="L1422" s="1717"/>
      <c r="M1422" s="1717"/>
      <c r="N1422" s="1718"/>
    </row>
    <row r="1423">
      <c r="A1423" s="1721"/>
      <c r="C1423" s="1026"/>
      <c r="D1423" s="1714"/>
      <c r="E1423" s="1720"/>
      <c r="F1423" s="1720"/>
      <c r="G1423" s="1716"/>
      <c r="H1423" s="1715"/>
      <c r="I1423" s="1715"/>
      <c r="J1423" s="1717"/>
      <c r="K1423" s="1717"/>
      <c r="L1423" s="1717"/>
      <c r="M1423" s="1717"/>
      <c r="N1423" s="1718"/>
    </row>
    <row r="1424">
      <c r="A1424" s="1721"/>
      <c r="C1424" s="1026"/>
      <c r="D1424" s="1714"/>
      <c r="E1424" s="1720"/>
      <c r="F1424" s="1720"/>
      <c r="G1424" s="1716"/>
      <c r="H1424" s="1715"/>
      <c r="I1424" s="1715"/>
      <c r="J1424" s="1717"/>
      <c r="K1424" s="1717"/>
      <c r="L1424" s="1717"/>
      <c r="M1424" s="1717"/>
      <c r="N1424" s="1718"/>
    </row>
    <row r="1425">
      <c r="A1425" s="1721"/>
      <c r="C1425" s="1026"/>
      <c r="D1425" s="1714"/>
      <c r="E1425" s="1720"/>
      <c r="F1425" s="1720"/>
      <c r="G1425" s="1716"/>
      <c r="H1425" s="1715"/>
      <c r="I1425" s="1715"/>
      <c r="J1425" s="1717"/>
      <c r="K1425" s="1717"/>
      <c r="L1425" s="1717"/>
      <c r="M1425" s="1717"/>
      <c r="N1425" s="1718"/>
    </row>
    <row r="1426">
      <c r="A1426" s="1721"/>
      <c r="C1426" s="1026"/>
      <c r="D1426" s="1714"/>
      <c r="E1426" s="1720"/>
      <c r="F1426" s="1720"/>
      <c r="G1426" s="1716"/>
      <c r="H1426" s="1715"/>
      <c r="I1426" s="1715"/>
      <c r="J1426" s="1717"/>
      <c r="K1426" s="1717"/>
      <c r="L1426" s="1717"/>
      <c r="M1426" s="1717"/>
      <c r="N1426" s="1718"/>
    </row>
    <row r="1427">
      <c r="A1427" s="1721"/>
      <c r="C1427" s="1026"/>
      <c r="D1427" s="1714"/>
      <c r="E1427" s="1720"/>
      <c r="F1427" s="1720"/>
      <c r="G1427" s="1716"/>
      <c r="H1427" s="1715"/>
      <c r="I1427" s="1715"/>
      <c r="J1427" s="1717"/>
      <c r="K1427" s="1717"/>
      <c r="L1427" s="1717"/>
      <c r="M1427" s="1717"/>
      <c r="N1427" s="1718"/>
    </row>
    <row r="1428">
      <c r="A1428" s="1721"/>
      <c r="C1428" s="1026"/>
      <c r="D1428" s="1714"/>
      <c r="E1428" s="1720"/>
      <c r="F1428" s="1720"/>
      <c r="G1428" s="1716"/>
      <c r="H1428" s="1715"/>
      <c r="I1428" s="1715"/>
      <c r="J1428" s="1717"/>
      <c r="K1428" s="1717"/>
      <c r="L1428" s="1717"/>
      <c r="M1428" s="1717"/>
      <c r="N1428" s="1718"/>
    </row>
    <row r="1429">
      <c r="A1429" s="1721"/>
      <c r="C1429" s="1026"/>
      <c r="D1429" s="1714"/>
      <c r="E1429" s="1720"/>
      <c r="F1429" s="1720"/>
      <c r="G1429" s="1716"/>
      <c r="H1429" s="1715"/>
      <c r="I1429" s="1715"/>
      <c r="J1429" s="1717"/>
      <c r="K1429" s="1717"/>
      <c r="L1429" s="1717"/>
      <c r="M1429" s="1717"/>
      <c r="N1429" s="1718"/>
    </row>
    <row r="1430">
      <c r="A1430" s="1721"/>
      <c r="C1430" s="1026"/>
      <c r="D1430" s="1714"/>
      <c r="E1430" s="1720"/>
      <c r="F1430" s="1720"/>
      <c r="G1430" s="1716"/>
      <c r="H1430" s="1715"/>
      <c r="I1430" s="1715"/>
      <c r="J1430" s="1717"/>
      <c r="K1430" s="1717"/>
      <c r="L1430" s="1717"/>
      <c r="M1430" s="1717"/>
      <c r="N1430" s="1718"/>
    </row>
    <row r="1431">
      <c r="A1431" s="1721"/>
      <c r="C1431" s="1026"/>
      <c r="D1431" s="1714"/>
      <c r="E1431" s="1720"/>
      <c r="F1431" s="1720"/>
      <c r="G1431" s="1716"/>
      <c r="H1431" s="1715"/>
      <c r="I1431" s="1715"/>
      <c r="J1431" s="1717"/>
      <c r="K1431" s="1717"/>
      <c r="L1431" s="1717"/>
      <c r="M1431" s="1717"/>
      <c r="N1431" s="1718"/>
    </row>
    <row r="1432">
      <c r="A1432" s="1721"/>
      <c r="C1432" s="1026"/>
      <c r="D1432" s="1714"/>
      <c r="E1432" s="1720"/>
      <c r="F1432" s="1720"/>
      <c r="G1432" s="1716"/>
      <c r="H1432" s="1715"/>
      <c r="I1432" s="1715"/>
      <c r="J1432" s="1717"/>
      <c r="K1432" s="1717"/>
      <c r="L1432" s="1717"/>
      <c r="M1432" s="1717"/>
      <c r="N1432" s="1718"/>
    </row>
    <row r="1433">
      <c r="A1433" s="1721"/>
      <c r="C1433" s="1026"/>
      <c r="D1433" s="1714"/>
      <c r="E1433" s="1720"/>
      <c r="F1433" s="1720"/>
      <c r="G1433" s="1716"/>
      <c r="H1433" s="1715"/>
      <c r="I1433" s="1715"/>
      <c r="J1433" s="1717"/>
      <c r="K1433" s="1717"/>
      <c r="L1433" s="1717"/>
      <c r="M1433" s="1717"/>
      <c r="N1433" s="1718"/>
    </row>
    <row r="1434">
      <c r="A1434" s="1721"/>
      <c r="C1434" s="1026"/>
      <c r="D1434" s="1714"/>
      <c r="E1434" s="1720"/>
      <c r="F1434" s="1720"/>
      <c r="G1434" s="1716"/>
      <c r="H1434" s="1715"/>
      <c r="I1434" s="1715"/>
      <c r="J1434" s="1717"/>
      <c r="K1434" s="1717"/>
      <c r="L1434" s="1717"/>
      <c r="M1434" s="1717"/>
      <c r="N1434" s="1718"/>
    </row>
    <row r="1435">
      <c r="A1435" s="1721"/>
      <c r="C1435" s="1026"/>
      <c r="D1435" s="1714"/>
      <c r="E1435" s="1720"/>
      <c r="F1435" s="1720"/>
      <c r="G1435" s="1716"/>
      <c r="H1435" s="1715"/>
      <c r="I1435" s="1715"/>
      <c r="J1435" s="1717"/>
      <c r="K1435" s="1717"/>
      <c r="L1435" s="1717"/>
      <c r="M1435" s="1717"/>
      <c r="N1435" s="1718"/>
    </row>
    <row r="1436">
      <c r="A1436" s="1721"/>
      <c r="C1436" s="1026"/>
      <c r="D1436" s="1714"/>
      <c r="E1436" s="1720"/>
      <c r="F1436" s="1720"/>
      <c r="G1436" s="1716"/>
      <c r="H1436" s="1715"/>
      <c r="I1436" s="1715"/>
      <c r="J1436" s="1717"/>
      <c r="K1436" s="1717"/>
      <c r="L1436" s="1717"/>
      <c r="M1436" s="1717"/>
      <c r="N1436" s="1718"/>
    </row>
    <row r="1437">
      <c r="A1437" s="1721"/>
      <c r="C1437" s="1026"/>
      <c r="D1437" s="1714"/>
      <c r="E1437" s="1720"/>
      <c r="F1437" s="1720"/>
      <c r="G1437" s="1716"/>
      <c r="H1437" s="1715"/>
      <c r="I1437" s="1715"/>
      <c r="J1437" s="1717"/>
      <c r="K1437" s="1717"/>
      <c r="L1437" s="1717"/>
      <c r="M1437" s="1717"/>
      <c r="N1437" s="1718"/>
    </row>
    <row r="1438">
      <c r="A1438" s="1721"/>
      <c r="C1438" s="1026"/>
      <c r="D1438" s="1714"/>
      <c r="E1438" s="1720"/>
      <c r="F1438" s="1720"/>
      <c r="G1438" s="1716"/>
      <c r="H1438" s="1715"/>
      <c r="I1438" s="1715"/>
      <c r="J1438" s="1717"/>
      <c r="K1438" s="1717"/>
      <c r="L1438" s="1717"/>
      <c r="M1438" s="1717"/>
      <c r="N1438" s="1718"/>
    </row>
    <row r="1439">
      <c r="A1439" s="1721"/>
      <c r="C1439" s="1026"/>
      <c r="D1439" s="1714"/>
      <c r="E1439" s="1720"/>
      <c r="F1439" s="1720"/>
      <c r="G1439" s="1716"/>
      <c r="H1439" s="1715"/>
      <c r="I1439" s="1715"/>
      <c r="J1439" s="1717"/>
      <c r="K1439" s="1717"/>
      <c r="L1439" s="1717"/>
      <c r="M1439" s="1717"/>
      <c r="N1439" s="1718"/>
    </row>
    <row r="1440">
      <c r="A1440" s="1721"/>
      <c r="C1440" s="1026"/>
      <c r="D1440" s="1714"/>
      <c r="E1440" s="1720"/>
      <c r="F1440" s="1720"/>
      <c r="G1440" s="1716"/>
      <c r="H1440" s="1715"/>
      <c r="I1440" s="1715"/>
      <c r="J1440" s="1717"/>
      <c r="K1440" s="1717"/>
      <c r="L1440" s="1717"/>
      <c r="M1440" s="1717"/>
      <c r="N1440" s="1718"/>
    </row>
    <row r="1441">
      <c r="A1441" s="1721"/>
      <c r="C1441" s="1026"/>
      <c r="D1441" s="1714"/>
      <c r="E1441" s="1720"/>
      <c r="F1441" s="1720"/>
      <c r="G1441" s="1716"/>
      <c r="H1441" s="1715"/>
      <c r="I1441" s="1715"/>
      <c r="J1441" s="1717"/>
      <c r="K1441" s="1717"/>
      <c r="L1441" s="1717"/>
      <c r="M1441" s="1717"/>
      <c r="N1441" s="1718"/>
    </row>
    <row r="1442">
      <c r="A1442" s="1721"/>
      <c r="C1442" s="1026"/>
      <c r="D1442" s="1714"/>
      <c r="E1442" s="1720"/>
      <c r="F1442" s="1720"/>
      <c r="G1442" s="1716"/>
      <c r="H1442" s="1715"/>
      <c r="I1442" s="1715"/>
      <c r="J1442" s="1717"/>
      <c r="K1442" s="1717"/>
      <c r="L1442" s="1717"/>
      <c r="M1442" s="1717"/>
      <c r="N1442" s="1718"/>
    </row>
    <row r="1443">
      <c r="A1443" s="1721"/>
      <c r="C1443" s="1026"/>
      <c r="D1443" s="1714"/>
      <c r="E1443" s="1720"/>
      <c r="F1443" s="1720"/>
      <c r="G1443" s="1716"/>
      <c r="H1443" s="1715"/>
      <c r="I1443" s="1715"/>
      <c r="J1443" s="1717"/>
      <c r="K1443" s="1717"/>
      <c r="L1443" s="1717"/>
      <c r="M1443" s="1717"/>
      <c r="N1443" s="1718"/>
    </row>
    <row r="1444">
      <c r="A1444" s="1721"/>
      <c r="C1444" s="1026"/>
      <c r="D1444" s="1714"/>
      <c r="E1444" s="1720"/>
      <c r="F1444" s="1720"/>
      <c r="G1444" s="1716"/>
      <c r="H1444" s="1715"/>
      <c r="I1444" s="1715"/>
      <c r="J1444" s="1717"/>
      <c r="K1444" s="1717"/>
      <c r="L1444" s="1717"/>
      <c r="M1444" s="1717"/>
      <c r="N1444" s="1718"/>
    </row>
    <row r="1445">
      <c r="A1445" s="1721"/>
      <c r="C1445" s="1026"/>
      <c r="D1445" s="1714"/>
      <c r="E1445" s="1720"/>
      <c r="F1445" s="1720"/>
      <c r="G1445" s="1716"/>
      <c r="H1445" s="1715"/>
      <c r="I1445" s="1715"/>
      <c r="J1445" s="1717"/>
      <c r="K1445" s="1717"/>
      <c r="L1445" s="1717"/>
      <c r="M1445" s="1717"/>
      <c r="N1445" s="1718"/>
    </row>
    <row r="1446">
      <c r="A1446" s="1721"/>
      <c r="C1446" s="1026"/>
      <c r="D1446" s="1714"/>
      <c r="E1446" s="1720"/>
      <c r="F1446" s="1720"/>
      <c r="G1446" s="1716"/>
      <c r="H1446" s="1715"/>
      <c r="I1446" s="1715"/>
      <c r="J1446" s="1717"/>
      <c r="K1446" s="1717"/>
      <c r="L1446" s="1717"/>
      <c r="M1446" s="1717"/>
      <c r="N1446" s="1718"/>
    </row>
    <row r="1447">
      <c r="A1447" s="1721"/>
      <c r="C1447" s="1026"/>
      <c r="D1447" s="1714"/>
      <c r="E1447" s="1720"/>
      <c r="F1447" s="1720"/>
      <c r="G1447" s="1716"/>
      <c r="H1447" s="1715"/>
      <c r="I1447" s="1715"/>
      <c r="J1447" s="1717"/>
      <c r="K1447" s="1717"/>
      <c r="L1447" s="1717"/>
      <c r="M1447" s="1717"/>
      <c r="N1447" s="1718"/>
    </row>
    <row r="1448">
      <c r="A1448" s="1721"/>
      <c r="C1448" s="1026"/>
      <c r="D1448" s="1714"/>
      <c r="E1448" s="1720"/>
      <c r="F1448" s="1720"/>
      <c r="G1448" s="1716"/>
      <c r="H1448" s="1715"/>
      <c r="I1448" s="1715"/>
      <c r="J1448" s="1717"/>
      <c r="K1448" s="1717"/>
      <c r="L1448" s="1717"/>
      <c r="M1448" s="1717"/>
      <c r="N1448" s="1718"/>
    </row>
    <row r="1449">
      <c r="A1449" s="1721"/>
      <c r="C1449" s="1026"/>
      <c r="D1449" s="1714"/>
      <c r="E1449" s="1720"/>
      <c r="F1449" s="1720"/>
      <c r="G1449" s="1716"/>
      <c r="H1449" s="1715"/>
      <c r="I1449" s="1715"/>
      <c r="J1449" s="1717"/>
      <c r="K1449" s="1717"/>
      <c r="L1449" s="1717"/>
      <c r="M1449" s="1717"/>
      <c r="N1449" s="1718"/>
    </row>
    <row r="1450">
      <c r="A1450" s="1721"/>
      <c r="C1450" s="1026"/>
      <c r="D1450" s="1714"/>
      <c r="E1450" s="1720"/>
      <c r="F1450" s="1720"/>
      <c r="G1450" s="1716"/>
      <c r="H1450" s="1715"/>
      <c r="I1450" s="1715"/>
      <c r="J1450" s="1717"/>
      <c r="K1450" s="1717"/>
      <c r="L1450" s="1717"/>
      <c r="M1450" s="1717"/>
      <c r="N1450" s="1718"/>
    </row>
    <row r="1451">
      <c r="A1451" s="1721"/>
      <c r="C1451" s="1026"/>
      <c r="D1451" s="1714"/>
      <c r="E1451" s="1720"/>
      <c r="F1451" s="1720"/>
      <c r="G1451" s="1716"/>
      <c r="H1451" s="1715"/>
      <c r="I1451" s="1715"/>
      <c r="J1451" s="1717"/>
      <c r="K1451" s="1717"/>
      <c r="L1451" s="1717"/>
      <c r="M1451" s="1717"/>
      <c r="N1451" s="1718"/>
    </row>
    <row r="1452">
      <c r="A1452" s="1721"/>
      <c r="C1452" s="1026"/>
      <c r="D1452" s="1714"/>
      <c r="E1452" s="1720"/>
      <c r="F1452" s="1720"/>
      <c r="G1452" s="1716"/>
      <c r="H1452" s="1715"/>
      <c r="I1452" s="1715"/>
      <c r="J1452" s="1717"/>
      <c r="K1452" s="1717"/>
      <c r="L1452" s="1717"/>
      <c r="M1452" s="1717"/>
      <c r="N1452" s="1718"/>
    </row>
    <row r="1453">
      <c r="A1453" s="1721"/>
      <c r="C1453" s="1026"/>
      <c r="D1453" s="1714"/>
      <c r="E1453" s="1720"/>
      <c r="F1453" s="1720"/>
      <c r="G1453" s="1716"/>
      <c r="H1453" s="1715"/>
      <c r="I1453" s="1715"/>
      <c r="J1453" s="1717"/>
      <c r="K1453" s="1717"/>
      <c r="L1453" s="1717"/>
      <c r="M1453" s="1717"/>
      <c r="N1453" s="1718"/>
    </row>
    <row r="1454">
      <c r="A1454" s="1721"/>
      <c r="C1454" s="1026"/>
      <c r="D1454" s="1714"/>
      <c r="E1454" s="1720"/>
      <c r="F1454" s="1720"/>
      <c r="G1454" s="1716"/>
      <c r="H1454" s="1715"/>
      <c r="I1454" s="1715"/>
      <c r="J1454" s="1717"/>
      <c r="K1454" s="1717"/>
      <c r="L1454" s="1717"/>
      <c r="M1454" s="1717"/>
      <c r="N1454" s="1718"/>
    </row>
    <row r="1455">
      <c r="A1455" s="1721"/>
      <c r="C1455" s="1026"/>
      <c r="D1455" s="1714"/>
      <c r="E1455" s="1720"/>
      <c r="F1455" s="1720"/>
      <c r="G1455" s="1716"/>
      <c r="H1455" s="1715"/>
      <c r="I1455" s="1715"/>
      <c r="J1455" s="1717"/>
      <c r="K1455" s="1717"/>
      <c r="L1455" s="1717"/>
      <c r="M1455" s="1717"/>
      <c r="N1455" s="1718"/>
    </row>
    <row r="1456">
      <c r="A1456" s="1721"/>
      <c r="C1456" s="1026"/>
      <c r="D1456" s="1714"/>
      <c r="E1456" s="1720"/>
      <c r="F1456" s="1720"/>
      <c r="G1456" s="1716"/>
      <c r="H1456" s="1715"/>
      <c r="I1456" s="1715"/>
      <c r="J1456" s="1717"/>
      <c r="K1456" s="1717"/>
      <c r="L1456" s="1717"/>
      <c r="M1456" s="1717"/>
      <c r="N1456" s="1718"/>
    </row>
    <row r="1457">
      <c r="A1457" s="1721"/>
      <c r="C1457" s="1026"/>
      <c r="D1457" s="1714"/>
      <c r="E1457" s="1720"/>
      <c r="F1457" s="1720"/>
      <c r="G1457" s="1716"/>
      <c r="H1457" s="1715"/>
      <c r="I1457" s="1715"/>
      <c r="J1457" s="1717"/>
      <c r="K1457" s="1717"/>
      <c r="L1457" s="1717"/>
      <c r="M1457" s="1717"/>
      <c r="N1457" s="1718"/>
    </row>
    <row r="1458">
      <c r="A1458" s="1721"/>
      <c r="C1458" s="1026"/>
      <c r="D1458" s="1714"/>
      <c r="E1458" s="1720"/>
      <c r="F1458" s="1720"/>
      <c r="G1458" s="1716"/>
      <c r="H1458" s="1715"/>
      <c r="I1458" s="1715"/>
      <c r="J1458" s="1717"/>
      <c r="K1458" s="1717"/>
      <c r="L1458" s="1717"/>
      <c r="M1458" s="1717"/>
      <c r="N1458" s="1718"/>
    </row>
    <row r="1459">
      <c r="A1459" s="1721"/>
      <c r="C1459" s="1026"/>
      <c r="D1459" s="1714"/>
      <c r="E1459" s="1720"/>
      <c r="F1459" s="1720"/>
      <c r="G1459" s="1716"/>
      <c r="H1459" s="1715"/>
      <c r="I1459" s="1715"/>
      <c r="J1459" s="1717"/>
      <c r="K1459" s="1717"/>
      <c r="L1459" s="1717"/>
      <c r="M1459" s="1717"/>
      <c r="N1459" s="1718"/>
    </row>
    <row r="1460">
      <c r="A1460" s="1721"/>
      <c r="C1460" s="1026"/>
      <c r="D1460" s="1714"/>
      <c r="E1460" s="1720"/>
      <c r="F1460" s="1720"/>
      <c r="G1460" s="1716"/>
      <c r="H1460" s="1715"/>
      <c r="I1460" s="1715"/>
      <c r="J1460" s="1717"/>
      <c r="K1460" s="1717"/>
      <c r="L1460" s="1717"/>
      <c r="M1460" s="1717"/>
      <c r="N1460" s="1718"/>
    </row>
    <row r="1461">
      <c r="A1461" s="1721"/>
      <c r="C1461" s="1026"/>
      <c r="D1461" s="1714"/>
      <c r="E1461" s="1720"/>
      <c r="F1461" s="1720"/>
      <c r="G1461" s="1716"/>
      <c r="H1461" s="1715"/>
      <c r="I1461" s="1715"/>
      <c r="J1461" s="1717"/>
      <c r="K1461" s="1717"/>
      <c r="L1461" s="1717"/>
      <c r="M1461" s="1717"/>
      <c r="N1461" s="1718"/>
    </row>
    <row r="1462">
      <c r="A1462" s="1721"/>
      <c r="C1462" s="1026"/>
      <c r="D1462" s="1714"/>
      <c r="E1462" s="1720"/>
      <c r="F1462" s="1720"/>
      <c r="G1462" s="1716"/>
      <c r="H1462" s="1715"/>
      <c r="I1462" s="1715"/>
      <c r="J1462" s="1717"/>
      <c r="K1462" s="1717"/>
      <c r="L1462" s="1717"/>
      <c r="M1462" s="1717"/>
      <c r="N1462" s="1718"/>
    </row>
    <row r="1463">
      <c r="A1463" s="1721"/>
      <c r="C1463" s="1026"/>
      <c r="D1463" s="1714"/>
      <c r="E1463" s="1720"/>
      <c r="F1463" s="1720"/>
      <c r="G1463" s="1716"/>
      <c r="H1463" s="1715"/>
      <c r="I1463" s="1715"/>
      <c r="J1463" s="1717"/>
      <c r="K1463" s="1717"/>
      <c r="L1463" s="1717"/>
      <c r="M1463" s="1717"/>
      <c r="N1463" s="1718"/>
    </row>
    <row r="1464">
      <c r="A1464" s="1721"/>
      <c r="C1464" s="1026"/>
      <c r="D1464" s="1714"/>
      <c r="E1464" s="1720"/>
      <c r="F1464" s="1720"/>
      <c r="G1464" s="1716"/>
      <c r="H1464" s="1715"/>
      <c r="I1464" s="1715"/>
      <c r="J1464" s="1717"/>
      <c r="K1464" s="1717"/>
      <c r="L1464" s="1717"/>
      <c r="M1464" s="1717"/>
      <c r="N1464" s="1718"/>
    </row>
    <row r="1465">
      <c r="A1465" s="1721"/>
      <c r="C1465" s="1026"/>
      <c r="D1465" s="1714"/>
      <c r="E1465" s="1720"/>
      <c r="F1465" s="1720"/>
      <c r="G1465" s="1716"/>
      <c r="H1465" s="1715"/>
      <c r="I1465" s="1715"/>
      <c r="J1465" s="1717"/>
      <c r="K1465" s="1717"/>
      <c r="L1465" s="1717"/>
      <c r="M1465" s="1717"/>
      <c r="N1465" s="1718"/>
    </row>
    <row r="1466">
      <c r="A1466" s="1721"/>
      <c r="C1466" s="1026"/>
      <c r="D1466" s="1714"/>
      <c r="E1466" s="1720"/>
      <c r="F1466" s="1720"/>
      <c r="G1466" s="1716"/>
      <c r="H1466" s="1715"/>
      <c r="I1466" s="1715"/>
      <c r="J1466" s="1717"/>
      <c r="K1466" s="1717"/>
      <c r="L1466" s="1717"/>
      <c r="M1466" s="1717"/>
      <c r="N1466" s="1718"/>
    </row>
    <row r="1467">
      <c r="A1467" s="1721"/>
      <c r="C1467" s="1026"/>
      <c r="D1467" s="1714"/>
      <c r="E1467" s="1720"/>
      <c r="F1467" s="1720"/>
      <c r="G1467" s="1716"/>
      <c r="H1467" s="1715"/>
      <c r="I1467" s="1715"/>
      <c r="J1467" s="1717"/>
      <c r="K1467" s="1717"/>
      <c r="L1467" s="1717"/>
      <c r="M1467" s="1717"/>
      <c r="N1467" s="1718"/>
    </row>
    <row r="1468">
      <c r="A1468" s="1721"/>
      <c r="C1468" s="1026"/>
      <c r="D1468" s="1714"/>
      <c r="E1468" s="1720"/>
      <c r="F1468" s="1720"/>
      <c r="G1468" s="1716"/>
      <c r="H1468" s="1715"/>
      <c r="I1468" s="1715"/>
      <c r="J1468" s="1717"/>
      <c r="K1468" s="1717"/>
      <c r="L1468" s="1717"/>
      <c r="M1468" s="1717"/>
      <c r="N1468" s="1718"/>
    </row>
    <row r="1469">
      <c r="A1469" s="1721"/>
      <c r="C1469" s="1026"/>
      <c r="D1469" s="1714"/>
      <c r="E1469" s="1720"/>
      <c r="F1469" s="1720"/>
      <c r="G1469" s="1716"/>
      <c r="H1469" s="1715"/>
      <c r="I1469" s="1715"/>
      <c r="J1469" s="1717"/>
      <c r="K1469" s="1717"/>
      <c r="L1469" s="1717"/>
      <c r="M1469" s="1717"/>
      <c r="N1469" s="1718"/>
    </row>
    <row r="1470">
      <c r="A1470" s="1721"/>
      <c r="C1470" s="1026"/>
      <c r="D1470" s="1714"/>
      <c r="E1470" s="1720"/>
      <c r="F1470" s="1720"/>
      <c r="G1470" s="1716"/>
      <c r="H1470" s="1715"/>
      <c r="I1470" s="1715"/>
      <c r="J1470" s="1717"/>
      <c r="K1470" s="1717"/>
      <c r="L1470" s="1717"/>
      <c r="M1470" s="1717"/>
      <c r="N1470" s="1718"/>
    </row>
    <row r="1471">
      <c r="A1471" s="1721"/>
      <c r="C1471" s="1026"/>
      <c r="D1471" s="1714"/>
      <c r="E1471" s="1720"/>
      <c r="F1471" s="1720"/>
      <c r="G1471" s="1716"/>
      <c r="H1471" s="1715"/>
      <c r="I1471" s="1715"/>
      <c r="J1471" s="1717"/>
      <c r="K1471" s="1717"/>
      <c r="L1471" s="1717"/>
      <c r="M1471" s="1717"/>
      <c r="N1471" s="1718"/>
    </row>
    <row r="1472">
      <c r="A1472" s="1721"/>
      <c r="C1472" s="1026"/>
      <c r="D1472" s="1714"/>
      <c r="E1472" s="1720"/>
      <c r="F1472" s="1720"/>
      <c r="G1472" s="1716"/>
      <c r="H1472" s="1715"/>
      <c r="I1472" s="1715"/>
      <c r="J1472" s="1717"/>
      <c r="K1472" s="1717"/>
      <c r="L1472" s="1717"/>
      <c r="M1472" s="1717"/>
      <c r="N1472" s="1718"/>
    </row>
    <row r="1473">
      <c r="A1473" s="1721"/>
      <c r="C1473" s="1026"/>
      <c r="D1473" s="1714"/>
      <c r="E1473" s="1720"/>
      <c r="F1473" s="1720"/>
      <c r="G1473" s="1716"/>
      <c r="H1473" s="1715"/>
      <c r="I1473" s="1715"/>
      <c r="J1473" s="1717"/>
      <c r="K1473" s="1717"/>
      <c r="L1473" s="1717"/>
      <c r="M1473" s="1717"/>
      <c r="N1473" s="1718"/>
    </row>
    <row r="1474">
      <c r="A1474" s="1721"/>
      <c r="C1474" s="1026"/>
      <c r="D1474" s="1714"/>
      <c r="E1474" s="1720"/>
      <c r="F1474" s="1720"/>
      <c r="G1474" s="1716"/>
      <c r="H1474" s="1715"/>
      <c r="I1474" s="1715"/>
      <c r="J1474" s="1717"/>
      <c r="K1474" s="1717"/>
      <c r="L1474" s="1717"/>
      <c r="M1474" s="1717"/>
      <c r="N1474" s="1718"/>
    </row>
    <row r="1475">
      <c r="A1475" s="1721"/>
      <c r="C1475" s="1026"/>
      <c r="D1475" s="1714"/>
      <c r="E1475" s="1720"/>
      <c r="F1475" s="1720"/>
      <c r="G1475" s="1716"/>
      <c r="H1475" s="1715"/>
      <c r="I1475" s="1715"/>
      <c r="J1475" s="1717"/>
      <c r="K1475" s="1717"/>
      <c r="L1475" s="1717"/>
      <c r="M1475" s="1717"/>
      <c r="N1475" s="1718"/>
    </row>
    <row r="1476">
      <c r="A1476" s="1721"/>
      <c r="C1476" s="1026"/>
      <c r="D1476" s="1714"/>
      <c r="E1476" s="1720"/>
      <c r="F1476" s="1720"/>
      <c r="G1476" s="1716"/>
      <c r="H1476" s="1715"/>
      <c r="I1476" s="1715"/>
      <c r="J1476" s="1717"/>
      <c r="K1476" s="1717"/>
      <c r="L1476" s="1717"/>
      <c r="M1476" s="1717"/>
      <c r="N1476" s="1718"/>
    </row>
    <row r="1477">
      <c r="A1477" s="1721"/>
      <c r="C1477" s="1026"/>
      <c r="D1477" s="1714"/>
      <c r="E1477" s="1720"/>
      <c r="F1477" s="1720"/>
      <c r="G1477" s="1716"/>
      <c r="H1477" s="1715"/>
      <c r="I1477" s="1715"/>
      <c r="J1477" s="1717"/>
      <c r="K1477" s="1717"/>
      <c r="L1477" s="1717"/>
      <c r="M1477" s="1717"/>
      <c r="N1477" s="1718"/>
    </row>
    <row r="1478">
      <c r="A1478" s="1721"/>
      <c r="C1478" s="1026"/>
      <c r="D1478" s="1714"/>
      <c r="E1478" s="1720"/>
      <c r="F1478" s="1720"/>
      <c r="G1478" s="1716"/>
      <c r="H1478" s="1715"/>
      <c r="I1478" s="1715"/>
      <c r="J1478" s="1717"/>
      <c r="K1478" s="1717"/>
      <c r="L1478" s="1717"/>
      <c r="M1478" s="1717"/>
      <c r="N1478" s="1718"/>
    </row>
    <row r="1479">
      <c r="A1479" s="1721"/>
      <c r="C1479" s="1026"/>
      <c r="D1479" s="1714"/>
      <c r="E1479" s="1720"/>
      <c r="F1479" s="1720"/>
      <c r="G1479" s="1716"/>
      <c r="H1479" s="1715"/>
      <c r="I1479" s="1715"/>
      <c r="J1479" s="1717"/>
      <c r="K1479" s="1717"/>
      <c r="L1479" s="1717"/>
      <c r="M1479" s="1717"/>
      <c r="N1479" s="1718"/>
    </row>
    <row r="1480">
      <c r="A1480" s="1721"/>
      <c r="C1480" s="1026"/>
      <c r="D1480" s="1714"/>
      <c r="E1480" s="1720"/>
      <c r="F1480" s="1720"/>
      <c r="G1480" s="1716"/>
      <c r="H1480" s="1715"/>
      <c r="I1480" s="1715"/>
      <c r="J1480" s="1717"/>
      <c r="K1480" s="1717"/>
      <c r="L1480" s="1717"/>
      <c r="M1480" s="1717"/>
      <c r="N1480" s="1718"/>
    </row>
    <row r="1481">
      <c r="A1481" s="1721"/>
      <c r="C1481" s="1026"/>
      <c r="D1481" s="1714"/>
      <c r="E1481" s="1720"/>
      <c r="F1481" s="1720"/>
      <c r="G1481" s="1716"/>
      <c r="H1481" s="1715"/>
      <c r="I1481" s="1715"/>
      <c r="J1481" s="1717"/>
      <c r="K1481" s="1717"/>
      <c r="L1481" s="1717"/>
      <c r="M1481" s="1717"/>
      <c r="N1481" s="1718"/>
    </row>
    <row r="1482">
      <c r="A1482" s="1721"/>
      <c r="C1482" s="1026"/>
      <c r="D1482" s="1714"/>
      <c r="E1482" s="1720"/>
      <c r="F1482" s="1720"/>
      <c r="G1482" s="1716"/>
      <c r="H1482" s="1715"/>
      <c r="I1482" s="1715"/>
      <c r="J1482" s="1717"/>
      <c r="K1482" s="1717"/>
      <c r="L1482" s="1717"/>
      <c r="M1482" s="1717"/>
      <c r="N1482" s="1718"/>
    </row>
    <row r="1483">
      <c r="A1483" s="1721"/>
      <c r="C1483" s="1026"/>
      <c r="D1483" s="1714"/>
      <c r="E1483" s="1720"/>
      <c r="F1483" s="1720"/>
      <c r="G1483" s="1716"/>
      <c r="H1483" s="1715"/>
      <c r="I1483" s="1715"/>
      <c r="J1483" s="1717"/>
      <c r="K1483" s="1717"/>
      <c r="L1483" s="1717"/>
      <c r="M1483" s="1717"/>
      <c r="N1483" s="1718"/>
    </row>
    <row r="1484">
      <c r="A1484" s="1721"/>
      <c r="C1484" s="1026"/>
      <c r="D1484" s="1714"/>
      <c r="E1484" s="1720"/>
      <c r="F1484" s="1720"/>
      <c r="G1484" s="1716"/>
      <c r="H1484" s="1715"/>
      <c r="I1484" s="1715"/>
      <c r="J1484" s="1717"/>
      <c r="K1484" s="1717"/>
      <c r="L1484" s="1717"/>
      <c r="M1484" s="1717"/>
      <c r="N1484" s="1718"/>
    </row>
    <row r="1485">
      <c r="A1485" s="1721"/>
      <c r="C1485" s="1026"/>
      <c r="D1485" s="1714"/>
      <c r="E1485" s="1720"/>
      <c r="F1485" s="1720"/>
      <c r="G1485" s="1716"/>
      <c r="H1485" s="1715"/>
      <c r="I1485" s="1715"/>
      <c r="J1485" s="1717"/>
      <c r="K1485" s="1717"/>
      <c r="L1485" s="1717"/>
      <c r="M1485" s="1717"/>
      <c r="N1485" s="1718"/>
    </row>
    <row r="1486">
      <c r="A1486" s="1721"/>
      <c r="C1486" s="1026"/>
      <c r="D1486" s="1714"/>
      <c r="E1486" s="1720"/>
      <c r="F1486" s="1720"/>
      <c r="G1486" s="1716"/>
      <c r="H1486" s="1715"/>
      <c r="I1486" s="1715"/>
      <c r="J1486" s="1717"/>
      <c r="K1486" s="1717"/>
      <c r="L1486" s="1717"/>
      <c r="M1486" s="1717"/>
      <c r="N1486" s="1718"/>
    </row>
    <row r="1487">
      <c r="A1487" s="1721"/>
      <c r="C1487" s="1026"/>
      <c r="D1487" s="1714"/>
      <c r="E1487" s="1720"/>
      <c r="F1487" s="1720"/>
      <c r="G1487" s="1716"/>
      <c r="H1487" s="1715"/>
      <c r="I1487" s="1715"/>
      <c r="J1487" s="1717"/>
      <c r="K1487" s="1717"/>
      <c r="L1487" s="1717"/>
      <c r="M1487" s="1717"/>
      <c r="N1487" s="1718"/>
    </row>
    <row r="1488">
      <c r="A1488" s="1721"/>
      <c r="C1488" s="1026"/>
      <c r="D1488" s="1714"/>
      <c r="E1488" s="1720"/>
      <c r="F1488" s="1720"/>
      <c r="G1488" s="1716"/>
      <c r="H1488" s="1715"/>
      <c r="I1488" s="1715"/>
      <c r="J1488" s="1717"/>
      <c r="K1488" s="1717"/>
      <c r="L1488" s="1717"/>
      <c r="M1488" s="1717"/>
      <c r="N1488" s="1718"/>
    </row>
    <row r="1489">
      <c r="A1489" s="1721"/>
      <c r="C1489" s="1026"/>
      <c r="D1489" s="1714"/>
      <c r="E1489" s="1720"/>
      <c r="F1489" s="1720"/>
      <c r="G1489" s="1716"/>
      <c r="H1489" s="1715"/>
      <c r="I1489" s="1715"/>
      <c r="J1489" s="1717"/>
      <c r="K1489" s="1717"/>
      <c r="L1489" s="1717"/>
      <c r="M1489" s="1717"/>
      <c r="N1489" s="1718"/>
    </row>
    <row r="1490">
      <c r="A1490" s="1721"/>
      <c r="C1490" s="1026"/>
      <c r="D1490" s="1714"/>
      <c r="E1490" s="1720"/>
      <c r="F1490" s="1720"/>
      <c r="G1490" s="1716"/>
      <c r="H1490" s="1715"/>
      <c r="I1490" s="1715"/>
      <c r="J1490" s="1717"/>
      <c r="K1490" s="1717"/>
      <c r="L1490" s="1717"/>
      <c r="M1490" s="1717"/>
      <c r="N1490" s="1718"/>
    </row>
    <row r="1491">
      <c r="A1491" s="1721"/>
      <c r="C1491" s="1026"/>
      <c r="D1491" s="1714"/>
      <c r="E1491" s="1720"/>
      <c r="F1491" s="1720"/>
      <c r="G1491" s="1716"/>
      <c r="H1491" s="1715"/>
      <c r="I1491" s="1715"/>
      <c r="J1491" s="1717"/>
      <c r="K1491" s="1717"/>
      <c r="L1491" s="1717"/>
      <c r="M1491" s="1717"/>
      <c r="N1491" s="1718"/>
    </row>
    <row r="1492">
      <c r="A1492" s="1721"/>
      <c r="C1492" s="1026"/>
      <c r="D1492" s="1714"/>
      <c r="E1492" s="1720"/>
      <c r="F1492" s="1720"/>
      <c r="G1492" s="1716"/>
      <c r="H1492" s="1715"/>
      <c r="I1492" s="1715"/>
      <c r="J1492" s="1717"/>
      <c r="K1492" s="1717"/>
      <c r="L1492" s="1717"/>
      <c r="M1492" s="1717"/>
      <c r="N1492" s="1718"/>
    </row>
    <row r="1493">
      <c r="A1493" s="1721"/>
      <c r="C1493" s="1026"/>
      <c r="D1493" s="1714"/>
      <c r="E1493" s="1720"/>
      <c r="F1493" s="1720"/>
      <c r="G1493" s="1716"/>
      <c r="H1493" s="1715"/>
      <c r="I1493" s="1715"/>
      <c r="J1493" s="1717"/>
      <c r="K1493" s="1717"/>
      <c r="L1493" s="1717"/>
      <c r="M1493" s="1717"/>
      <c r="N1493" s="1718"/>
    </row>
    <row r="1494">
      <c r="A1494" s="1721"/>
      <c r="C1494" s="1026"/>
      <c r="D1494" s="1714"/>
      <c r="E1494" s="1720"/>
      <c r="F1494" s="1720"/>
      <c r="G1494" s="1716"/>
      <c r="H1494" s="1715"/>
      <c r="I1494" s="1715"/>
      <c r="J1494" s="1717"/>
      <c r="K1494" s="1717"/>
      <c r="L1494" s="1717"/>
      <c r="M1494" s="1717"/>
      <c r="N1494" s="1718"/>
    </row>
    <row r="1495">
      <c r="A1495" s="1721"/>
      <c r="C1495" s="1026"/>
      <c r="D1495" s="1714"/>
      <c r="E1495" s="1720"/>
      <c r="F1495" s="1720"/>
      <c r="G1495" s="1716"/>
      <c r="H1495" s="1715"/>
      <c r="I1495" s="1715"/>
      <c r="J1495" s="1717"/>
      <c r="K1495" s="1717"/>
      <c r="L1495" s="1717"/>
      <c r="M1495" s="1717"/>
      <c r="N1495" s="1718"/>
    </row>
    <row r="1496">
      <c r="A1496" s="1721"/>
      <c r="C1496" s="1026"/>
      <c r="D1496" s="1714"/>
      <c r="E1496" s="1720"/>
      <c r="F1496" s="1720"/>
      <c r="G1496" s="1716"/>
      <c r="H1496" s="1715"/>
      <c r="I1496" s="1715"/>
      <c r="J1496" s="1717"/>
      <c r="K1496" s="1717"/>
      <c r="L1496" s="1717"/>
      <c r="M1496" s="1717"/>
      <c r="N1496" s="1718"/>
    </row>
    <row r="1497">
      <c r="A1497" s="1721"/>
      <c r="C1497" s="1026"/>
      <c r="D1497" s="1714"/>
      <c r="E1497" s="1720"/>
      <c r="F1497" s="1720"/>
      <c r="G1497" s="1716"/>
      <c r="H1497" s="1715"/>
      <c r="I1497" s="1715"/>
      <c r="J1497" s="1717"/>
      <c r="K1497" s="1717"/>
      <c r="L1497" s="1717"/>
      <c r="M1497" s="1717"/>
      <c r="N1497" s="1718"/>
    </row>
    <row r="1498">
      <c r="A1498" s="1721"/>
      <c r="C1498" s="1026"/>
      <c r="D1498" s="1714"/>
      <c r="E1498" s="1720"/>
      <c r="F1498" s="1720"/>
      <c r="G1498" s="1716"/>
      <c r="H1498" s="1715"/>
      <c r="I1498" s="1715"/>
      <c r="J1498" s="1717"/>
      <c r="K1498" s="1717"/>
      <c r="L1498" s="1717"/>
      <c r="M1498" s="1717"/>
      <c r="N1498" s="1718"/>
    </row>
    <row r="1499">
      <c r="A1499" s="1721"/>
      <c r="C1499" s="1026"/>
      <c r="D1499" s="1714"/>
      <c r="E1499" s="1720"/>
      <c r="F1499" s="1720"/>
      <c r="G1499" s="1716"/>
      <c r="H1499" s="1715"/>
      <c r="I1499" s="1715"/>
      <c r="J1499" s="1717"/>
      <c r="K1499" s="1717"/>
      <c r="L1499" s="1717"/>
      <c r="M1499" s="1717"/>
      <c r="N1499" s="1718"/>
    </row>
    <row r="1500">
      <c r="A1500" s="1721"/>
      <c r="C1500" s="1026"/>
      <c r="D1500" s="1714"/>
      <c r="E1500" s="1720"/>
      <c r="F1500" s="1720"/>
      <c r="G1500" s="1716"/>
      <c r="H1500" s="1715"/>
      <c r="I1500" s="1715"/>
      <c r="J1500" s="1717"/>
      <c r="K1500" s="1717"/>
      <c r="L1500" s="1717"/>
      <c r="M1500" s="1717"/>
      <c r="N1500" s="1718"/>
    </row>
    <row r="1501">
      <c r="A1501" s="1721"/>
      <c r="C1501" s="1026"/>
      <c r="D1501" s="1714"/>
      <c r="E1501" s="1720"/>
      <c r="F1501" s="1720"/>
      <c r="G1501" s="1716"/>
      <c r="H1501" s="1715"/>
      <c r="I1501" s="1715"/>
      <c r="J1501" s="1717"/>
      <c r="K1501" s="1717"/>
      <c r="L1501" s="1717"/>
      <c r="M1501" s="1717"/>
      <c r="N1501" s="1718"/>
    </row>
    <row r="1502">
      <c r="A1502" s="1721"/>
      <c r="C1502" s="1026"/>
      <c r="D1502" s="1714"/>
      <c r="E1502" s="1720"/>
      <c r="F1502" s="1720"/>
      <c r="G1502" s="1716"/>
      <c r="H1502" s="1715"/>
      <c r="I1502" s="1715"/>
      <c r="J1502" s="1717"/>
      <c r="K1502" s="1717"/>
      <c r="L1502" s="1717"/>
      <c r="M1502" s="1717"/>
      <c r="N1502" s="1718"/>
    </row>
    <row r="1503">
      <c r="A1503" s="1721"/>
      <c r="C1503" s="1026"/>
      <c r="D1503" s="1714"/>
      <c r="E1503" s="1720"/>
      <c r="F1503" s="1720"/>
      <c r="G1503" s="1716"/>
      <c r="H1503" s="1715"/>
      <c r="I1503" s="1715"/>
      <c r="J1503" s="1717"/>
      <c r="K1503" s="1717"/>
      <c r="L1503" s="1717"/>
      <c r="M1503" s="1717"/>
      <c r="N1503" s="1718"/>
    </row>
    <row r="1504">
      <c r="A1504" s="1721"/>
      <c r="C1504" s="1026"/>
      <c r="D1504" s="1714"/>
      <c r="E1504" s="1720"/>
      <c r="F1504" s="1720"/>
      <c r="G1504" s="1716"/>
      <c r="H1504" s="1715"/>
      <c r="I1504" s="1715"/>
      <c r="J1504" s="1717"/>
      <c r="K1504" s="1717"/>
      <c r="L1504" s="1717"/>
      <c r="M1504" s="1717"/>
      <c r="N1504" s="1718"/>
    </row>
    <row r="1505">
      <c r="A1505" s="1721"/>
      <c r="C1505" s="1026"/>
      <c r="D1505" s="1714"/>
      <c r="E1505" s="1720"/>
      <c r="F1505" s="1720"/>
      <c r="G1505" s="1716"/>
      <c r="H1505" s="1715"/>
      <c r="I1505" s="1715"/>
      <c r="J1505" s="1717"/>
      <c r="K1505" s="1717"/>
      <c r="L1505" s="1717"/>
      <c r="M1505" s="1717"/>
      <c r="N1505" s="1718"/>
    </row>
    <row r="1506">
      <c r="A1506" s="1721"/>
      <c r="C1506" s="1026"/>
      <c r="D1506" s="1714"/>
      <c r="E1506" s="1720"/>
      <c r="F1506" s="1720"/>
      <c r="G1506" s="1716"/>
      <c r="H1506" s="1715"/>
      <c r="I1506" s="1715"/>
      <c r="J1506" s="1717"/>
      <c r="K1506" s="1717"/>
      <c r="L1506" s="1717"/>
      <c r="M1506" s="1717"/>
      <c r="N1506" s="1718"/>
    </row>
    <row r="1507">
      <c r="A1507" s="1721"/>
      <c r="C1507" s="1026"/>
      <c r="D1507" s="1714"/>
      <c r="E1507" s="1720"/>
      <c r="F1507" s="1720"/>
      <c r="G1507" s="1716"/>
      <c r="H1507" s="1715"/>
      <c r="I1507" s="1715"/>
      <c r="J1507" s="1717"/>
      <c r="K1507" s="1717"/>
      <c r="L1507" s="1717"/>
      <c r="M1507" s="1717"/>
      <c r="N1507" s="1718"/>
    </row>
    <row r="1508">
      <c r="A1508" s="1721"/>
      <c r="C1508" s="1026"/>
      <c r="D1508" s="1714"/>
      <c r="E1508" s="1720"/>
      <c r="F1508" s="1720"/>
      <c r="G1508" s="1716"/>
      <c r="H1508" s="1715"/>
      <c r="I1508" s="1715"/>
      <c r="J1508" s="1717"/>
      <c r="K1508" s="1717"/>
      <c r="L1508" s="1717"/>
      <c r="M1508" s="1717"/>
      <c r="N1508" s="1718"/>
    </row>
    <row r="1509">
      <c r="A1509" s="1721"/>
      <c r="C1509" s="1026"/>
      <c r="D1509" s="1714"/>
      <c r="E1509" s="1720"/>
      <c r="F1509" s="1720"/>
      <c r="G1509" s="1716"/>
      <c r="H1509" s="1715"/>
      <c r="I1509" s="1715"/>
      <c r="J1509" s="1717"/>
      <c r="K1509" s="1717"/>
      <c r="L1509" s="1717"/>
      <c r="M1509" s="1717"/>
      <c r="N1509" s="1718"/>
    </row>
    <row r="1510">
      <c r="A1510" s="1721"/>
      <c r="C1510" s="1026"/>
      <c r="D1510" s="1714"/>
      <c r="E1510" s="1720"/>
      <c r="F1510" s="1720"/>
      <c r="G1510" s="1716"/>
      <c r="H1510" s="1715"/>
      <c r="I1510" s="1715"/>
      <c r="J1510" s="1717"/>
      <c r="K1510" s="1717"/>
      <c r="L1510" s="1717"/>
      <c r="M1510" s="1717"/>
      <c r="N1510" s="1718"/>
    </row>
    <row r="1511">
      <c r="A1511" s="1721"/>
      <c r="C1511" s="1026"/>
      <c r="D1511" s="1714"/>
      <c r="E1511" s="1720"/>
      <c r="F1511" s="1720"/>
      <c r="G1511" s="1716"/>
      <c r="H1511" s="1715"/>
      <c r="I1511" s="1715"/>
      <c r="J1511" s="1717"/>
      <c r="K1511" s="1717"/>
      <c r="L1511" s="1717"/>
      <c r="M1511" s="1717"/>
      <c r="N1511" s="1718"/>
    </row>
    <row r="1512">
      <c r="A1512" s="1721"/>
      <c r="C1512" s="1026"/>
      <c r="D1512" s="1714"/>
      <c r="E1512" s="1720"/>
      <c r="F1512" s="1720"/>
      <c r="G1512" s="1716"/>
      <c r="H1512" s="1715"/>
      <c r="I1512" s="1715"/>
      <c r="J1512" s="1717"/>
      <c r="K1512" s="1717"/>
      <c r="L1512" s="1717"/>
      <c r="M1512" s="1717"/>
      <c r="N1512" s="1718"/>
    </row>
    <row r="1513">
      <c r="A1513" s="1721"/>
      <c r="C1513" s="1026"/>
      <c r="D1513" s="1714"/>
      <c r="E1513" s="1720"/>
      <c r="F1513" s="1720"/>
      <c r="G1513" s="1716"/>
      <c r="H1513" s="1715"/>
      <c r="I1513" s="1715"/>
      <c r="J1513" s="1717"/>
      <c r="K1513" s="1717"/>
      <c r="L1513" s="1717"/>
      <c r="M1513" s="1717"/>
      <c r="N1513" s="1718"/>
    </row>
    <row r="1514">
      <c r="A1514" s="1721"/>
      <c r="C1514" s="1026"/>
      <c r="D1514" s="1714"/>
      <c r="E1514" s="1720"/>
      <c r="F1514" s="1720"/>
      <c r="G1514" s="1716"/>
      <c r="H1514" s="1715"/>
      <c r="I1514" s="1715"/>
      <c r="J1514" s="1717"/>
      <c r="K1514" s="1717"/>
      <c r="L1514" s="1717"/>
      <c r="M1514" s="1717"/>
      <c r="N1514" s="1718"/>
    </row>
    <row r="1515">
      <c r="A1515" s="1721"/>
      <c r="C1515" s="1026"/>
      <c r="D1515" s="1714"/>
      <c r="E1515" s="1720"/>
      <c r="F1515" s="1720"/>
      <c r="G1515" s="1716"/>
      <c r="H1515" s="1715"/>
      <c r="I1515" s="1715"/>
      <c r="J1515" s="1717"/>
      <c r="K1515" s="1717"/>
      <c r="L1515" s="1717"/>
      <c r="M1515" s="1717"/>
      <c r="N1515" s="1718"/>
    </row>
    <row r="1516">
      <c r="A1516" s="1721"/>
      <c r="C1516" s="1026"/>
      <c r="D1516" s="1714"/>
      <c r="E1516" s="1720"/>
      <c r="F1516" s="1720"/>
      <c r="G1516" s="1716"/>
      <c r="H1516" s="1715"/>
      <c r="I1516" s="1715"/>
      <c r="J1516" s="1717"/>
      <c r="K1516" s="1717"/>
      <c r="L1516" s="1717"/>
      <c r="M1516" s="1717"/>
      <c r="N1516" s="1718"/>
    </row>
    <row r="1517">
      <c r="A1517" s="1721"/>
      <c r="C1517" s="1026"/>
      <c r="D1517" s="1714"/>
      <c r="E1517" s="1720"/>
      <c r="F1517" s="1720"/>
      <c r="G1517" s="1716"/>
      <c r="H1517" s="1715"/>
      <c r="I1517" s="1715"/>
      <c r="J1517" s="1717"/>
      <c r="K1517" s="1717"/>
      <c r="L1517" s="1717"/>
      <c r="M1517" s="1717"/>
      <c r="N1517" s="1718"/>
    </row>
    <row r="1518">
      <c r="A1518" s="1721"/>
      <c r="C1518" s="1026"/>
      <c r="D1518" s="1714"/>
      <c r="E1518" s="1720"/>
      <c r="F1518" s="1720"/>
      <c r="G1518" s="1716"/>
      <c r="H1518" s="1715"/>
      <c r="I1518" s="1715"/>
      <c r="J1518" s="1717"/>
      <c r="K1518" s="1717"/>
      <c r="L1518" s="1717"/>
      <c r="M1518" s="1717"/>
      <c r="N1518" s="1718"/>
    </row>
    <row r="1519">
      <c r="A1519" s="1721"/>
      <c r="C1519" s="1026"/>
      <c r="D1519" s="1714"/>
      <c r="E1519" s="1720"/>
      <c r="F1519" s="1720"/>
      <c r="G1519" s="1716"/>
      <c r="H1519" s="1715"/>
      <c r="I1519" s="1715"/>
      <c r="J1519" s="1717"/>
      <c r="K1519" s="1717"/>
      <c r="L1519" s="1717"/>
      <c r="M1519" s="1717"/>
      <c r="N1519" s="1718"/>
    </row>
    <row r="1520">
      <c r="A1520" s="1721"/>
      <c r="C1520" s="1026"/>
      <c r="D1520" s="1714"/>
      <c r="E1520" s="1720"/>
      <c r="F1520" s="1720"/>
      <c r="G1520" s="1716"/>
      <c r="H1520" s="1715"/>
      <c r="I1520" s="1715"/>
      <c r="J1520" s="1717"/>
      <c r="K1520" s="1717"/>
      <c r="L1520" s="1717"/>
      <c r="M1520" s="1717"/>
      <c r="N1520" s="1718"/>
    </row>
    <row r="1521">
      <c r="A1521" s="1721"/>
      <c r="C1521" s="1026"/>
      <c r="D1521" s="1714"/>
      <c r="E1521" s="1720"/>
      <c r="F1521" s="1720"/>
      <c r="G1521" s="1716"/>
      <c r="H1521" s="1715"/>
      <c r="I1521" s="1715"/>
      <c r="J1521" s="1717"/>
      <c r="K1521" s="1717"/>
      <c r="L1521" s="1717"/>
      <c r="M1521" s="1717"/>
      <c r="N1521" s="1718"/>
    </row>
    <row r="1522">
      <c r="A1522" s="1721"/>
      <c r="C1522" s="1026"/>
      <c r="D1522" s="1714"/>
      <c r="E1522" s="1720"/>
      <c r="F1522" s="1720"/>
      <c r="G1522" s="1716"/>
      <c r="H1522" s="1715"/>
      <c r="I1522" s="1715"/>
      <c r="J1522" s="1717"/>
      <c r="K1522" s="1717"/>
      <c r="L1522" s="1717"/>
      <c r="M1522" s="1717"/>
      <c r="N1522" s="1718"/>
    </row>
    <row r="1523">
      <c r="A1523" s="1721"/>
      <c r="C1523" s="1026"/>
      <c r="D1523" s="1714"/>
      <c r="E1523" s="1720"/>
      <c r="F1523" s="1720"/>
      <c r="G1523" s="1716"/>
      <c r="H1523" s="1715"/>
      <c r="I1523" s="1715"/>
      <c r="J1523" s="1717"/>
      <c r="K1523" s="1717"/>
      <c r="L1523" s="1717"/>
      <c r="M1523" s="1717"/>
      <c r="N1523" s="1718"/>
    </row>
    <row r="1524">
      <c r="A1524" s="1721"/>
      <c r="C1524" s="1026"/>
      <c r="D1524" s="1714"/>
      <c r="E1524" s="1720"/>
      <c r="F1524" s="1720"/>
      <c r="G1524" s="1716"/>
      <c r="H1524" s="1715"/>
      <c r="I1524" s="1715"/>
      <c r="J1524" s="1717"/>
      <c r="K1524" s="1717"/>
      <c r="L1524" s="1717"/>
      <c r="M1524" s="1717"/>
      <c r="N1524" s="1718"/>
    </row>
    <row r="1525">
      <c r="A1525" s="1721"/>
      <c r="C1525" s="1026"/>
      <c r="D1525" s="1714"/>
      <c r="E1525" s="1720"/>
      <c r="F1525" s="1720"/>
      <c r="G1525" s="1716"/>
      <c r="H1525" s="1715"/>
      <c r="I1525" s="1715"/>
      <c r="J1525" s="1717"/>
      <c r="K1525" s="1717"/>
      <c r="L1525" s="1717"/>
      <c r="M1525" s="1717"/>
      <c r="N1525" s="1718"/>
    </row>
    <row r="1526">
      <c r="A1526" s="1721"/>
      <c r="C1526" s="1026"/>
      <c r="D1526" s="1714"/>
      <c r="E1526" s="1720"/>
      <c r="F1526" s="1720"/>
      <c r="G1526" s="1716"/>
      <c r="H1526" s="1715"/>
      <c r="I1526" s="1715"/>
      <c r="J1526" s="1717"/>
      <c r="K1526" s="1717"/>
      <c r="L1526" s="1717"/>
      <c r="M1526" s="1717"/>
      <c r="N1526" s="1718"/>
    </row>
    <row r="1527">
      <c r="A1527" s="1721"/>
      <c r="C1527" s="1026"/>
      <c r="D1527" s="1714"/>
      <c r="E1527" s="1720"/>
      <c r="F1527" s="1720"/>
      <c r="G1527" s="1716"/>
      <c r="H1527" s="1715"/>
      <c r="I1527" s="1715"/>
      <c r="J1527" s="1717"/>
      <c r="K1527" s="1717"/>
      <c r="L1527" s="1717"/>
      <c r="M1527" s="1717"/>
      <c r="N1527" s="1718"/>
    </row>
    <row r="1528">
      <c r="A1528" s="1721"/>
      <c r="C1528" s="1026"/>
      <c r="D1528" s="1714"/>
      <c r="E1528" s="1720"/>
      <c r="F1528" s="1720"/>
      <c r="G1528" s="1716"/>
      <c r="H1528" s="1715"/>
      <c r="I1528" s="1715"/>
      <c r="J1528" s="1717"/>
      <c r="K1528" s="1717"/>
      <c r="L1528" s="1717"/>
      <c r="M1528" s="1717"/>
      <c r="N1528" s="1718"/>
    </row>
    <row r="1529">
      <c r="A1529" s="1721"/>
      <c r="C1529" s="1026"/>
      <c r="D1529" s="1714"/>
      <c r="E1529" s="1720"/>
      <c r="F1529" s="1720"/>
      <c r="G1529" s="1716"/>
      <c r="H1529" s="1715"/>
      <c r="I1529" s="1715"/>
      <c r="J1529" s="1717"/>
      <c r="K1529" s="1717"/>
      <c r="L1529" s="1717"/>
      <c r="M1529" s="1717"/>
      <c r="N1529" s="1718"/>
    </row>
    <row r="1530">
      <c r="A1530" s="1721"/>
      <c r="C1530" s="1026"/>
      <c r="D1530" s="1714"/>
      <c r="E1530" s="1720"/>
      <c r="F1530" s="1720"/>
      <c r="G1530" s="1716"/>
      <c r="H1530" s="1715"/>
      <c r="I1530" s="1715"/>
      <c r="J1530" s="1717"/>
      <c r="K1530" s="1717"/>
      <c r="L1530" s="1717"/>
      <c r="M1530" s="1717"/>
      <c r="N1530" s="1718"/>
    </row>
    <row r="1531">
      <c r="A1531" s="1721"/>
      <c r="C1531" s="1026"/>
      <c r="D1531" s="1714"/>
      <c r="E1531" s="1720"/>
      <c r="F1531" s="1720"/>
      <c r="G1531" s="1716"/>
      <c r="H1531" s="1715"/>
      <c r="I1531" s="1715"/>
      <c r="J1531" s="1717"/>
      <c r="K1531" s="1717"/>
      <c r="L1531" s="1717"/>
      <c r="M1531" s="1717"/>
      <c r="N1531" s="1718"/>
    </row>
    <row r="1532">
      <c r="A1532" s="1721"/>
      <c r="C1532" s="1026"/>
      <c r="D1532" s="1714"/>
      <c r="E1532" s="1720"/>
      <c r="F1532" s="1720"/>
      <c r="G1532" s="1716"/>
      <c r="H1532" s="1715"/>
      <c r="I1532" s="1715"/>
      <c r="J1532" s="1717"/>
      <c r="K1532" s="1717"/>
      <c r="L1532" s="1717"/>
      <c r="M1532" s="1717"/>
      <c r="N1532" s="1718"/>
    </row>
    <row r="1533">
      <c r="A1533" s="1721"/>
      <c r="C1533" s="1026"/>
      <c r="D1533" s="1714"/>
      <c r="E1533" s="1720"/>
      <c r="F1533" s="1720"/>
      <c r="G1533" s="1716"/>
      <c r="H1533" s="1715"/>
      <c r="I1533" s="1715"/>
      <c r="J1533" s="1717"/>
      <c r="K1533" s="1717"/>
      <c r="L1533" s="1717"/>
      <c r="M1533" s="1717"/>
      <c r="N1533" s="1718"/>
    </row>
    <row r="1534">
      <c r="A1534" s="1721"/>
      <c r="C1534" s="1026"/>
      <c r="D1534" s="1714"/>
      <c r="E1534" s="1720"/>
      <c r="F1534" s="1720"/>
      <c r="G1534" s="1716"/>
      <c r="H1534" s="1715"/>
      <c r="I1534" s="1715"/>
      <c r="J1534" s="1717"/>
      <c r="K1534" s="1717"/>
      <c r="L1534" s="1717"/>
      <c r="M1534" s="1717"/>
      <c r="N1534" s="1718"/>
    </row>
    <row r="1535">
      <c r="A1535" s="1721"/>
      <c r="C1535" s="1026"/>
      <c r="D1535" s="1714"/>
      <c r="E1535" s="1720"/>
      <c r="F1535" s="1720"/>
      <c r="G1535" s="1716"/>
      <c r="H1535" s="1715"/>
      <c r="I1535" s="1715"/>
      <c r="J1535" s="1717"/>
      <c r="K1535" s="1717"/>
      <c r="L1535" s="1717"/>
      <c r="M1535" s="1717"/>
      <c r="N1535" s="1718"/>
    </row>
    <row r="1536">
      <c r="A1536" s="1721"/>
      <c r="C1536" s="1026"/>
      <c r="D1536" s="1714"/>
      <c r="E1536" s="1720"/>
      <c r="F1536" s="1720"/>
      <c r="G1536" s="1716"/>
      <c r="H1536" s="1715"/>
      <c r="I1536" s="1715"/>
      <c r="J1536" s="1717"/>
      <c r="K1536" s="1717"/>
      <c r="L1536" s="1717"/>
      <c r="M1536" s="1717"/>
      <c r="N1536" s="1718"/>
    </row>
    <row r="1537">
      <c r="A1537" s="1721"/>
      <c r="C1537" s="1026"/>
      <c r="D1537" s="1714"/>
      <c r="E1537" s="1720"/>
      <c r="F1537" s="1720"/>
      <c r="G1537" s="1716"/>
      <c r="H1537" s="1715"/>
      <c r="I1537" s="1715"/>
      <c r="J1537" s="1717"/>
      <c r="K1537" s="1717"/>
      <c r="L1537" s="1717"/>
      <c r="M1537" s="1717"/>
      <c r="N1537" s="1718"/>
    </row>
    <row r="1538">
      <c r="A1538" s="1721"/>
      <c r="C1538" s="1026"/>
      <c r="D1538" s="1714"/>
      <c r="E1538" s="1720"/>
      <c r="F1538" s="1720"/>
      <c r="G1538" s="1716"/>
      <c r="H1538" s="1715"/>
      <c r="I1538" s="1715"/>
      <c r="J1538" s="1717"/>
      <c r="K1538" s="1717"/>
      <c r="L1538" s="1717"/>
      <c r="M1538" s="1717"/>
      <c r="N1538" s="1718"/>
    </row>
    <row r="1539">
      <c r="A1539" s="1721"/>
      <c r="C1539" s="1026"/>
      <c r="D1539" s="1714"/>
      <c r="E1539" s="1720"/>
      <c r="F1539" s="1720"/>
      <c r="G1539" s="1716"/>
      <c r="H1539" s="1715"/>
      <c r="I1539" s="1715"/>
      <c r="J1539" s="1717"/>
      <c r="K1539" s="1717"/>
      <c r="L1539" s="1717"/>
      <c r="M1539" s="1717"/>
      <c r="N1539" s="1718"/>
    </row>
    <row r="1540">
      <c r="A1540" s="1721"/>
      <c r="C1540" s="1026"/>
      <c r="D1540" s="1714"/>
      <c r="E1540" s="1720"/>
      <c r="F1540" s="1720"/>
      <c r="G1540" s="1716"/>
      <c r="H1540" s="1715"/>
      <c r="I1540" s="1715"/>
      <c r="J1540" s="1717"/>
      <c r="K1540" s="1717"/>
      <c r="L1540" s="1717"/>
      <c r="M1540" s="1717"/>
      <c r="N1540" s="1718"/>
    </row>
    <row r="1541">
      <c r="A1541" s="1721"/>
      <c r="C1541" s="1026"/>
      <c r="D1541" s="1714"/>
      <c r="E1541" s="1720"/>
      <c r="F1541" s="1720"/>
      <c r="G1541" s="1716"/>
      <c r="H1541" s="1715"/>
      <c r="I1541" s="1715"/>
      <c r="J1541" s="1717"/>
      <c r="K1541" s="1717"/>
      <c r="L1541" s="1717"/>
      <c r="M1541" s="1717"/>
      <c r="N1541" s="1718"/>
    </row>
    <row r="1542">
      <c r="A1542" s="1721"/>
      <c r="C1542" s="1026"/>
      <c r="D1542" s="1714"/>
      <c r="E1542" s="1720"/>
      <c r="F1542" s="1720"/>
      <c r="G1542" s="1716"/>
      <c r="H1542" s="1715"/>
      <c r="I1542" s="1715"/>
      <c r="J1542" s="1717"/>
      <c r="K1542" s="1717"/>
      <c r="L1542" s="1717"/>
      <c r="M1542" s="1717"/>
      <c r="N1542" s="1718"/>
    </row>
    <row r="1543">
      <c r="A1543" s="1721"/>
      <c r="C1543" s="1026"/>
      <c r="D1543" s="1714"/>
      <c r="E1543" s="1720"/>
      <c r="F1543" s="1720"/>
      <c r="G1543" s="1716"/>
      <c r="H1543" s="1715"/>
      <c r="I1543" s="1715"/>
      <c r="J1543" s="1717"/>
      <c r="K1543" s="1717"/>
      <c r="L1543" s="1717"/>
      <c r="M1543" s="1717"/>
      <c r="N1543" s="1718"/>
    </row>
    <row r="1544">
      <c r="A1544" s="1721"/>
      <c r="C1544" s="1026"/>
      <c r="D1544" s="1714"/>
      <c r="E1544" s="1720"/>
      <c r="F1544" s="1720"/>
      <c r="G1544" s="1716"/>
      <c r="H1544" s="1715"/>
      <c r="I1544" s="1715"/>
      <c r="J1544" s="1717"/>
      <c r="K1544" s="1717"/>
      <c r="L1544" s="1717"/>
      <c r="M1544" s="1717"/>
      <c r="N1544" s="1718"/>
    </row>
    <row r="1545">
      <c r="A1545" s="1721"/>
      <c r="C1545" s="1026"/>
      <c r="D1545" s="1714"/>
      <c r="E1545" s="1720"/>
      <c r="F1545" s="1720"/>
      <c r="G1545" s="1716"/>
      <c r="H1545" s="1715"/>
      <c r="I1545" s="1715"/>
      <c r="J1545" s="1717"/>
      <c r="K1545" s="1717"/>
      <c r="L1545" s="1717"/>
      <c r="M1545" s="1717"/>
      <c r="N1545" s="1718"/>
    </row>
    <row r="1546">
      <c r="A1546" s="1721"/>
      <c r="C1546" s="1026"/>
      <c r="D1546" s="1714"/>
      <c r="E1546" s="1720"/>
      <c r="F1546" s="1720"/>
      <c r="G1546" s="1716"/>
      <c r="H1546" s="1715"/>
      <c r="I1546" s="1715"/>
      <c r="J1546" s="1717"/>
      <c r="K1546" s="1717"/>
      <c r="L1546" s="1717"/>
      <c r="M1546" s="1717"/>
      <c r="N1546" s="1718"/>
    </row>
    <row r="1547">
      <c r="A1547" s="1721"/>
      <c r="C1547" s="1026"/>
      <c r="D1547" s="1714"/>
      <c r="E1547" s="1720"/>
      <c r="F1547" s="1720"/>
      <c r="G1547" s="1716"/>
      <c r="H1547" s="1715"/>
      <c r="I1547" s="1715"/>
      <c r="J1547" s="1717"/>
      <c r="K1547" s="1717"/>
      <c r="L1547" s="1717"/>
      <c r="M1547" s="1717"/>
      <c r="N1547" s="1718"/>
    </row>
    <row r="1548">
      <c r="A1548" s="1721"/>
      <c r="C1548" s="1026"/>
      <c r="D1548" s="1714"/>
      <c r="E1548" s="1720"/>
      <c r="F1548" s="1720"/>
      <c r="G1548" s="1716"/>
      <c r="H1548" s="1715"/>
      <c r="I1548" s="1715"/>
      <c r="J1548" s="1717"/>
      <c r="K1548" s="1717"/>
      <c r="L1548" s="1717"/>
      <c r="M1548" s="1717"/>
      <c r="N1548" s="1718"/>
    </row>
    <row r="1549">
      <c r="A1549" s="1721"/>
      <c r="C1549" s="1026"/>
      <c r="D1549" s="1714"/>
      <c r="E1549" s="1720"/>
      <c r="F1549" s="1720"/>
      <c r="G1549" s="1716"/>
      <c r="H1549" s="1715"/>
      <c r="I1549" s="1715"/>
      <c r="J1549" s="1717"/>
      <c r="K1549" s="1717"/>
      <c r="L1549" s="1717"/>
      <c r="M1549" s="1717"/>
      <c r="N1549" s="1718"/>
    </row>
    <row r="1550">
      <c r="A1550" s="1721"/>
      <c r="C1550" s="1026"/>
      <c r="D1550" s="1714"/>
      <c r="E1550" s="1720"/>
      <c r="F1550" s="1720"/>
      <c r="G1550" s="1716"/>
      <c r="H1550" s="1715"/>
      <c r="I1550" s="1715"/>
      <c r="J1550" s="1717"/>
      <c r="K1550" s="1717"/>
      <c r="L1550" s="1717"/>
      <c r="M1550" s="1717"/>
      <c r="N1550" s="1718"/>
    </row>
    <row r="1551">
      <c r="A1551" s="1721"/>
      <c r="C1551" s="1026"/>
      <c r="D1551" s="1714"/>
      <c r="E1551" s="1720"/>
      <c r="F1551" s="1720"/>
      <c r="G1551" s="1716"/>
      <c r="H1551" s="1715"/>
      <c r="I1551" s="1715"/>
      <c r="J1551" s="1717"/>
      <c r="K1551" s="1717"/>
      <c r="L1551" s="1717"/>
      <c r="M1551" s="1717"/>
      <c r="N1551" s="1718"/>
    </row>
    <row r="1552">
      <c r="A1552" s="1721"/>
      <c r="C1552" s="1026"/>
      <c r="D1552" s="1714"/>
      <c r="E1552" s="1720"/>
      <c r="F1552" s="1720"/>
      <c r="G1552" s="1716"/>
      <c r="H1552" s="1715"/>
      <c r="I1552" s="1715"/>
      <c r="J1552" s="1717"/>
      <c r="K1552" s="1717"/>
      <c r="L1552" s="1717"/>
      <c r="M1552" s="1717"/>
      <c r="N1552" s="1718"/>
    </row>
    <row r="1553">
      <c r="A1553" s="1721"/>
      <c r="C1553" s="1026"/>
      <c r="D1553" s="1714"/>
      <c r="E1553" s="1720"/>
      <c r="F1553" s="1720"/>
      <c r="G1553" s="1716"/>
      <c r="H1553" s="1715"/>
      <c r="I1553" s="1715"/>
      <c r="J1553" s="1717"/>
      <c r="K1553" s="1717"/>
      <c r="L1553" s="1717"/>
      <c r="M1553" s="1717"/>
      <c r="N1553" s="1718"/>
    </row>
    <row r="1554">
      <c r="A1554" s="1721"/>
      <c r="C1554" s="1026"/>
      <c r="D1554" s="1714"/>
      <c r="E1554" s="1720"/>
      <c r="F1554" s="1720"/>
      <c r="G1554" s="1716"/>
      <c r="H1554" s="1715"/>
      <c r="I1554" s="1715"/>
      <c r="J1554" s="1717"/>
      <c r="K1554" s="1717"/>
      <c r="L1554" s="1717"/>
      <c r="M1554" s="1717"/>
      <c r="N1554" s="1718"/>
    </row>
    <row r="1555">
      <c r="A1555" s="1721"/>
      <c r="C1555" s="1026"/>
      <c r="D1555" s="1714"/>
      <c r="E1555" s="1720"/>
      <c r="F1555" s="1720"/>
      <c r="G1555" s="1716"/>
      <c r="H1555" s="1715"/>
      <c r="I1555" s="1715"/>
      <c r="J1555" s="1717"/>
      <c r="K1555" s="1717"/>
      <c r="L1555" s="1717"/>
      <c r="M1555" s="1717"/>
      <c r="N1555" s="1718"/>
    </row>
    <row r="1556">
      <c r="A1556" s="1721"/>
      <c r="C1556" s="1026"/>
      <c r="D1556" s="1714"/>
      <c r="E1556" s="1720"/>
      <c r="F1556" s="1720"/>
      <c r="G1556" s="1716"/>
      <c r="H1556" s="1715"/>
      <c r="I1556" s="1715"/>
      <c r="J1556" s="1717"/>
      <c r="K1556" s="1717"/>
      <c r="L1556" s="1717"/>
      <c r="M1556" s="1717"/>
      <c r="N1556" s="1718"/>
    </row>
    <row r="1557">
      <c r="A1557" s="1721"/>
      <c r="C1557" s="1026"/>
      <c r="D1557" s="1714"/>
      <c r="E1557" s="1720"/>
      <c r="F1557" s="1720"/>
      <c r="G1557" s="1716"/>
      <c r="H1557" s="1715"/>
      <c r="I1557" s="1715"/>
      <c r="J1557" s="1717"/>
      <c r="K1557" s="1717"/>
      <c r="L1557" s="1717"/>
      <c r="M1557" s="1717"/>
      <c r="N1557" s="1718"/>
    </row>
    <row r="1558">
      <c r="A1558" s="1721"/>
      <c r="C1558" s="1026"/>
      <c r="D1558" s="1714"/>
      <c r="E1558" s="1720"/>
      <c r="F1558" s="1720"/>
      <c r="G1558" s="1716"/>
      <c r="H1558" s="1715"/>
      <c r="I1558" s="1715"/>
      <c r="J1558" s="1717"/>
      <c r="K1558" s="1717"/>
      <c r="L1558" s="1717"/>
      <c r="M1558" s="1717"/>
      <c r="N1558" s="1718"/>
    </row>
    <row r="1559">
      <c r="A1559" s="1721"/>
      <c r="C1559" s="1026"/>
      <c r="D1559" s="1714"/>
      <c r="E1559" s="1720"/>
      <c r="F1559" s="1720"/>
      <c r="G1559" s="1716"/>
      <c r="H1559" s="1715"/>
      <c r="I1559" s="1715"/>
      <c r="J1559" s="1717"/>
      <c r="K1559" s="1717"/>
      <c r="L1559" s="1717"/>
      <c r="M1559" s="1717"/>
      <c r="N1559" s="1718"/>
    </row>
    <row r="1560">
      <c r="A1560" s="1721"/>
      <c r="C1560" s="1026"/>
      <c r="D1560" s="1714"/>
      <c r="E1560" s="1720"/>
      <c r="F1560" s="1720"/>
      <c r="G1560" s="1716"/>
      <c r="H1560" s="1715"/>
      <c r="I1560" s="1715"/>
      <c r="J1560" s="1717"/>
      <c r="K1560" s="1717"/>
      <c r="L1560" s="1717"/>
      <c r="M1560" s="1717"/>
      <c r="N1560" s="1718"/>
    </row>
    <row r="1561">
      <c r="A1561" s="1721"/>
      <c r="C1561" s="1026"/>
      <c r="D1561" s="1714"/>
      <c r="E1561" s="1720"/>
      <c r="F1561" s="1720"/>
      <c r="G1561" s="1716"/>
      <c r="H1561" s="1715"/>
      <c r="I1561" s="1715"/>
      <c r="J1561" s="1717"/>
      <c r="K1561" s="1717"/>
      <c r="L1561" s="1717"/>
      <c r="M1561" s="1717"/>
      <c r="N1561" s="1718"/>
    </row>
    <row r="1562">
      <c r="A1562" s="1721"/>
      <c r="C1562" s="1026"/>
      <c r="D1562" s="1714"/>
      <c r="E1562" s="1720"/>
      <c r="F1562" s="1720"/>
      <c r="G1562" s="1716"/>
      <c r="H1562" s="1715"/>
      <c r="I1562" s="1715"/>
      <c r="J1562" s="1717"/>
      <c r="K1562" s="1717"/>
      <c r="L1562" s="1717"/>
      <c r="M1562" s="1717"/>
      <c r="N1562" s="1718"/>
    </row>
    <row r="1563">
      <c r="A1563" s="1721"/>
      <c r="C1563" s="1026"/>
      <c r="D1563" s="1714"/>
      <c r="E1563" s="1720"/>
      <c r="F1563" s="1720"/>
      <c r="G1563" s="1716"/>
      <c r="H1563" s="1715"/>
      <c r="I1563" s="1715"/>
      <c r="J1563" s="1717"/>
      <c r="K1563" s="1717"/>
      <c r="L1563" s="1717"/>
      <c r="M1563" s="1717"/>
      <c r="N1563" s="1718"/>
    </row>
    <row r="1564">
      <c r="A1564" s="1721"/>
      <c r="C1564" s="1026"/>
      <c r="D1564" s="1714"/>
      <c r="E1564" s="1720"/>
      <c r="F1564" s="1720"/>
      <c r="G1564" s="1716"/>
      <c r="H1564" s="1715"/>
      <c r="I1564" s="1715"/>
      <c r="J1564" s="1717"/>
      <c r="K1564" s="1717"/>
      <c r="L1564" s="1717"/>
      <c r="M1564" s="1717"/>
      <c r="N1564" s="1718"/>
    </row>
    <row r="1565">
      <c r="A1565" s="1721"/>
      <c r="C1565" s="1026"/>
      <c r="D1565" s="1714"/>
      <c r="E1565" s="1720"/>
      <c r="F1565" s="1720"/>
      <c r="G1565" s="1716"/>
      <c r="H1565" s="1715"/>
      <c r="I1565" s="1715"/>
      <c r="J1565" s="1717"/>
      <c r="K1565" s="1717"/>
      <c r="L1565" s="1717"/>
      <c r="M1565" s="1717"/>
      <c r="N1565" s="1718"/>
    </row>
    <row r="1566">
      <c r="A1566" s="1721"/>
      <c r="C1566" s="1026"/>
      <c r="D1566" s="1714"/>
      <c r="E1566" s="1720"/>
      <c r="F1566" s="1720"/>
      <c r="G1566" s="1716"/>
      <c r="H1566" s="1715"/>
      <c r="I1566" s="1715"/>
      <c r="J1566" s="1717"/>
      <c r="K1566" s="1717"/>
      <c r="L1566" s="1717"/>
      <c r="M1566" s="1717"/>
      <c r="N1566" s="1718"/>
    </row>
    <row r="1567">
      <c r="A1567" s="1721"/>
      <c r="C1567" s="1026"/>
      <c r="D1567" s="1714"/>
      <c r="E1567" s="1720"/>
      <c r="F1567" s="1720"/>
      <c r="G1567" s="1716"/>
      <c r="H1567" s="1715"/>
      <c r="I1567" s="1715"/>
      <c r="J1567" s="1717"/>
      <c r="K1567" s="1717"/>
      <c r="L1567" s="1717"/>
      <c r="M1567" s="1717"/>
      <c r="N1567" s="1718"/>
    </row>
    <row r="1568">
      <c r="A1568" s="1721"/>
      <c r="C1568" s="1026"/>
      <c r="D1568" s="1714"/>
      <c r="E1568" s="1720"/>
      <c r="F1568" s="1720"/>
      <c r="G1568" s="1716"/>
      <c r="H1568" s="1715"/>
      <c r="I1568" s="1715"/>
      <c r="J1568" s="1717"/>
      <c r="K1568" s="1717"/>
      <c r="L1568" s="1717"/>
      <c r="M1568" s="1717"/>
      <c r="N1568" s="1718"/>
    </row>
    <row r="1569">
      <c r="A1569" s="1721"/>
      <c r="C1569" s="1026"/>
      <c r="D1569" s="1714"/>
      <c r="E1569" s="1720"/>
      <c r="F1569" s="1720"/>
      <c r="G1569" s="1716"/>
      <c r="H1569" s="1715"/>
      <c r="I1569" s="1715"/>
      <c r="J1569" s="1717"/>
      <c r="K1569" s="1717"/>
      <c r="L1569" s="1717"/>
      <c r="M1569" s="1717"/>
      <c r="N1569" s="1718"/>
    </row>
    <row r="1570">
      <c r="A1570" s="1721"/>
      <c r="C1570" s="1026"/>
      <c r="D1570" s="1714"/>
      <c r="E1570" s="1720"/>
      <c r="F1570" s="1720"/>
      <c r="G1570" s="1716"/>
      <c r="H1570" s="1715"/>
      <c r="I1570" s="1715"/>
      <c r="J1570" s="1717"/>
      <c r="K1570" s="1717"/>
      <c r="L1570" s="1717"/>
      <c r="M1570" s="1717"/>
      <c r="N1570" s="1718"/>
    </row>
    <row r="1571">
      <c r="A1571" s="1721"/>
      <c r="C1571" s="1026"/>
      <c r="D1571" s="1714"/>
      <c r="E1571" s="1720"/>
      <c r="F1571" s="1720"/>
      <c r="G1571" s="1716"/>
      <c r="H1571" s="1715"/>
      <c r="I1571" s="1715"/>
      <c r="J1571" s="1717"/>
      <c r="K1571" s="1717"/>
      <c r="L1571" s="1717"/>
      <c r="M1571" s="1717"/>
      <c r="N1571" s="1718"/>
    </row>
    <row r="1572">
      <c r="A1572" s="1721"/>
      <c r="C1572" s="1026"/>
      <c r="D1572" s="1714"/>
      <c r="E1572" s="1720"/>
      <c r="F1572" s="1720"/>
      <c r="G1572" s="1716"/>
      <c r="H1572" s="1715"/>
      <c r="I1572" s="1715"/>
      <c r="J1572" s="1717"/>
      <c r="K1572" s="1717"/>
      <c r="L1572" s="1717"/>
      <c r="M1572" s="1717"/>
      <c r="N1572" s="1718"/>
    </row>
    <row r="1573">
      <c r="A1573" s="1721"/>
      <c r="C1573" s="1026"/>
      <c r="D1573" s="1714"/>
      <c r="E1573" s="1720"/>
      <c r="F1573" s="1720"/>
      <c r="G1573" s="1716"/>
      <c r="H1573" s="1715"/>
      <c r="I1573" s="1715"/>
      <c r="J1573" s="1717"/>
      <c r="K1573" s="1717"/>
      <c r="L1573" s="1717"/>
      <c r="M1573" s="1717"/>
      <c r="N1573" s="1718"/>
    </row>
    <row r="1574">
      <c r="A1574" s="1721"/>
      <c r="C1574" s="1026"/>
      <c r="D1574" s="1714"/>
      <c r="E1574" s="1720"/>
      <c r="F1574" s="1720"/>
      <c r="G1574" s="1716"/>
      <c r="H1574" s="1715"/>
      <c r="I1574" s="1715"/>
      <c r="J1574" s="1717"/>
      <c r="K1574" s="1717"/>
      <c r="L1574" s="1717"/>
      <c r="M1574" s="1717"/>
      <c r="N1574" s="1718"/>
    </row>
    <row r="1575">
      <c r="A1575" s="1721"/>
      <c r="C1575" s="1026"/>
      <c r="D1575" s="1714"/>
      <c r="E1575" s="1720"/>
      <c r="F1575" s="1720"/>
      <c r="G1575" s="1716"/>
      <c r="H1575" s="1715"/>
      <c r="I1575" s="1715"/>
      <c r="J1575" s="1717"/>
      <c r="K1575" s="1717"/>
      <c r="L1575" s="1717"/>
      <c r="M1575" s="1717"/>
      <c r="N1575" s="1718"/>
    </row>
    <row r="1576">
      <c r="A1576" s="1721"/>
      <c r="C1576" s="1026"/>
      <c r="D1576" s="1714"/>
      <c r="E1576" s="1720"/>
      <c r="F1576" s="1720"/>
      <c r="G1576" s="1716"/>
      <c r="H1576" s="1715"/>
      <c r="I1576" s="1715"/>
      <c r="J1576" s="1717"/>
      <c r="K1576" s="1717"/>
      <c r="L1576" s="1717"/>
      <c r="M1576" s="1717"/>
      <c r="N1576" s="1718"/>
    </row>
    <row r="1577">
      <c r="A1577" s="1721"/>
      <c r="C1577" s="1026"/>
      <c r="D1577" s="1714"/>
      <c r="E1577" s="1720"/>
      <c r="F1577" s="1720"/>
      <c r="G1577" s="1716"/>
      <c r="H1577" s="1715"/>
      <c r="I1577" s="1715"/>
      <c r="J1577" s="1717"/>
      <c r="K1577" s="1717"/>
      <c r="L1577" s="1717"/>
      <c r="M1577" s="1717"/>
      <c r="N1577" s="1718"/>
    </row>
    <row r="1578">
      <c r="A1578" s="1721"/>
      <c r="C1578" s="1026"/>
      <c r="D1578" s="1714"/>
      <c r="E1578" s="1720"/>
      <c r="F1578" s="1720"/>
      <c r="G1578" s="1716"/>
      <c r="H1578" s="1715"/>
      <c r="I1578" s="1715"/>
      <c r="J1578" s="1717"/>
      <c r="K1578" s="1717"/>
      <c r="L1578" s="1717"/>
      <c r="M1578" s="1717"/>
      <c r="N1578" s="1718"/>
    </row>
    <row r="1579">
      <c r="A1579" s="1721"/>
      <c r="C1579" s="1026"/>
      <c r="D1579" s="1714"/>
      <c r="E1579" s="1720"/>
      <c r="F1579" s="1720"/>
      <c r="G1579" s="1716"/>
      <c r="H1579" s="1715"/>
      <c r="I1579" s="1715"/>
      <c r="J1579" s="1717"/>
      <c r="K1579" s="1717"/>
      <c r="L1579" s="1717"/>
      <c r="M1579" s="1717"/>
      <c r="N1579" s="1718"/>
    </row>
    <row r="1580">
      <c r="A1580" s="1721"/>
      <c r="C1580" s="1026"/>
      <c r="D1580" s="1714"/>
      <c r="E1580" s="1720"/>
      <c r="F1580" s="1720"/>
      <c r="G1580" s="1716"/>
      <c r="H1580" s="1715"/>
      <c r="I1580" s="1715"/>
      <c r="J1580" s="1717"/>
      <c r="K1580" s="1717"/>
      <c r="L1580" s="1717"/>
      <c r="M1580" s="1717"/>
      <c r="N1580" s="1718"/>
    </row>
    <row r="1581">
      <c r="A1581" s="1721"/>
      <c r="C1581" s="1026"/>
      <c r="D1581" s="1714"/>
      <c r="E1581" s="1720"/>
      <c r="F1581" s="1720"/>
      <c r="G1581" s="1716"/>
      <c r="H1581" s="1715"/>
      <c r="I1581" s="1715"/>
      <c r="J1581" s="1717"/>
      <c r="K1581" s="1717"/>
      <c r="L1581" s="1717"/>
      <c r="M1581" s="1717"/>
      <c r="N1581" s="1718"/>
    </row>
    <row r="1582">
      <c r="A1582" s="1721"/>
      <c r="C1582" s="1026"/>
      <c r="D1582" s="1714"/>
      <c r="E1582" s="1720"/>
      <c r="F1582" s="1720"/>
      <c r="G1582" s="1716"/>
      <c r="H1582" s="1715"/>
      <c r="I1582" s="1715"/>
      <c r="J1582" s="1717"/>
      <c r="K1582" s="1717"/>
      <c r="L1582" s="1717"/>
      <c r="M1582" s="1717"/>
      <c r="N1582" s="1718"/>
    </row>
    <row r="1583">
      <c r="A1583" s="1721"/>
      <c r="C1583" s="1026"/>
      <c r="D1583" s="1714"/>
      <c r="E1583" s="1720"/>
      <c r="F1583" s="1720"/>
      <c r="G1583" s="1716"/>
      <c r="H1583" s="1715"/>
      <c r="I1583" s="1715"/>
      <c r="J1583" s="1717"/>
      <c r="K1583" s="1717"/>
      <c r="L1583" s="1717"/>
      <c r="M1583" s="1717"/>
      <c r="N1583" s="1718"/>
    </row>
    <row r="1584">
      <c r="A1584" s="1721"/>
      <c r="C1584" s="1026"/>
      <c r="D1584" s="1714"/>
      <c r="E1584" s="1720"/>
      <c r="F1584" s="1720"/>
      <c r="G1584" s="1716"/>
      <c r="H1584" s="1715"/>
      <c r="I1584" s="1715"/>
      <c r="J1584" s="1717"/>
      <c r="K1584" s="1717"/>
      <c r="L1584" s="1717"/>
      <c r="M1584" s="1717"/>
      <c r="N1584" s="1718"/>
    </row>
    <row r="1585">
      <c r="A1585" s="1721"/>
      <c r="C1585" s="1026"/>
      <c r="D1585" s="1714"/>
      <c r="E1585" s="1720"/>
      <c r="F1585" s="1720"/>
      <c r="G1585" s="1716"/>
      <c r="H1585" s="1715"/>
      <c r="I1585" s="1715"/>
      <c r="J1585" s="1717"/>
      <c r="K1585" s="1717"/>
      <c r="L1585" s="1717"/>
      <c r="M1585" s="1717"/>
      <c r="N1585" s="1718"/>
    </row>
    <row r="1586">
      <c r="A1586" s="1721"/>
      <c r="C1586" s="1026"/>
      <c r="D1586" s="1714"/>
      <c r="E1586" s="1720"/>
      <c r="F1586" s="1720"/>
      <c r="G1586" s="1716"/>
      <c r="H1586" s="1715"/>
      <c r="I1586" s="1715"/>
      <c r="J1586" s="1717"/>
      <c r="K1586" s="1717"/>
      <c r="L1586" s="1717"/>
      <c r="M1586" s="1717"/>
      <c r="N1586" s="1718"/>
    </row>
    <row r="1587">
      <c r="A1587" s="1721"/>
      <c r="C1587" s="1026"/>
      <c r="D1587" s="1714"/>
      <c r="E1587" s="1720"/>
      <c r="F1587" s="1720"/>
      <c r="G1587" s="1716"/>
      <c r="H1587" s="1715"/>
      <c r="I1587" s="1715"/>
      <c r="J1587" s="1717"/>
      <c r="K1587" s="1717"/>
      <c r="L1587" s="1717"/>
      <c r="M1587" s="1717"/>
      <c r="N1587" s="1718"/>
    </row>
    <row r="1588">
      <c r="A1588" s="1721"/>
      <c r="C1588" s="1026"/>
      <c r="D1588" s="1714"/>
      <c r="E1588" s="1720"/>
      <c r="F1588" s="1720"/>
      <c r="G1588" s="1716"/>
      <c r="H1588" s="1715"/>
      <c r="I1588" s="1715"/>
      <c r="J1588" s="1717"/>
      <c r="K1588" s="1717"/>
      <c r="L1588" s="1717"/>
      <c r="M1588" s="1717"/>
      <c r="N1588" s="1718"/>
    </row>
    <row r="1589">
      <c r="A1589" s="1721"/>
      <c r="C1589" s="1026"/>
      <c r="D1589" s="1714"/>
      <c r="E1589" s="1720"/>
      <c r="F1589" s="1720"/>
      <c r="G1589" s="1716"/>
      <c r="H1589" s="1715"/>
      <c r="I1589" s="1715"/>
      <c r="J1589" s="1717"/>
      <c r="K1589" s="1717"/>
      <c r="L1589" s="1717"/>
      <c r="M1589" s="1717"/>
      <c r="N1589" s="1718"/>
    </row>
    <row r="1590">
      <c r="A1590" s="1721"/>
      <c r="C1590" s="1026"/>
      <c r="D1590" s="1714"/>
      <c r="E1590" s="1720"/>
      <c r="F1590" s="1720"/>
      <c r="G1590" s="1716"/>
      <c r="H1590" s="1715"/>
      <c r="I1590" s="1715"/>
      <c r="J1590" s="1717"/>
      <c r="K1590" s="1717"/>
      <c r="L1590" s="1717"/>
      <c r="M1590" s="1717"/>
      <c r="N1590" s="1718"/>
    </row>
    <row r="1591">
      <c r="A1591" s="1721"/>
      <c r="C1591" s="1026"/>
      <c r="D1591" s="1714"/>
      <c r="E1591" s="1720"/>
      <c r="F1591" s="1720"/>
      <c r="G1591" s="1716"/>
      <c r="H1591" s="1715"/>
      <c r="I1591" s="1715"/>
      <c r="J1591" s="1717"/>
      <c r="K1591" s="1717"/>
      <c r="L1591" s="1717"/>
      <c r="M1591" s="1717"/>
      <c r="N1591" s="1718"/>
    </row>
    <row r="1592">
      <c r="A1592" s="1721"/>
      <c r="C1592" s="1026"/>
      <c r="D1592" s="1714"/>
      <c r="E1592" s="1720"/>
      <c r="F1592" s="1720"/>
      <c r="G1592" s="1716"/>
      <c r="H1592" s="1715"/>
      <c r="I1592" s="1715"/>
      <c r="J1592" s="1717"/>
      <c r="K1592" s="1717"/>
      <c r="L1592" s="1717"/>
      <c r="M1592" s="1717"/>
      <c r="N1592" s="1718"/>
    </row>
    <row r="1593">
      <c r="A1593" s="1721"/>
      <c r="C1593" s="1026"/>
      <c r="D1593" s="1714"/>
      <c r="E1593" s="1720"/>
      <c r="F1593" s="1720"/>
      <c r="G1593" s="1716"/>
      <c r="H1593" s="1715"/>
      <c r="I1593" s="1715"/>
      <c r="J1593" s="1717"/>
      <c r="K1593" s="1717"/>
      <c r="L1593" s="1717"/>
      <c r="M1593" s="1717"/>
      <c r="N1593" s="1718"/>
    </row>
    <row r="1594">
      <c r="A1594" s="1721"/>
      <c r="C1594" s="1026"/>
      <c r="D1594" s="1714"/>
      <c r="E1594" s="1720"/>
      <c r="F1594" s="1720"/>
      <c r="G1594" s="1716"/>
      <c r="H1594" s="1715"/>
      <c r="I1594" s="1715"/>
      <c r="J1594" s="1717"/>
      <c r="K1594" s="1717"/>
      <c r="L1594" s="1717"/>
      <c r="M1594" s="1717"/>
      <c r="N1594" s="1718"/>
    </row>
    <row r="1595">
      <c r="A1595" s="1721"/>
      <c r="C1595" s="1026"/>
      <c r="D1595" s="1714"/>
      <c r="E1595" s="1720"/>
      <c r="F1595" s="1720"/>
      <c r="G1595" s="1716"/>
      <c r="H1595" s="1715"/>
      <c r="I1595" s="1715"/>
      <c r="J1595" s="1717"/>
      <c r="K1595" s="1717"/>
      <c r="L1595" s="1717"/>
      <c r="M1595" s="1717"/>
      <c r="N1595" s="1718"/>
    </row>
    <row r="1596">
      <c r="A1596" s="1721"/>
      <c r="C1596" s="1026"/>
      <c r="D1596" s="1714"/>
      <c r="E1596" s="1720"/>
      <c r="F1596" s="1720"/>
      <c r="G1596" s="1716"/>
      <c r="H1596" s="1715"/>
      <c r="I1596" s="1715"/>
      <c r="J1596" s="1717"/>
      <c r="K1596" s="1717"/>
      <c r="L1596" s="1717"/>
      <c r="M1596" s="1717"/>
      <c r="N1596" s="1718"/>
    </row>
    <row r="1597">
      <c r="A1597" s="1721"/>
      <c r="C1597" s="1026"/>
      <c r="D1597" s="1714"/>
      <c r="E1597" s="1720"/>
      <c r="F1597" s="1720"/>
      <c r="G1597" s="1716"/>
      <c r="H1597" s="1715"/>
      <c r="I1597" s="1715"/>
      <c r="J1597" s="1717"/>
      <c r="K1597" s="1717"/>
      <c r="L1597" s="1717"/>
      <c r="M1597" s="1717"/>
      <c r="N1597" s="1718"/>
    </row>
    <row r="1598">
      <c r="A1598" s="1721"/>
      <c r="C1598" s="1026"/>
      <c r="D1598" s="1714"/>
      <c r="E1598" s="1720"/>
      <c r="F1598" s="1720"/>
      <c r="G1598" s="1716"/>
      <c r="H1598" s="1715"/>
      <c r="I1598" s="1715"/>
      <c r="J1598" s="1717"/>
      <c r="K1598" s="1717"/>
      <c r="L1598" s="1717"/>
      <c r="M1598" s="1717"/>
      <c r="N1598" s="1718"/>
    </row>
    <row r="1599">
      <c r="A1599" s="1721"/>
      <c r="C1599" s="1026"/>
      <c r="D1599" s="1714"/>
      <c r="E1599" s="1720"/>
      <c r="F1599" s="1720"/>
      <c r="G1599" s="1716"/>
      <c r="H1599" s="1715"/>
      <c r="I1599" s="1715"/>
      <c r="J1599" s="1717"/>
      <c r="K1599" s="1717"/>
      <c r="L1599" s="1717"/>
      <c r="M1599" s="1717"/>
      <c r="N1599" s="1718"/>
    </row>
    <row r="1600">
      <c r="A1600" s="1721"/>
      <c r="C1600" s="1026"/>
      <c r="D1600" s="1714"/>
      <c r="E1600" s="1720"/>
      <c r="F1600" s="1720"/>
      <c r="G1600" s="1716"/>
      <c r="H1600" s="1715"/>
      <c r="I1600" s="1715"/>
      <c r="J1600" s="1717"/>
      <c r="K1600" s="1717"/>
      <c r="L1600" s="1717"/>
      <c r="M1600" s="1717"/>
      <c r="N1600" s="1718"/>
    </row>
    <row r="1601">
      <c r="A1601" s="1721"/>
      <c r="C1601" s="1026"/>
      <c r="D1601" s="1714"/>
      <c r="E1601" s="1720"/>
      <c r="F1601" s="1720"/>
      <c r="G1601" s="1716"/>
      <c r="H1601" s="1715"/>
      <c r="I1601" s="1715"/>
      <c r="J1601" s="1717"/>
      <c r="K1601" s="1717"/>
      <c r="L1601" s="1717"/>
      <c r="M1601" s="1717"/>
      <c r="N1601" s="1718"/>
    </row>
    <row r="1602">
      <c r="A1602" s="1721"/>
      <c r="C1602" s="1026"/>
      <c r="D1602" s="1714"/>
      <c r="E1602" s="1720"/>
      <c r="F1602" s="1720"/>
      <c r="G1602" s="1716"/>
      <c r="H1602" s="1715"/>
      <c r="I1602" s="1715"/>
      <c r="J1602" s="1717"/>
      <c r="K1602" s="1717"/>
      <c r="L1602" s="1717"/>
      <c r="M1602" s="1717"/>
      <c r="N1602" s="1718"/>
    </row>
    <row r="1603">
      <c r="A1603" s="1721"/>
      <c r="C1603" s="1026"/>
      <c r="D1603" s="1714"/>
      <c r="E1603" s="1720"/>
      <c r="F1603" s="1720"/>
      <c r="G1603" s="1716"/>
      <c r="H1603" s="1715"/>
      <c r="I1603" s="1715"/>
      <c r="J1603" s="1717"/>
      <c r="K1603" s="1717"/>
      <c r="L1603" s="1717"/>
      <c r="M1603" s="1717"/>
      <c r="N1603" s="1718"/>
    </row>
    <row r="1604">
      <c r="A1604" s="1721"/>
      <c r="C1604" s="1026"/>
      <c r="D1604" s="1714"/>
      <c r="E1604" s="1720"/>
      <c r="F1604" s="1720"/>
      <c r="G1604" s="1716"/>
      <c r="H1604" s="1715"/>
      <c r="I1604" s="1715"/>
      <c r="J1604" s="1717"/>
      <c r="K1604" s="1717"/>
      <c r="L1604" s="1717"/>
      <c r="M1604" s="1717"/>
      <c r="N1604" s="1718"/>
    </row>
    <row r="1605">
      <c r="A1605" s="1721"/>
      <c r="C1605" s="1026"/>
      <c r="D1605" s="1714"/>
      <c r="E1605" s="1720"/>
      <c r="F1605" s="1720"/>
      <c r="G1605" s="1716"/>
      <c r="H1605" s="1715"/>
      <c r="I1605" s="1715"/>
      <c r="J1605" s="1717"/>
      <c r="K1605" s="1717"/>
      <c r="L1605" s="1717"/>
      <c r="M1605" s="1717"/>
      <c r="N1605" s="1718"/>
    </row>
    <row r="1606">
      <c r="A1606" s="1721"/>
      <c r="C1606" s="1026"/>
      <c r="D1606" s="1714"/>
      <c r="E1606" s="1720"/>
      <c r="F1606" s="1720"/>
      <c r="G1606" s="1716"/>
      <c r="H1606" s="1715"/>
      <c r="I1606" s="1715"/>
      <c r="J1606" s="1717"/>
      <c r="K1606" s="1717"/>
      <c r="L1606" s="1717"/>
      <c r="M1606" s="1717"/>
      <c r="N1606" s="1718"/>
    </row>
    <row r="1607">
      <c r="A1607" s="1721"/>
      <c r="C1607" s="1026"/>
      <c r="D1607" s="1714"/>
      <c r="E1607" s="1720"/>
      <c r="F1607" s="1720"/>
      <c r="G1607" s="1716"/>
      <c r="H1607" s="1715"/>
      <c r="I1607" s="1715"/>
      <c r="J1607" s="1717"/>
      <c r="K1607" s="1717"/>
      <c r="L1607" s="1717"/>
      <c r="M1607" s="1717"/>
      <c r="N1607" s="1718"/>
    </row>
    <row r="1608">
      <c r="A1608" s="1721"/>
      <c r="C1608" s="1026"/>
      <c r="D1608" s="1714"/>
      <c r="E1608" s="1720"/>
      <c r="F1608" s="1720"/>
      <c r="G1608" s="1716"/>
      <c r="H1608" s="1715"/>
      <c r="I1608" s="1715"/>
      <c r="J1608" s="1717"/>
      <c r="K1608" s="1717"/>
      <c r="L1608" s="1717"/>
      <c r="M1608" s="1717"/>
      <c r="N1608" s="1718"/>
    </row>
    <row r="1609">
      <c r="A1609" s="1721"/>
      <c r="C1609" s="1026"/>
      <c r="D1609" s="1714"/>
      <c r="E1609" s="1720"/>
      <c r="F1609" s="1720"/>
      <c r="G1609" s="1716"/>
      <c r="H1609" s="1715"/>
      <c r="I1609" s="1715"/>
      <c r="J1609" s="1717"/>
      <c r="K1609" s="1717"/>
      <c r="L1609" s="1717"/>
      <c r="M1609" s="1717"/>
      <c r="N1609" s="1718"/>
    </row>
    <row r="1610">
      <c r="A1610" s="1721"/>
      <c r="C1610" s="1026"/>
      <c r="D1610" s="1714"/>
      <c r="E1610" s="1720"/>
      <c r="F1610" s="1720"/>
      <c r="G1610" s="1716"/>
      <c r="H1610" s="1715"/>
      <c r="I1610" s="1715"/>
      <c r="J1610" s="1717"/>
      <c r="K1610" s="1717"/>
      <c r="L1610" s="1717"/>
      <c r="M1610" s="1717"/>
      <c r="N1610" s="1718"/>
    </row>
    <row r="1611">
      <c r="A1611" s="1721"/>
      <c r="C1611" s="1026"/>
      <c r="D1611" s="1714"/>
      <c r="E1611" s="1720"/>
      <c r="F1611" s="1720"/>
      <c r="G1611" s="1716"/>
      <c r="H1611" s="1715"/>
      <c r="I1611" s="1715"/>
      <c r="J1611" s="1717"/>
      <c r="K1611" s="1717"/>
      <c r="L1611" s="1717"/>
      <c r="M1611" s="1717"/>
      <c r="N1611" s="1718"/>
    </row>
    <row r="1612">
      <c r="A1612" s="1721"/>
      <c r="C1612" s="1026"/>
      <c r="D1612" s="1714"/>
      <c r="E1612" s="1720"/>
      <c r="F1612" s="1720"/>
      <c r="G1612" s="1716"/>
      <c r="H1612" s="1715"/>
      <c r="I1612" s="1715"/>
      <c r="J1612" s="1717"/>
      <c r="K1612" s="1717"/>
      <c r="L1612" s="1717"/>
      <c r="M1612" s="1717"/>
      <c r="N1612" s="1718"/>
    </row>
    <row r="1613">
      <c r="A1613" s="1721"/>
      <c r="C1613" s="1026"/>
      <c r="D1613" s="1714"/>
      <c r="E1613" s="1720"/>
      <c r="F1613" s="1720"/>
      <c r="G1613" s="1716"/>
      <c r="H1613" s="1715"/>
      <c r="I1613" s="1715"/>
      <c r="J1613" s="1717"/>
      <c r="K1613" s="1717"/>
      <c r="L1613" s="1717"/>
      <c r="M1613" s="1717"/>
      <c r="N1613" s="1718"/>
    </row>
    <row r="1614">
      <c r="A1614" s="1721"/>
      <c r="C1614" s="1026"/>
      <c r="D1614" s="1714"/>
      <c r="E1614" s="1720"/>
      <c r="F1614" s="1720"/>
      <c r="G1614" s="1716"/>
      <c r="H1614" s="1715"/>
      <c r="I1614" s="1715"/>
      <c r="J1614" s="1717"/>
      <c r="K1614" s="1717"/>
      <c r="L1614" s="1717"/>
      <c r="M1614" s="1717"/>
      <c r="N1614" s="1718"/>
    </row>
    <row r="1615">
      <c r="A1615" s="1721"/>
      <c r="C1615" s="1026"/>
      <c r="D1615" s="1714"/>
      <c r="E1615" s="1720"/>
      <c r="F1615" s="1720"/>
      <c r="G1615" s="1716"/>
      <c r="H1615" s="1715"/>
      <c r="I1615" s="1715"/>
      <c r="J1615" s="1717"/>
      <c r="K1615" s="1717"/>
      <c r="L1615" s="1717"/>
      <c r="M1615" s="1717"/>
      <c r="N1615" s="1718"/>
    </row>
    <row r="1616">
      <c r="A1616" s="1721"/>
      <c r="C1616" s="1026"/>
      <c r="D1616" s="1714"/>
      <c r="E1616" s="1720"/>
      <c r="F1616" s="1720"/>
      <c r="G1616" s="1716"/>
      <c r="H1616" s="1715"/>
      <c r="I1616" s="1715"/>
      <c r="J1616" s="1717"/>
      <c r="K1616" s="1717"/>
      <c r="L1616" s="1717"/>
      <c r="M1616" s="1717"/>
      <c r="N1616" s="1718"/>
    </row>
    <row r="1617">
      <c r="A1617" s="1721"/>
      <c r="C1617" s="1026"/>
      <c r="D1617" s="1714"/>
      <c r="E1617" s="1720"/>
      <c r="F1617" s="1720"/>
      <c r="G1617" s="1716"/>
      <c r="H1617" s="1715"/>
      <c r="I1617" s="1715"/>
      <c r="J1617" s="1717"/>
      <c r="K1617" s="1717"/>
      <c r="L1617" s="1717"/>
      <c r="M1617" s="1717"/>
      <c r="N1617" s="1718"/>
    </row>
    <row r="1618">
      <c r="A1618" s="1721"/>
      <c r="C1618" s="1026"/>
      <c r="D1618" s="1714"/>
      <c r="E1618" s="1720"/>
      <c r="F1618" s="1720"/>
      <c r="G1618" s="1716"/>
      <c r="H1618" s="1715"/>
      <c r="I1618" s="1715"/>
      <c r="J1618" s="1717"/>
      <c r="K1618" s="1717"/>
      <c r="L1618" s="1717"/>
      <c r="M1618" s="1717"/>
      <c r="N1618" s="1718"/>
    </row>
    <row r="1619">
      <c r="A1619" s="1721"/>
      <c r="C1619" s="1026"/>
      <c r="D1619" s="1714"/>
      <c r="E1619" s="1720"/>
      <c r="F1619" s="1720"/>
      <c r="G1619" s="1716"/>
      <c r="H1619" s="1715"/>
      <c r="I1619" s="1715"/>
      <c r="J1619" s="1717"/>
      <c r="K1619" s="1717"/>
      <c r="L1619" s="1717"/>
      <c r="M1619" s="1717"/>
      <c r="N1619" s="1718"/>
    </row>
    <row r="1620">
      <c r="A1620" s="1721"/>
      <c r="C1620" s="1026"/>
      <c r="D1620" s="1714"/>
      <c r="E1620" s="1720"/>
      <c r="F1620" s="1720"/>
      <c r="G1620" s="1716"/>
      <c r="H1620" s="1715"/>
      <c r="I1620" s="1715"/>
      <c r="J1620" s="1717"/>
      <c r="K1620" s="1717"/>
      <c r="L1620" s="1717"/>
      <c r="M1620" s="1717"/>
      <c r="N1620" s="1718"/>
    </row>
    <row r="1621">
      <c r="A1621" s="1721"/>
      <c r="C1621" s="1026"/>
      <c r="D1621" s="1714"/>
      <c r="E1621" s="1720"/>
      <c r="F1621" s="1720"/>
      <c r="G1621" s="1716"/>
      <c r="H1621" s="1715"/>
      <c r="I1621" s="1715"/>
      <c r="J1621" s="1717"/>
      <c r="K1621" s="1717"/>
      <c r="L1621" s="1717"/>
      <c r="M1621" s="1717"/>
      <c r="N1621" s="1718"/>
    </row>
    <row r="1622">
      <c r="A1622" s="1721"/>
      <c r="C1622" s="1026"/>
      <c r="D1622" s="1714"/>
      <c r="E1622" s="1720"/>
      <c r="F1622" s="1720"/>
      <c r="G1622" s="1716"/>
      <c r="H1622" s="1715"/>
      <c r="I1622" s="1715"/>
      <c r="J1622" s="1717"/>
      <c r="K1622" s="1717"/>
      <c r="L1622" s="1717"/>
      <c r="M1622" s="1717"/>
      <c r="N1622" s="1718"/>
    </row>
    <row r="1623">
      <c r="A1623" s="1721"/>
      <c r="C1623" s="1026"/>
      <c r="D1623" s="1714"/>
      <c r="E1623" s="1720"/>
      <c r="F1623" s="1720"/>
      <c r="G1623" s="1716"/>
      <c r="H1623" s="1715"/>
      <c r="I1623" s="1715"/>
      <c r="J1623" s="1717"/>
      <c r="K1623" s="1717"/>
      <c r="L1623" s="1717"/>
      <c r="M1623" s="1717"/>
      <c r="N1623" s="1718"/>
    </row>
    <row r="1624">
      <c r="A1624" s="1721"/>
      <c r="C1624" s="1026"/>
      <c r="D1624" s="1714"/>
      <c r="E1624" s="1720"/>
      <c r="F1624" s="1720"/>
      <c r="G1624" s="1716"/>
      <c r="H1624" s="1715"/>
      <c r="I1624" s="1715"/>
      <c r="J1624" s="1717"/>
      <c r="K1624" s="1717"/>
      <c r="L1624" s="1717"/>
      <c r="M1624" s="1717"/>
      <c r="N1624" s="1718"/>
    </row>
    <row r="1625">
      <c r="A1625" s="1721"/>
      <c r="C1625" s="1026"/>
      <c r="D1625" s="1714"/>
      <c r="E1625" s="1720"/>
      <c r="F1625" s="1720"/>
      <c r="G1625" s="1716"/>
      <c r="H1625" s="1715"/>
      <c r="I1625" s="1715"/>
      <c r="J1625" s="1717"/>
      <c r="K1625" s="1717"/>
      <c r="L1625" s="1717"/>
      <c r="M1625" s="1717"/>
      <c r="N1625" s="1718"/>
    </row>
    <row r="1626">
      <c r="A1626" s="1721"/>
      <c r="C1626" s="1026"/>
      <c r="D1626" s="1714"/>
      <c r="E1626" s="1720"/>
      <c r="F1626" s="1720"/>
      <c r="G1626" s="1716"/>
      <c r="H1626" s="1715"/>
      <c r="I1626" s="1715"/>
      <c r="J1626" s="1717"/>
      <c r="K1626" s="1717"/>
      <c r="L1626" s="1717"/>
      <c r="M1626" s="1717"/>
      <c r="N1626" s="1718"/>
    </row>
    <row r="1627">
      <c r="A1627" s="1721"/>
      <c r="C1627" s="1026"/>
      <c r="D1627" s="1714"/>
      <c r="E1627" s="1720"/>
      <c r="F1627" s="1720"/>
      <c r="G1627" s="1716"/>
      <c r="H1627" s="1715"/>
      <c r="I1627" s="1715"/>
      <c r="J1627" s="1717"/>
      <c r="K1627" s="1717"/>
      <c r="L1627" s="1717"/>
      <c r="M1627" s="1717"/>
      <c r="N1627" s="1718"/>
    </row>
    <row r="1628">
      <c r="A1628" s="1721"/>
      <c r="C1628" s="1026"/>
      <c r="D1628" s="1714"/>
      <c r="E1628" s="1720"/>
      <c r="F1628" s="1720"/>
      <c r="G1628" s="1716"/>
      <c r="H1628" s="1715"/>
      <c r="I1628" s="1715"/>
      <c r="J1628" s="1717"/>
      <c r="K1628" s="1717"/>
      <c r="L1628" s="1717"/>
      <c r="M1628" s="1717"/>
      <c r="N1628" s="1718"/>
    </row>
    <row r="1629">
      <c r="A1629" s="1721"/>
      <c r="C1629" s="1026"/>
      <c r="D1629" s="1714"/>
      <c r="E1629" s="1720"/>
      <c r="F1629" s="1720"/>
      <c r="G1629" s="1716"/>
      <c r="H1629" s="1715"/>
      <c r="I1629" s="1715"/>
      <c r="J1629" s="1717"/>
      <c r="K1629" s="1717"/>
      <c r="L1629" s="1717"/>
      <c r="M1629" s="1717"/>
      <c r="N1629" s="1718"/>
    </row>
    <row r="1630">
      <c r="A1630" s="1721"/>
      <c r="C1630" s="1026"/>
      <c r="D1630" s="1714"/>
      <c r="E1630" s="1720"/>
      <c r="F1630" s="1720"/>
      <c r="G1630" s="1716"/>
      <c r="H1630" s="1715"/>
      <c r="I1630" s="1715"/>
      <c r="J1630" s="1717"/>
      <c r="K1630" s="1717"/>
      <c r="L1630" s="1717"/>
      <c r="M1630" s="1717"/>
      <c r="N1630" s="1718"/>
    </row>
    <row r="1631">
      <c r="A1631" s="1721"/>
      <c r="C1631" s="1026"/>
      <c r="D1631" s="1714"/>
      <c r="E1631" s="1720"/>
      <c r="F1631" s="1720"/>
      <c r="G1631" s="1716"/>
      <c r="H1631" s="1715"/>
      <c r="I1631" s="1715"/>
      <c r="J1631" s="1717"/>
      <c r="K1631" s="1717"/>
      <c r="L1631" s="1717"/>
      <c r="M1631" s="1717"/>
      <c r="N1631" s="1718"/>
    </row>
    <row r="1632">
      <c r="A1632" s="1721"/>
      <c r="C1632" s="1026"/>
      <c r="D1632" s="1714"/>
      <c r="E1632" s="1720"/>
      <c r="F1632" s="1720"/>
      <c r="G1632" s="1716"/>
      <c r="H1632" s="1715"/>
      <c r="I1632" s="1715"/>
      <c r="J1632" s="1717"/>
      <c r="K1632" s="1717"/>
      <c r="L1632" s="1717"/>
      <c r="M1632" s="1717"/>
      <c r="N1632" s="1718"/>
    </row>
    <row r="1633">
      <c r="A1633" s="1721"/>
      <c r="C1633" s="1026"/>
      <c r="D1633" s="1714"/>
      <c r="E1633" s="1720"/>
      <c r="F1633" s="1720"/>
      <c r="G1633" s="1716"/>
      <c r="H1633" s="1715"/>
      <c r="I1633" s="1715"/>
      <c r="J1633" s="1717"/>
      <c r="K1633" s="1717"/>
      <c r="L1633" s="1717"/>
      <c r="M1633" s="1717"/>
      <c r="N1633" s="1718"/>
    </row>
    <row r="1634">
      <c r="A1634" s="1721"/>
      <c r="C1634" s="1026"/>
      <c r="D1634" s="1714"/>
      <c r="E1634" s="1720"/>
      <c r="F1634" s="1720"/>
      <c r="G1634" s="1716"/>
      <c r="H1634" s="1715"/>
      <c r="I1634" s="1715"/>
      <c r="J1634" s="1717"/>
      <c r="K1634" s="1717"/>
      <c r="L1634" s="1717"/>
      <c r="M1634" s="1717"/>
      <c r="N1634" s="1718"/>
    </row>
    <row r="1635">
      <c r="A1635" s="1721"/>
      <c r="C1635" s="1026"/>
      <c r="D1635" s="1714"/>
      <c r="E1635" s="1720"/>
      <c r="F1635" s="1720"/>
      <c r="G1635" s="1716"/>
      <c r="H1635" s="1715"/>
      <c r="I1635" s="1715"/>
      <c r="J1635" s="1717"/>
      <c r="K1635" s="1717"/>
      <c r="L1635" s="1717"/>
      <c r="M1635" s="1717"/>
      <c r="N1635" s="1718"/>
    </row>
    <row r="1636">
      <c r="A1636" s="1721"/>
      <c r="C1636" s="1026"/>
      <c r="D1636" s="1714"/>
      <c r="E1636" s="1720"/>
      <c r="F1636" s="1720"/>
      <c r="G1636" s="1716"/>
      <c r="H1636" s="1715"/>
      <c r="I1636" s="1715"/>
      <c r="J1636" s="1717"/>
      <c r="K1636" s="1717"/>
      <c r="L1636" s="1717"/>
      <c r="M1636" s="1717"/>
      <c r="N1636" s="1718"/>
    </row>
    <row r="1637">
      <c r="A1637" s="1721"/>
      <c r="C1637" s="1026"/>
      <c r="D1637" s="1714"/>
      <c r="E1637" s="1720"/>
      <c r="F1637" s="1720"/>
      <c r="G1637" s="1716"/>
      <c r="H1637" s="1715"/>
      <c r="I1637" s="1715"/>
      <c r="J1637" s="1717"/>
      <c r="K1637" s="1717"/>
      <c r="L1637" s="1717"/>
      <c r="M1637" s="1717"/>
      <c r="N1637" s="1718"/>
    </row>
    <row r="1638">
      <c r="A1638" s="1721"/>
      <c r="C1638" s="1026"/>
      <c r="D1638" s="1714"/>
      <c r="E1638" s="1720"/>
      <c r="F1638" s="1720"/>
      <c r="G1638" s="1716"/>
      <c r="H1638" s="1715"/>
      <c r="I1638" s="1715"/>
      <c r="J1638" s="1717"/>
      <c r="K1638" s="1717"/>
      <c r="L1638" s="1717"/>
      <c r="M1638" s="1717"/>
      <c r="N1638" s="1718"/>
    </row>
    <row r="1639">
      <c r="A1639" s="1721"/>
      <c r="C1639" s="1026"/>
      <c r="D1639" s="1714"/>
      <c r="E1639" s="1720"/>
      <c r="F1639" s="1720"/>
      <c r="G1639" s="1716"/>
      <c r="H1639" s="1715"/>
      <c r="I1639" s="1715"/>
      <c r="J1639" s="1717"/>
      <c r="K1639" s="1717"/>
      <c r="L1639" s="1717"/>
      <c r="M1639" s="1717"/>
      <c r="N1639" s="1718"/>
    </row>
    <row r="1640">
      <c r="A1640" s="1721"/>
      <c r="C1640" s="1026"/>
      <c r="D1640" s="1714"/>
      <c r="E1640" s="1720"/>
      <c r="F1640" s="1720"/>
      <c r="G1640" s="1716"/>
      <c r="H1640" s="1715"/>
      <c r="I1640" s="1715"/>
      <c r="J1640" s="1717"/>
      <c r="K1640" s="1717"/>
      <c r="L1640" s="1717"/>
      <c r="M1640" s="1717"/>
      <c r="N1640" s="1718"/>
    </row>
    <row r="1641">
      <c r="A1641" s="1721"/>
      <c r="C1641" s="1026"/>
      <c r="D1641" s="1714"/>
      <c r="E1641" s="1720"/>
      <c r="F1641" s="1720"/>
      <c r="G1641" s="1716"/>
      <c r="H1641" s="1715"/>
      <c r="I1641" s="1715"/>
      <c r="J1641" s="1717"/>
      <c r="K1641" s="1717"/>
      <c r="L1641" s="1717"/>
      <c r="M1641" s="1717"/>
      <c r="N1641" s="1718"/>
    </row>
    <row r="1642">
      <c r="A1642" s="1721"/>
      <c r="C1642" s="1026"/>
      <c r="D1642" s="1714"/>
      <c r="E1642" s="1720"/>
      <c r="F1642" s="1720"/>
      <c r="G1642" s="1716"/>
      <c r="H1642" s="1715"/>
      <c r="I1642" s="1715"/>
      <c r="J1642" s="1717"/>
      <c r="K1642" s="1717"/>
      <c r="L1642" s="1717"/>
      <c r="M1642" s="1717"/>
      <c r="N1642" s="1718"/>
    </row>
    <row r="1643">
      <c r="A1643" s="1721"/>
      <c r="C1643" s="1026"/>
      <c r="D1643" s="1714"/>
      <c r="E1643" s="1720"/>
      <c r="F1643" s="1720"/>
      <c r="G1643" s="1716"/>
      <c r="H1643" s="1715"/>
      <c r="I1643" s="1715"/>
      <c r="J1643" s="1717"/>
      <c r="K1643" s="1717"/>
      <c r="L1643" s="1717"/>
      <c r="M1643" s="1717"/>
      <c r="N1643" s="1718"/>
    </row>
    <row r="1644">
      <c r="A1644" s="1721"/>
      <c r="C1644" s="1026"/>
      <c r="D1644" s="1714"/>
      <c r="E1644" s="1720"/>
      <c r="F1644" s="1720"/>
      <c r="G1644" s="1716"/>
      <c r="H1644" s="1715"/>
      <c r="I1644" s="1715"/>
      <c r="J1644" s="1717"/>
      <c r="K1644" s="1717"/>
      <c r="L1644" s="1717"/>
      <c r="M1644" s="1717"/>
      <c r="N1644" s="1718"/>
    </row>
    <row r="1645">
      <c r="A1645" s="1721"/>
      <c r="C1645" s="1026"/>
      <c r="D1645" s="1714"/>
      <c r="E1645" s="1720"/>
      <c r="F1645" s="1720"/>
      <c r="G1645" s="1716"/>
      <c r="H1645" s="1715"/>
      <c r="I1645" s="1715"/>
      <c r="J1645" s="1717"/>
      <c r="K1645" s="1717"/>
      <c r="L1645" s="1717"/>
      <c r="M1645" s="1717"/>
      <c r="N1645" s="1718"/>
    </row>
    <row r="1646">
      <c r="A1646" s="1721"/>
      <c r="C1646" s="1026"/>
      <c r="D1646" s="1714"/>
      <c r="E1646" s="1720"/>
      <c r="F1646" s="1720"/>
      <c r="G1646" s="1716"/>
      <c r="H1646" s="1715"/>
      <c r="I1646" s="1715"/>
      <c r="J1646" s="1717"/>
      <c r="K1646" s="1717"/>
      <c r="L1646" s="1717"/>
      <c r="M1646" s="1717"/>
      <c r="N1646" s="1718"/>
    </row>
    <row r="1647">
      <c r="A1647" s="1721"/>
      <c r="C1647" s="1026"/>
      <c r="D1647" s="1714"/>
      <c r="E1647" s="1720"/>
      <c r="F1647" s="1720"/>
      <c r="G1647" s="1716"/>
      <c r="H1647" s="1715"/>
      <c r="I1647" s="1715"/>
      <c r="J1647" s="1717"/>
      <c r="K1647" s="1717"/>
      <c r="L1647" s="1717"/>
      <c r="M1647" s="1717"/>
      <c r="N1647" s="1718"/>
    </row>
    <row r="1648">
      <c r="A1648" s="1721"/>
      <c r="C1648" s="1026"/>
      <c r="D1648" s="1714"/>
      <c r="E1648" s="1720"/>
      <c r="F1648" s="1720"/>
      <c r="G1648" s="1716"/>
      <c r="H1648" s="1715"/>
      <c r="I1648" s="1715"/>
      <c r="J1648" s="1717"/>
      <c r="K1648" s="1717"/>
      <c r="L1648" s="1717"/>
      <c r="M1648" s="1717"/>
      <c r="N1648" s="1718"/>
    </row>
    <row r="1649">
      <c r="A1649" s="1721"/>
      <c r="C1649" s="1026"/>
      <c r="D1649" s="1714"/>
      <c r="E1649" s="1720"/>
      <c r="F1649" s="1720"/>
      <c r="G1649" s="1716"/>
      <c r="H1649" s="1715"/>
      <c r="I1649" s="1715"/>
      <c r="J1649" s="1717"/>
      <c r="K1649" s="1717"/>
      <c r="L1649" s="1717"/>
      <c r="M1649" s="1717"/>
      <c r="N1649" s="1718"/>
    </row>
    <row r="1650">
      <c r="A1650" s="1721"/>
      <c r="C1650" s="1026"/>
      <c r="D1650" s="1714"/>
      <c r="E1650" s="1720"/>
      <c r="F1650" s="1720"/>
      <c r="G1650" s="1716"/>
      <c r="H1650" s="1715"/>
      <c r="I1650" s="1715"/>
      <c r="J1650" s="1717"/>
      <c r="K1650" s="1717"/>
      <c r="L1650" s="1717"/>
      <c r="M1650" s="1717"/>
      <c r="N1650" s="1718"/>
    </row>
    <row r="1651">
      <c r="A1651" s="1721"/>
      <c r="C1651" s="1026"/>
      <c r="D1651" s="1714"/>
      <c r="E1651" s="1720"/>
      <c r="F1651" s="1720"/>
      <c r="G1651" s="1716"/>
      <c r="H1651" s="1715"/>
      <c r="I1651" s="1715"/>
      <c r="J1651" s="1717"/>
      <c r="K1651" s="1717"/>
      <c r="L1651" s="1717"/>
      <c r="M1651" s="1717"/>
      <c r="N1651" s="1718"/>
    </row>
    <row r="1652">
      <c r="A1652" s="1721"/>
      <c r="C1652" s="1026"/>
      <c r="D1652" s="1714"/>
      <c r="E1652" s="1720"/>
      <c r="F1652" s="1720"/>
      <c r="G1652" s="1716"/>
      <c r="H1652" s="1715"/>
      <c r="I1652" s="1715"/>
      <c r="J1652" s="1717"/>
      <c r="K1652" s="1717"/>
      <c r="L1652" s="1717"/>
      <c r="M1652" s="1717"/>
      <c r="N1652" s="1718"/>
    </row>
    <row r="1653">
      <c r="A1653" s="1721"/>
      <c r="C1653" s="1026"/>
      <c r="D1653" s="1714"/>
      <c r="E1653" s="1720"/>
      <c r="F1653" s="1720"/>
      <c r="G1653" s="1716"/>
      <c r="H1653" s="1715"/>
      <c r="I1653" s="1715"/>
      <c r="J1653" s="1717"/>
      <c r="K1653" s="1717"/>
      <c r="L1653" s="1717"/>
      <c r="M1653" s="1717"/>
      <c r="N1653" s="1718"/>
    </row>
    <row r="1654">
      <c r="A1654" s="1721"/>
      <c r="C1654" s="1026"/>
      <c r="D1654" s="1714"/>
      <c r="E1654" s="1720"/>
      <c r="F1654" s="1720"/>
      <c r="G1654" s="1716"/>
      <c r="H1654" s="1715"/>
      <c r="I1654" s="1715"/>
      <c r="J1654" s="1717"/>
      <c r="K1654" s="1717"/>
      <c r="L1654" s="1717"/>
      <c r="M1654" s="1717"/>
      <c r="N1654" s="1718"/>
    </row>
    <row r="1655">
      <c r="A1655" s="1721"/>
      <c r="C1655" s="1026"/>
      <c r="D1655" s="1714"/>
      <c r="E1655" s="1720"/>
      <c r="F1655" s="1720"/>
      <c r="G1655" s="1716"/>
      <c r="H1655" s="1715"/>
      <c r="I1655" s="1715"/>
      <c r="J1655" s="1717"/>
      <c r="K1655" s="1717"/>
      <c r="L1655" s="1717"/>
      <c r="M1655" s="1717"/>
      <c r="N1655" s="1718"/>
    </row>
    <row r="1656">
      <c r="A1656" s="1721"/>
      <c r="C1656" s="1026"/>
      <c r="D1656" s="1714"/>
      <c r="E1656" s="1720"/>
      <c r="F1656" s="1720"/>
      <c r="G1656" s="1716"/>
      <c r="H1656" s="1715"/>
      <c r="I1656" s="1715"/>
      <c r="J1656" s="1717"/>
      <c r="K1656" s="1717"/>
      <c r="L1656" s="1717"/>
      <c r="M1656" s="1717"/>
      <c r="N1656" s="1718"/>
    </row>
    <row r="1657">
      <c r="A1657" s="1721"/>
      <c r="C1657" s="1026"/>
      <c r="D1657" s="1714"/>
      <c r="E1657" s="1720"/>
      <c r="F1657" s="1720"/>
      <c r="G1657" s="1716"/>
      <c r="H1657" s="1715"/>
      <c r="I1657" s="1715"/>
      <c r="J1657" s="1717"/>
      <c r="K1657" s="1717"/>
      <c r="L1657" s="1717"/>
      <c r="M1657" s="1717"/>
      <c r="N1657" s="1718"/>
    </row>
    <row r="1658">
      <c r="A1658" s="1721"/>
      <c r="C1658" s="1026"/>
      <c r="D1658" s="1714"/>
      <c r="E1658" s="1720"/>
      <c r="F1658" s="1720"/>
      <c r="G1658" s="1716"/>
      <c r="H1658" s="1715"/>
      <c r="I1658" s="1715"/>
      <c r="J1658" s="1717"/>
      <c r="K1658" s="1717"/>
      <c r="L1658" s="1717"/>
      <c r="M1658" s="1717"/>
      <c r="N1658" s="1718"/>
    </row>
    <row r="1659">
      <c r="A1659" s="1721"/>
      <c r="C1659" s="1026"/>
      <c r="D1659" s="1714"/>
      <c r="E1659" s="1720"/>
      <c r="F1659" s="1720"/>
      <c r="G1659" s="1716"/>
      <c r="H1659" s="1715"/>
      <c r="I1659" s="1715"/>
      <c r="J1659" s="1717"/>
      <c r="K1659" s="1717"/>
      <c r="L1659" s="1717"/>
      <c r="M1659" s="1717"/>
      <c r="N1659" s="1718"/>
    </row>
    <row r="1660">
      <c r="A1660" s="1721"/>
      <c r="C1660" s="1026"/>
      <c r="D1660" s="1714"/>
      <c r="E1660" s="1720"/>
      <c r="F1660" s="1720"/>
      <c r="G1660" s="1716"/>
      <c r="H1660" s="1715"/>
      <c r="I1660" s="1715"/>
      <c r="J1660" s="1717"/>
      <c r="K1660" s="1717"/>
      <c r="L1660" s="1717"/>
      <c r="M1660" s="1717"/>
      <c r="N1660" s="1718"/>
    </row>
    <row r="1661">
      <c r="A1661" s="1721"/>
      <c r="C1661" s="1026"/>
      <c r="D1661" s="1714"/>
      <c r="E1661" s="1720"/>
      <c r="F1661" s="1720"/>
      <c r="G1661" s="1716"/>
      <c r="H1661" s="1715"/>
      <c r="I1661" s="1715"/>
      <c r="J1661" s="1717"/>
      <c r="K1661" s="1717"/>
      <c r="L1661" s="1717"/>
      <c r="M1661" s="1717"/>
      <c r="N1661" s="1718"/>
    </row>
    <row r="1662">
      <c r="A1662" s="1721"/>
      <c r="C1662" s="1026"/>
      <c r="D1662" s="1714"/>
      <c r="E1662" s="1720"/>
      <c r="F1662" s="1720"/>
      <c r="G1662" s="1716"/>
      <c r="H1662" s="1715"/>
      <c r="I1662" s="1715"/>
      <c r="J1662" s="1717"/>
      <c r="K1662" s="1717"/>
      <c r="L1662" s="1717"/>
      <c r="M1662" s="1717"/>
      <c r="N1662" s="1718"/>
    </row>
    <row r="1663">
      <c r="A1663" s="1721"/>
      <c r="C1663" s="1026"/>
      <c r="D1663" s="1714"/>
      <c r="E1663" s="1720"/>
      <c r="F1663" s="1720"/>
      <c r="G1663" s="1716"/>
      <c r="H1663" s="1715"/>
      <c r="I1663" s="1715"/>
      <c r="J1663" s="1717"/>
      <c r="K1663" s="1717"/>
      <c r="L1663" s="1717"/>
      <c r="M1663" s="1717"/>
      <c r="N1663" s="1718"/>
    </row>
    <row r="1664">
      <c r="A1664" s="1721"/>
      <c r="C1664" s="1026"/>
      <c r="D1664" s="1714"/>
      <c r="E1664" s="1720"/>
      <c r="F1664" s="1720"/>
      <c r="G1664" s="1716"/>
      <c r="H1664" s="1715"/>
      <c r="I1664" s="1715"/>
      <c r="J1664" s="1717"/>
      <c r="K1664" s="1717"/>
      <c r="L1664" s="1717"/>
      <c r="M1664" s="1717"/>
      <c r="N1664" s="1718"/>
    </row>
    <row r="1665">
      <c r="A1665" s="1721"/>
      <c r="C1665" s="1026"/>
      <c r="D1665" s="1714"/>
      <c r="E1665" s="1720"/>
      <c r="F1665" s="1720"/>
      <c r="G1665" s="1716"/>
      <c r="H1665" s="1715"/>
      <c r="I1665" s="1715"/>
      <c r="J1665" s="1717"/>
      <c r="K1665" s="1717"/>
      <c r="L1665" s="1717"/>
      <c r="M1665" s="1717"/>
      <c r="N1665" s="1718"/>
    </row>
    <row r="1666">
      <c r="A1666" s="1721"/>
      <c r="C1666" s="1026"/>
      <c r="D1666" s="1714"/>
      <c r="E1666" s="1720"/>
      <c r="F1666" s="1720"/>
      <c r="G1666" s="1716"/>
      <c r="H1666" s="1715"/>
      <c r="I1666" s="1715"/>
      <c r="J1666" s="1717"/>
      <c r="K1666" s="1717"/>
      <c r="L1666" s="1717"/>
      <c r="M1666" s="1717"/>
      <c r="N1666" s="1718"/>
    </row>
    <row r="1667">
      <c r="A1667" s="1721"/>
      <c r="C1667" s="1026"/>
      <c r="D1667" s="1714"/>
      <c r="E1667" s="1720"/>
      <c r="F1667" s="1720"/>
      <c r="G1667" s="1716"/>
      <c r="H1667" s="1715"/>
      <c r="I1667" s="1715"/>
      <c r="J1667" s="1717"/>
      <c r="K1667" s="1717"/>
      <c r="L1667" s="1717"/>
      <c r="M1667" s="1717"/>
      <c r="N1667" s="1718"/>
    </row>
    <row r="1668">
      <c r="A1668" s="1721"/>
      <c r="C1668" s="1026"/>
      <c r="D1668" s="1714"/>
      <c r="E1668" s="1720"/>
      <c r="F1668" s="1720"/>
      <c r="G1668" s="1716"/>
      <c r="H1668" s="1715"/>
      <c r="I1668" s="1715"/>
      <c r="J1668" s="1717"/>
      <c r="K1668" s="1717"/>
      <c r="L1668" s="1717"/>
      <c r="M1668" s="1717"/>
      <c r="N1668" s="1718"/>
    </row>
    <row r="1669">
      <c r="A1669" s="1721"/>
      <c r="C1669" s="1026"/>
      <c r="D1669" s="1714"/>
      <c r="E1669" s="1720"/>
      <c r="F1669" s="1720"/>
      <c r="G1669" s="1716"/>
      <c r="H1669" s="1715"/>
      <c r="I1669" s="1715"/>
      <c r="J1669" s="1717"/>
      <c r="K1669" s="1717"/>
      <c r="L1669" s="1717"/>
      <c r="M1669" s="1717"/>
      <c r="N1669" s="1718"/>
    </row>
    <row r="1670">
      <c r="A1670" s="1721"/>
      <c r="C1670" s="1026"/>
      <c r="D1670" s="1714"/>
      <c r="E1670" s="1720"/>
      <c r="F1670" s="1720"/>
      <c r="G1670" s="1716"/>
      <c r="H1670" s="1715"/>
      <c r="I1670" s="1715"/>
      <c r="J1670" s="1717"/>
      <c r="K1670" s="1717"/>
      <c r="L1670" s="1717"/>
      <c r="M1670" s="1717"/>
      <c r="N1670" s="1718"/>
    </row>
    <row r="1671">
      <c r="A1671" s="1721"/>
      <c r="C1671" s="1026"/>
      <c r="D1671" s="1714"/>
      <c r="E1671" s="1720"/>
      <c r="F1671" s="1720"/>
      <c r="G1671" s="1716"/>
      <c r="H1671" s="1715"/>
      <c r="I1671" s="1715"/>
      <c r="J1671" s="1717"/>
      <c r="K1671" s="1717"/>
      <c r="L1671" s="1717"/>
      <c r="M1671" s="1717"/>
      <c r="N1671" s="1718"/>
    </row>
    <row r="1672">
      <c r="A1672" s="1721"/>
      <c r="C1672" s="1026"/>
      <c r="D1672" s="1714"/>
      <c r="E1672" s="1720"/>
      <c r="F1672" s="1720"/>
      <c r="G1672" s="1716"/>
      <c r="H1672" s="1715"/>
      <c r="I1672" s="1715"/>
      <c r="J1672" s="1717"/>
      <c r="K1672" s="1717"/>
      <c r="L1672" s="1717"/>
      <c r="M1672" s="1717"/>
      <c r="N1672" s="1718"/>
    </row>
    <row r="1673">
      <c r="A1673" s="1721"/>
      <c r="C1673" s="1026"/>
      <c r="D1673" s="1714"/>
      <c r="E1673" s="1720"/>
      <c r="F1673" s="1720"/>
      <c r="G1673" s="1716"/>
      <c r="H1673" s="1715"/>
      <c r="I1673" s="1715"/>
      <c r="J1673" s="1717"/>
      <c r="K1673" s="1717"/>
      <c r="L1673" s="1717"/>
      <c r="M1673" s="1717"/>
      <c r="N1673" s="1718"/>
    </row>
    <row r="1674">
      <c r="A1674" s="1721"/>
      <c r="C1674" s="1026"/>
      <c r="D1674" s="1714"/>
      <c r="E1674" s="1720"/>
      <c r="F1674" s="1720"/>
      <c r="G1674" s="1716"/>
      <c r="H1674" s="1715"/>
      <c r="I1674" s="1715"/>
      <c r="J1674" s="1717"/>
      <c r="K1674" s="1717"/>
      <c r="L1674" s="1717"/>
      <c r="M1674" s="1717"/>
      <c r="N1674" s="1718"/>
    </row>
    <row r="1675">
      <c r="A1675" s="1721"/>
      <c r="C1675" s="1026"/>
      <c r="D1675" s="1714"/>
      <c r="E1675" s="1720"/>
      <c r="F1675" s="1720"/>
      <c r="G1675" s="1716"/>
      <c r="H1675" s="1715"/>
      <c r="I1675" s="1715"/>
      <c r="J1675" s="1717"/>
      <c r="K1675" s="1717"/>
      <c r="L1675" s="1717"/>
      <c r="M1675" s="1717"/>
      <c r="N1675" s="1718"/>
    </row>
    <row r="1676">
      <c r="A1676" s="1721"/>
      <c r="C1676" s="1026"/>
      <c r="D1676" s="1714"/>
      <c r="E1676" s="1720"/>
      <c r="F1676" s="1720"/>
      <c r="G1676" s="1716"/>
      <c r="H1676" s="1715"/>
      <c r="I1676" s="1715"/>
      <c r="J1676" s="1717"/>
      <c r="K1676" s="1717"/>
      <c r="L1676" s="1717"/>
      <c r="M1676" s="1717"/>
      <c r="N1676" s="1718"/>
    </row>
    <row r="1677">
      <c r="A1677" s="1721"/>
      <c r="C1677" s="1026"/>
      <c r="D1677" s="1714"/>
      <c r="E1677" s="1720"/>
      <c r="F1677" s="1720"/>
      <c r="G1677" s="1716"/>
      <c r="H1677" s="1715"/>
      <c r="I1677" s="1715"/>
      <c r="J1677" s="1717"/>
      <c r="K1677" s="1717"/>
      <c r="L1677" s="1717"/>
      <c r="M1677" s="1717"/>
      <c r="N1677" s="1718"/>
    </row>
    <row r="1678">
      <c r="A1678" s="1721"/>
      <c r="C1678" s="1026"/>
      <c r="D1678" s="1714"/>
      <c r="E1678" s="1720"/>
      <c r="F1678" s="1720"/>
      <c r="G1678" s="1716"/>
      <c r="H1678" s="1715"/>
      <c r="I1678" s="1715"/>
      <c r="J1678" s="1717"/>
      <c r="K1678" s="1717"/>
      <c r="L1678" s="1717"/>
      <c r="M1678" s="1717"/>
      <c r="N1678" s="1718"/>
    </row>
    <row r="1679">
      <c r="A1679" s="1721"/>
      <c r="C1679" s="1026"/>
      <c r="D1679" s="1714"/>
      <c r="E1679" s="1720"/>
      <c r="F1679" s="1720"/>
      <c r="G1679" s="1716"/>
      <c r="H1679" s="1715"/>
      <c r="I1679" s="1715"/>
      <c r="J1679" s="1717"/>
      <c r="K1679" s="1717"/>
      <c r="L1679" s="1717"/>
      <c r="M1679" s="1717"/>
      <c r="N1679" s="1718"/>
    </row>
    <row r="1680">
      <c r="A1680" s="1721"/>
      <c r="C1680" s="1026"/>
      <c r="D1680" s="1714"/>
      <c r="E1680" s="1720"/>
      <c r="F1680" s="1720"/>
      <c r="G1680" s="1716"/>
      <c r="H1680" s="1715"/>
      <c r="I1680" s="1715"/>
      <c r="J1680" s="1717"/>
      <c r="K1680" s="1717"/>
      <c r="L1680" s="1717"/>
      <c r="M1680" s="1717"/>
      <c r="N1680" s="1718"/>
    </row>
    <row r="1681">
      <c r="A1681" s="1721"/>
      <c r="C1681" s="1026"/>
      <c r="D1681" s="1714"/>
      <c r="E1681" s="1720"/>
      <c r="F1681" s="1720"/>
      <c r="G1681" s="1716"/>
      <c r="H1681" s="1715"/>
      <c r="I1681" s="1715"/>
      <c r="J1681" s="1717"/>
      <c r="K1681" s="1717"/>
      <c r="L1681" s="1717"/>
      <c r="M1681" s="1717"/>
      <c r="N1681" s="1718"/>
    </row>
    <row r="1682">
      <c r="A1682" s="1721"/>
      <c r="C1682" s="1026"/>
      <c r="D1682" s="1714"/>
      <c r="E1682" s="1720"/>
      <c r="F1682" s="1720"/>
      <c r="G1682" s="1716"/>
      <c r="H1682" s="1715"/>
      <c r="I1682" s="1715"/>
      <c r="J1682" s="1717"/>
      <c r="K1682" s="1717"/>
      <c r="L1682" s="1717"/>
      <c r="M1682" s="1717"/>
      <c r="N1682" s="1718"/>
    </row>
    <row r="1683">
      <c r="A1683" s="1721"/>
      <c r="C1683" s="1026"/>
      <c r="D1683" s="1714"/>
      <c r="E1683" s="1720"/>
      <c r="F1683" s="1720"/>
      <c r="G1683" s="1716"/>
      <c r="H1683" s="1715"/>
      <c r="I1683" s="1715"/>
      <c r="J1683" s="1717"/>
      <c r="K1683" s="1717"/>
      <c r="L1683" s="1717"/>
      <c r="M1683" s="1717"/>
      <c r="N1683" s="1718"/>
    </row>
    <row r="1684">
      <c r="A1684" s="1721"/>
      <c r="C1684" s="1026"/>
      <c r="D1684" s="1714"/>
      <c r="E1684" s="1720"/>
      <c r="F1684" s="1720"/>
      <c r="G1684" s="1716"/>
      <c r="H1684" s="1715"/>
      <c r="I1684" s="1715"/>
      <c r="J1684" s="1717"/>
      <c r="K1684" s="1717"/>
      <c r="L1684" s="1717"/>
      <c r="M1684" s="1717"/>
      <c r="N1684" s="1718"/>
    </row>
    <row r="1685">
      <c r="A1685" s="1721"/>
      <c r="C1685" s="1026"/>
      <c r="D1685" s="1714"/>
      <c r="E1685" s="1720"/>
      <c r="F1685" s="1720"/>
      <c r="G1685" s="1716"/>
      <c r="H1685" s="1715"/>
      <c r="I1685" s="1715"/>
      <c r="J1685" s="1717"/>
      <c r="K1685" s="1717"/>
      <c r="L1685" s="1717"/>
      <c r="M1685" s="1717"/>
      <c r="N1685" s="1718"/>
    </row>
    <row r="1686">
      <c r="A1686" s="1721"/>
      <c r="C1686" s="1026"/>
      <c r="D1686" s="1714"/>
      <c r="E1686" s="1720"/>
      <c r="F1686" s="1720"/>
      <c r="G1686" s="1716"/>
      <c r="H1686" s="1715"/>
      <c r="I1686" s="1715"/>
      <c r="J1686" s="1717"/>
      <c r="K1686" s="1717"/>
      <c r="L1686" s="1717"/>
      <c r="M1686" s="1717"/>
      <c r="N1686" s="1718"/>
    </row>
    <row r="1687">
      <c r="A1687" s="1721"/>
      <c r="C1687" s="1026"/>
      <c r="D1687" s="1714"/>
      <c r="E1687" s="1720"/>
      <c r="F1687" s="1720"/>
      <c r="G1687" s="1716"/>
      <c r="H1687" s="1715"/>
      <c r="I1687" s="1715"/>
      <c r="J1687" s="1717"/>
      <c r="K1687" s="1717"/>
      <c r="L1687" s="1717"/>
      <c r="M1687" s="1717"/>
      <c r="N1687" s="1718"/>
    </row>
    <row r="1688">
      <c r="A1688" s="1721"/>
      <c r="C1688" s="1026"/>
      <c r="D1688" s="1714"/>
      <c r="E1688" s="1720"/>
      <c r="F1688" s="1720"/>
      <c r="G1688" s="1716"/>
      <c r="H1688" s="1715"/>
      <c r="I1688" s="1715"/>
      <c r="J1688" s="1717"/>
      <c r="K1688" s="1717"/>
      <c r="L1688" s="1717"/>
      <c r="M1688" s="1717"/>
      <c r="N1688" s="1718"/>
    </row>
    <row r="1689">
      <c r="A1689" s="1721"/>
      <c r="C1689" s="1026"/>
      <c r="D1689" s="1714"/>
      <c r="E1689" s="1720"/>
      <c r="F1689" s="1720"/>
      <c r="G1689" s="1716"/>
      <c r="H1689" s="1715"/>
      <c r="I1689" s="1715"/>
      <c r="J1689" s="1717"/>
      <c r="K1689" s="1717"/>
      <c r="L1689" s="1717"/>
      <c r="M1689" s="1717"/>
      <c r="N1689" s="1718"/>
    </row>
    <row r="1690">
      <c r="A1690" s="1721"/>
      <c r="C1690" s="1026"/>
      <c r="D1690" s="1714"/>
      <c r="E1690" s="1720"/>
      <c r="F1690" s="1720"/>
      <c r="G1690" s="1716"/>
      <c r="H1690" s="1715"/>
      <c r="I1690" s="1715"/>
      <c r="J1690" s="1717"/>
      <c r="K1690" s="1717"/>
      <c r="L1690" s="1717"/>
      <c r="M1690" s="1717"/>
      <c r="N1690" s="1718"/>
    </row>
    <row r="1691">
      <c r="A1691" s="1721"/>
      <c r="C1691" s="1026"/>
      <c r="D1691" s="1714"/>
      <c r="E1691" s="1720"/>
      <c r="F1691" s="1720"/>
      <c r="G1691" s="1716"/>
      <c r="H1691" s="1715"/>
      <c r="I1691" s="1715"/>
      <c r="J1691" s="1717"/>
      <c r="K1691" s="1717"/>
      <c r="L1691" s="1717"/>
      <c r="M1691" s="1717"/>
      <c r="N1691" s="1718"/>
    </row>
    <row r="1692">
      <c r="A1692" s="1721"/>
      <c r="C1692" s="1026"/>
      <c r="D1692" s="1714"/>
      <c r="E1692" s="1720"/>
      <c r="F1692" s="1720"/>
      <c r="G1692" s="1716"/>
      <c r="H1692" s="1715"/>
      <c r="I1692" s="1715"/>
      <c r="J1692" s="1717"/>
      <c r="K1692" s="1717"/>
      <c r="L1692" s="1717"/>
      <c r="M1692" s="1717"/>
      <c r="N1692" s="1718"/>
    </row>
    <row r="1693">
      <c r="A1693" s="1721"/>
      <c r="C1693" s="1026"/>
      <c r="D1693" s="1714"/>
      <c r="E1693" s="1720"/>
      <c r="F1693" s="1720"/>
      <c r="G1693" s="1716"/>
      <c r="H1693" s="1715"/>
      <c r="I1693" s="1715"/>
      <c r="J1693" s="1717"/>
      <c r="K1693" s="1717"/>
      <c r="L1693" s="1717"/>
      <c r="M1693" s="1717"/>
      <c r="N1693" s="1718"/>
    </row>
    <row r="1694">
      <c r="A1694" s="1721"/>
      <c r="C1694" s="1026"/>
      <c r="D1694" s="1714"/>
      <c r="E1694" s="1720"/>
      <c r="F1694" s="1720"/>
      <c r="G1694" s="1716"/>
      <c r="H1694" s="1715"/>
      <c r="I1694" s="1715"/>
      <c r="J1694" s="1717"/>
      <c r="K1694" s="1717"/>
      <c r="L1694" s="1717"/>
      <c r="M1694" s="1717"/>
      <c r="N1694" s="1718"/>
    </row>
    <row r="1695">
      <c r="A1695" s="1721"/>
      <c r="C1695" s="1026"/>
      <c r="D1695" s="1714"/>
      <c r="E1695" s="1720"/>
      <c r="F1695" s="1720"/>
      <c r="G1695" s="1716"/>
      <c r="H1695" s="1715"/>
      <c r="I1695" s="1715"/>
      <c r="J1695" s="1717"/>
      <c r="K1695" s="1717"/>
      <c r="L1695" s="1717"/>
      <c r="M1695" s="1717"/>
      <c r="N1695" s="1718"/>
    </row>
    <row r="1696">
      <c r="A1696" s="1721"/>
      <c r="C1696" s="1026"/>
      <c r="D1696" s="1714"/>
      <c r="E1696" s="1720"/>
      <c r="F1696" s="1720"/>
      <c r="G1696" s="1716"/>
      <c r="H1696" s="1715"/>
      <c r="I1696" s="1715"/>
      <c r="J1696" s="1717"/>
      <c r="K1696" s="1717"/>
      <c r="L1696" s="1717"/>
      <c r="M1696" s="1717"/>
      <c r="N1696" s="1718"/>
    </row>
    <row r="1697">
      <c r="A1697" s="1721"/>
      <c r="C1697" s="1026"/>
      <c r="D1697" s="1714"/>
      <c r="E1697" s="1720"/>
      <c r="F1697" s="1720"/>
      <c r="G1697" s="1716"/>
      <c r="H1697" s="1715"/>
      <c r="I1697" s="1715"/>
      <c r="J1697" s="1717"/>
      <c r="K1697" s="1717"/>
      <c r="L1697" s="1717"/>
      <c r="M1697" s="1717"/>
      <c r="N1697" s="1718"/>
    </row>
    <row r="1698">
      <c r="A1698" s="1721"/>
      <c r="C1698" s="1026"/>
      <c r="D1698" s="1714"/>
      <c r="E1698" s="1720"/>
      <c r="F1698" s="1720"/>
      <c r="G1698" s="1716"/>
      <c r="H1698" s="1715"/>
      <c r="I1698" s="1715"/>
      <c r="J1698" s="1717"/>
      <c r="K1698" s="1717"/>
      <c r="L1698" s="1717"/>
      <c r="M1698" s="1717"/>
      <c r="N1698" s="1718"/>
    </row>
    <row r="1699">
      <c r="A1699" s="1721"/>
      <c r="C1699" s="1026"/>
      <c r="D1699" s="1714"/>
      <c r="E1699" s="1720"/>
      <c r="F1699" s="1720"/>
      <c r="G1699" s="1716"/>
      <c r="H1699" s="1715"/>
      <c r="I1699" s="1715"/>
      <c r="J1699" s="1717"/>
      <c r="K1699" s="1717"/>
      <c r="L1699" s="1717"/>
      <c r="M1699" s="1717"/>
      <c r="N1699" s="1718"/>
    </row>
    <row r="1700">
      <c r="A1700" s="1721"/>
      <c r="C1700" s="1026"/>
      <c r="D1700" s="1714"/>
      <c r="E1700" s="1720"/>
      <c r="F1700" s="1720"/>
      <c r="G1700" s="1716"/>
      <c r="H1700" s="1715"/>
      <c r="I1700" s="1715"/>
      <c r="J1700" s="1717"/>
      <c r="K1700" s="1717"/>
      <c r="L1700" s="1717"/>
      <c r="M1700" s="1717"/>
      <c r="N1700" s="1718"/>
    </row>
    <row r="1701">
      <c r="A1701" s="1721"/>
      <c r="C1701" s="1026"/>
      <c r="D1701" s="1714"/>
      <c r="E1701" s="1720"/>
      <c r="F1701" s="1720"/>
      <c r="G1701" s="1716"/>
      <c r="H1701" s="1715"/>
      <c r="I1701" s="1715"/>
      <c r="J1701" s="1717"/>
      <c r="K1701" s="1717"/>
      <c r="L1701" s="1717"/>
      <c r="M1701" s="1717"/>
      <c r="N1701" s="1718"/>
    </row>
    <row r="1702">
      <c r="A1702" s="1721"/>
      <c r="C1702" s="1026"/>
      <c r="D1702" s="1714"/>
      <c r="E1702" s="1720"/>
      <c r="F1702" s="1720"/>
      <c r="G1702" s="1716"/>
      <c r="H1702" s="1715"/>
      <c r="I1702" s="1715"/>
      <c r="J1702" s="1717"/>
      <c r="K1702" s="1717"/>
      <c r="L1702" s="1717"/>
      <c r="M1702" s="1717"/>
      <c r="N1702" s="1718"/>
    </row>
    <row r="1703">
      <c r="A1703" s="1721"/>
      <c r="C1703" s="1026"/>
      <c r="D1703" s="1714"/>
      <c r="E1703" s="1720"/>
      <c r="F1703" s="1720"/>
      <c r="G1703" s="1716"/>
      <c r="H1703" s="1715"/>
      <c r="I1703" s="1715"/>
      <c r="J1703" s="1717"/>
      <c r="K1703" s="1717"/>
      <c r="L1703" s="1717"/>
      <c r="M1703" s="1717"/>
      <c r="N1703" s="1718"/>
    </row>
    <row r="1704">
      <c r="A1704" s="1721"/>
      <c r="C1704" s="1026"/>
      <c r="D1704" s="1714"/>
      <c r="E1704" s="1720"/>
      <c r="F1704" s="1720"/>
      <c r="G1704" s="1716"/>
      <c r="H1704" s="1715"/>
      <c r="I1704" s="1715"/>
      <c r="J1704" s="1717"/>
      <c r="K1704" s="1717"/>
      <c r="L1704" s="1717"/>
      <c r="M1704" s="1717"/>
      <c r="N1704" s="1718"/>
    </row>
    <row r="1705">
      <c r="A1705" s="1721"/>
      <c r="C1705" s="1026"/>
      <c r="D1705" s="1714"/>
      <c r="E1705" s="1720"/>
      <c r="F1705" s="1720"/>
      <c r="G1705" s="1716"/>
      <c r="H1705" s="1715"/>
      <c r="I1705" s="1715"/>
      <c r="J1705" s="1717"/>
      <c r="K1705" s="1717"/>
      <c r="L1705" s="1717"/>
      <c r="M1705" s="1717"/>
      <c r="N1705" s="1718"/>
    </row>
    <row r="1706">
      <c r="A1706" s="1721"/>
      <c r="C1706" s="1026"/>
      <c r="D1706" s="1714"/>
      <c r="E1706" s="1720"/>
      <c r="F1706" s="1720"/>
      <c r="G1706" s="1716"/>
      <c r="H1706" s="1715"/>
      <c r="I1706" s="1715"/>
      <c r="J1706" s="1717"/>
      <c r="K1706" s="1717"/>
      <c r="L1706" s="1717"/>
      <c r="M1706" s="1717"/>
      <c r="N1706" s="1718"/>
    </row>
    <row r="1707">
      <c r="A1707" s="1721"/>
      <c r="C1707" s="1026"/>
      <c r="D1707" s="1714"/>
      <c r="E1707" s="1720"/>
      <c r="F1707" s="1720"/>
      <c r="G1707" s="1716"/>
      <c r="H1707" s="1715"/>
      <c r="I1707" s="1715"/>
      <c r="J1707" s="1717"/>
      <c r="K1707" s="1717"/>
      <c r="L1707" s="1717"/>
      <c r="M1707" s="1717"/>
      <c r="N1707" s="1718"/>
    </row>
    <row r="1708">
      <c r="A1708" s="1721"/>
      <c r="C1708" s="1026"/>
      <c r="D1708" s="1714"/>
      <c r="E1708" s="1720"/>
      <c r="F1708" s="1720"/>
      <c r="G1708" s="1716"/>
      <c r="H1708" s="1715"/>
      <c r="I1708" s="1715"/>
      <c r="J1708" s="1717"/>
      <c r="K1708" s="1717"/>
      <c r="L1708" s="1717"/>
      <c r="M1708" s="1717"/>
      <c r="N1708" s="1718"/>
    </row>
    <row r="1709">
      <c r="A1709" s="1721"/>
      <c r="C1709" s="1026"/>
      <c r="D1709" s="1714"/>
      <c r="E1709" s="1720"/>
      <c r="F1709" s="1720"/>
      <c r="G1709" s="1716"/>
      <c r="H1709" s="1715"/>
      <c r="I1709" s="1715"/>
      <c r="J1709" s="1717"/>
      <c r="K1709" s="1717"/>
      <c r="L1709" s="1717"/>
      <c r="M1709" s="1717"/>
      <c r="N1709" s="1718"/>
    </row>
    <row r="1710">
      <c r="A1710" s="1721"/>
      <c r="C1710" s="1026"/>
      <c r="D1710" s="1714"/>
      <c r="E1710" s="1720"/>
      <c r="F1710" s="1720"/>
      <c r="G1710" s="1716"/>
      <c r="H1710" s="1715"/>
      <c r="I1710" s="1715"/>
      <c r="J1710" s="1717"/>
      <c r="K1710" s="1717"/>
      <c r="L1710" s="1717"/>
      <c r="M1710" s="1717"/>
      <c r="N1710" s="1718"/>
    </row>
    <row r="1711">
      <c r="A1711" s="1721"/>
      <c r="C1711" s="1026"/>
      <c r="D1711" s="1714"/>
      <c r="E1711" s="1720"/>
      <c r="F1711" s="1720"/>
      <c r="G1711" s="1716"/>
      <c r="H1711" s="1715"/>
      <c r="I1711" s="1715"/>
      <c r="J1711" s="1717"/>
      <c r="K1711" s="1717"/>
      <c r="L1711" s="1717"/>
      <c r="M1711" s="1717"/>
      <c r="N1711" s="1718"/>
    </row>
    <row r="1712">
      <c r="A1712" s="1721"/>
      <c r="C1712" s="1026"/>
      <c r="D1712" s="1714"/>
      <c r="E1712" s="1720"/>
      <c r="F1712" s="1720"/>
      <c r="G1712" s="1716"/>
      <c r="H1712" s="1715"/>
      <c r="I1712" s="1715"/>
      <c r="J1712" s="1717"/>
      <c r="K1712" s="1717"/>
      <c r="L1712" s="1717"/>
      <c r="M1712" s="1717"/>
      <c r="N1712" s="1718"/>
    </row>
    <row r="1713">
      <c r="A1713" s="1721"/>
      <c r="C1713" s="1026"/>
      <c r="D1713" s="1714"/>
      <c r="E1713" s="1720"/>
      <c r="F1713" s="1720"/>
      <c r="G1713" s="1716"/>
      <c r="H1713" s="1715"/>
      <c r="I1713" s="1715"/>
      <c r="J1713" s="1717"/>
      <c r="K1713" s="1717"/>
      <c r="L1713" s="1717"/>
      <c r="M1713" s="1717"/>
      <c r="N1713" s="1718"/>
    </row>
    <row r="1714">
      <c r="A1714" s="1721"/>
      <c r="C1714" s="1026"/>
      <c r="D1714" s="1714"/>
      <c r="E1714" s="1720"/>
      <c r="F1714" s="1720"/>
      <c r="G1714" s="1716"/>
      <c r="H1714" s="1715"/>
      <c r="I1714" s="1715"/>
      <c r="J1714" s="1717"/>
      <c r="K1714" s="1717"/>
      <c r="L1714" s="1717"/>
      <c r="M1714" s="1717"/>
      <c r="N1714" s="1718"/>
    </row>
    <row r="1715">
      <c r="A1715" s="1721"/>
      <c r="C1715" s="1026"/>
      <c r="D1715" s="1714"/>
      <c r="E1715" s="1720"/>
      <c r="F1715" s="1720"/>
      <c r="G1715" s="1716"/>
      <c r="H1715" s="1715"/>
      <c r="I1715" s="1715"/>
      <c r="J1715" s="1717"/>
      <c r="K1715" s="1717"/>
      <c r="L1715" s="1717"/>
      <c r="M1715" s="1717"/>
      <c r="N1715" s="1718"/>
    </row>
    <row r="1716">
      <c r="A1716" s="1721"/>
      <c r="C1716" s="1026"/>
      <c r="D1716" s="1714"/>
      <c r="E1716" s="1720"/>
      <c r="F1716" s="1720"/>
      <c r="G1716" s="1716"/>
      <c r="H1716" s="1715"/>
      <c r="I1716" s="1715"/>
      <c r="J1716" s="1717"/>
      <c r="K1716" s="1717"/>
      <c r="L1716" s="1717"/>
      <c r="M1716" s="1717"/>
      <c r="N1716" s="1718"/>
    </row>
    <row r="1717">
      <c r="A1717" s="1721"/>
      <c r="C1717" s="1026"/>
      <c r="D1717" s="1714"/>
      <c r="E1717" s="1720"/>
      <c r="F1717" s="1720"/>
      <c r="G1717" s="1716"/>
      <c r="H1717" s="1715"/>
      <c r="I1717" s="1715"/>
      <c r="J1717" s="1717"/>
      <c r="K1717" s="1717"/>
      <c r="L1717" s="1717"/>
      <c r="M1717" s="1717"/>
      <c r="N1717" s="1718"/>
    </row>
    <row r="1718">
      <c r="A1718" s="1721"/>
      <c r="C1718" s="1026"/>
      <c r="D1718" s="1714"/>
      <c r="E1718" s="1720"/>
      <c r="F1718" s="1720"/>
      <c r="G1718" s="1716"/>
      <c r="H1718" s="1715"/>
      <c r="I1718" s="1715"/>
      <c r="J1718" s="1717"/>
      <c r="K1718" s="1717"/>
      <c r="L1718" s="1717"/>
      <c r="M1718" s="1717"/>
      <c r="N1718" s="1718"/>
    </row>
    <row r="1719">
      <c r="A1719" s="1721"/>
      <c r="C1719" s="1026"/>
      <c r="D1719" s="1714"/>
      <c r="E1719" s="1720"/>
      <c r="F1719" s="1720"/>
      <c r="G1719" s="1716"/>
      <c r="H1719" s="1715"/>
      <c r="I1719" s="1715"/>
      <c r="J1719" s="1717"/>
      <c r="K1719" s="1717"/>
      <c r="L1719" s="1717"/>
      <c r="M1719" s="1717"/>
      <c r="N1719" s="1718"/>
    </row>
    <row r="1720">
      <c r="A1720" s="1721"/>
      <c r="C1720" s="1026"/>
      <c r="D1720" s="1714"/>
      <c r="E1720" s="1720"/>
      <c r="F1720" s="1720"/>
      <c r="G1720" s="1716"/>
      <c r="H1720" s="1715"/>
      <c r="I1720" s="1715"/>
      <c r="J1720" s="1717"/>
      <c r="K1720" s="1717"/>
      <c r="L1720" s="1717"/>
      <c r="M1720" s="1717"/>
      <c r="N1720" s="1718"/>
    </row>
    <row r="1721">
      <c r="A1721" s="1721"/>
      <c r="C1721" s="1026"/>
      <c r="D1721" s="1714"/>
      <c r="E1721" s="1720"/>
      <c r="F1721" s="1720"/>
      <c r="G1721" s="1716"/>
      <c r="H1721" s="1715"/>
      <c r="I1721" s="1715"/>
      <c r="J1721" s="1717"/>
      <c r="K1721" s="1717"/>
      <c r="L1721" s="1717"/>
      <c r="M1721" s="1717"/>
      <c r="N1721" s="1718"/>
    </row>
    <row r="1722">
      <c r="A1722" s="1721"/>
      <c r="C1722" s="1026"/>
      <c r="D1722" s="1714"/>
      <c r="E1722" s="1720"/>
      <c r="F1722" s="1720"/>
      <c r="G1722" s="1716"/>
      <c r="H1722" s="1715"/>
      <c r="I1722" s="1715"/>
      <c r="J1722" s="1717"/>
      <c r="K1722" s="1717"/>
      <c r="L1722" s="1717"/>
      <c r="M1722" s="1717"/>
      <c r="N1722" s="1718"/>
    </row>
    <row r="1723">
      <c r="A1723" s="1721"/>
      <c r="C1723" s="1026"/>
      <c r="D1723" s="1714"/>
      <c r="E1723" s="1720"/>
      <c r="F1723" s="1720"/>
      <c r="G1723" s="1716"/>
      <c r="H1723" s="1715"/>
      <c r="I1723" s="1715"/>
      <c r="J1723" s="1717"/>
      <c r="K1723" s="1717"/>
      <c r="L1723" s="1717"/>
      <c r="M1723" s="1717"/>
      <c r="N1723" s="1718"/>
    </row>
    <row r="1724">
      <c r="A1724" s="1721"/>
      <c r="C1724" s="1026"/>
      <c r="D1724" s="1714"/>
      <c r="E1724" s="1720"/>
      <c r="F1724" s="1720"/>
      <c r="G1724" s="1716"/>
      <c r="H1724" s="1715"/>
      <c r="I1724" s="1715"/>
      <c r="J1724" s="1717"/>
      <c r="K1724" s="1717"/>
      <c r="L1724" s="1717"/>
      <c r="M1724" s="1717"/>
      <c r="N1724" s="1718"/>
    </row>
    <row r="1725">
      <c r="A1725" s="1721"/>
      <c r="C1725" s="1026"/>
      <c r="D1725" s="1714"/>
      <c r="E1725" s="1720"/>
      <c r="F1725" s="1720"/>
      <c r="G1725" s="1716"/>
      <c r="H1725" s="1715"/>
      <c r="I1725" s="1715"/>
      <c r="J1725" s="1717"/>
      <c r="K1725" s="1717"/>
      <c r="L1725" s="1717"/>
      <c r="M1725" s="1717"/>
      <c r="N1725" s="1718"/>
    </row>
    <row r="1726">
      <c r="A1726" s="1721"/>
      <c r="C1726" s="1026"/>
      <c r="D1726" s="1714"/>
      <c r="E1726" s="1720"/>
      <c r="F1726" s="1720"/>
      <c r="G1726" s="1716"/>
      <c r="H1726" s="1715"/>
      <c r="I1726" s="1715"/>
      <c r="J1726" s="1717"/>
      <c r="K1726" s="1717"/>
      <c r="L1726" s="1717"/>
      <c r="M1726" s="1717"/>
      <c r="N1726" s="1718"/>
    </row>
    <row r="1727">
      <c r="A1727" s="1721"/>
      <c r="C1727" s="1026"/>
      <c r="D1727" s="1714"/>
      <c r="E1727" s="1720"/>
      <c r="F1727" s="1720"/>
      <c r="G1727" s="1716"/>
      <c r="H1727" s="1715"/>
      <c r="I1727" s="1715"/>
      <c r="J1727" s="1717"/>
      <c r="K1727" s="1717"/>
      <c r="L1727" s="1717"/>
      <c r="M1727" s="1717"/>
      <c r="N1727" s="1718"/>
    </row>
    <row r="1728">
      <c r="A1728" s="1721"/>
      <c r="C1728" s="1026"/>
      <c r="D1728" s="1714"/>
      <c r="E1728" s="1720"/>
      <c r="F1728" s="1720"/>
      <c r="G1728" s="1716"/>
      <c r="H1728" s="1715"/>
      <c r="I1728" s="1715"/>
      <c r="J1728" s="1717"/>
      <c r="K1728" s="1717"/>
      <c r="L1728" s="1717"/>
      <c r="M1728" s="1717"/>
      <c r="N1728" s="1718"/>
    </row>
    <row r="1729">
      <c r="A1729" s="1721"/>
      <c r="C1729" s="1026"/>
      <c r="D1729" s="1714"/>
      <c r="E1729" s="1720"/>
      <c r="F1729" s="1720"/>
      <c r="G1729" s="1716"/>
      <c r="H1729" s="1715"/>
      <c r="I1729" s="1715"/>
      <c r="J1729" s="1717"/>
      <c r="K1729" s="1717"/>
      <c r="L1729" s="1717"/>
      <c r="M1729" s="1717"/>
      <c r="N1729" s="1718"/>
    </row>
    <row r="1730">
      <c r="A1730" s="1721"/>
      <c r="C1730" s="1026"/>
      <c r="D1730" s="1714"/>
      <c r="E1730" s="1720"/>
      <c r="F1730" s="1720"/>
      <c r="G1730" s="1716"/>
      <c r="H1730" s="1715"/>
      <c r="I1730" s="1715"/>
      <c r="J1730" s="1717"/>
      <c r="K1730" s="1717"/>
      <c r="L1730" s="1717"/>
      <c r="M1730" s="1717"/>
      <c r="N1730" s="1718"/>
    </row>
    <row r="1731">
      <c r="A1731" s="1721"/>
      <c r="C1731" s="1026"/>
      <c r="D1731" s="1714"/>
      <c r="E1731" s="1720"/>
      <c r="F1731" s="1720"/>
      <c r="G1731" s="1716"/>
      <c r="H1731" s="1715"/>
      <c r="I1731" s="1715"/>
      <c r="J1731" s="1717"/>
      <c r="K1731" s="1717"/>
      <c r="L1731" s="1717"/>
      <c r="M1731" s="1717"/>
      <c r="N1731" s="1718"/>
    </row>
    <row r="1732">
      <c r="A1732" s="1721"/>
      <c r="C1732" s="1026"/>
      <c r="D1732" s="1714"/>
      <c r="E1732" s="1720"/>
      <c r="F1732" s="1720"/>
      <c r="G1732" s="1716"/>
      <c r="H1732" s="1715"/>
      <c r="I1732" s="1715"/>
      <c r="J1732" s="1717"/>
      <c r="K1732" s="1717"/>
      <c r="L1732" s="1717"/>
      <c r="M1732" s="1717"/>
      <c r="N1732" s="1718"/>
    </row>
    <row r="1733">
      <c r="A1733" s="1721"/>
      <c r="C1733" s="1026"/>
      <c r="D1733" s="1714"/>
      <c r="E1733" s="1720"/>
      <c r="F1733" s="1720"/>
      <c r="G1733" s="1716"/>
      <c r="H1733" s="1715"/>
      <c r="I1733" s="1715"/>
      <c r="J1733" s="1717"/>
      <c r="K1733" s="1717"/>
      <c r="L1733" s="1717"/>
      <c r="M1733" s="1717"/>
      <c r="N1733" s="1718"/>
    </row>
    <row r="1734">
      <c r="A1734" s="1721"/>
      <c r="C1734" s="1026"/>
      <c r="D1734" s="1714"/>
      <c r="E1734" s="1720"/>
      <c r="F1734" s="1720"/>
      <c r="G1734" s="1716"/>
      <c r="H1734" s="1715"/>
      <c r="I1734" s="1715"/>
      <c r="J1734" s="1717"/>
      <c r="K1734" s="1717"/>
      <c r="L1734" s="1717"/>
      <c r="M1734" s="1717"/>
      <c r="N1734" s="1718"/>
    </row>
    <row r="1735">
      <c r="A1735" s="1721"/>
      <c r="C1735" s="1026"/>
      <c r="D1735" s="1714"/>
      <c r="E1735" s="1720"/>
      <c r="F1735" s="1720"/>
      <c r="G1735" s="1716"/>
      <c r="H1735" s="1715"/>
      <c r="I1735" s="1715"/>
      <c r="J1735" s="1717"/>
      <c r="K1735" s="1717"/>
      <c r="L1735" s="1717"/>
      <c r="M1735" s="1717"/>
      <c r="N1735" s="1718"/>
    </row>
    <row r="1736">
      <c r="A1736" s="1721"/>
      <c r="C1736" s="1026"/>
      <c r="D1736" s="1714"/>
      <c r="E1736" s="1720"/>
      <c r="F1736" s="1720"/>
      <c r="G1736" s="1716"/>
      <c r="H1736" s="1715"/>
      <c r="I1736" s="1715"/>
      <c r="J1736" s="1717"/>
      <c r="K1736" s="1717"/>
      <c r="L1736" s="1717"/>
      <c r="M1736" s="1717"/>
      <c r="N1736" s="1718"/>
    </row>
    <row r="1737">
      <c r="A1737" s="1721"/>
      <c r="C1737" s="1026"/>
      <c r="D1737" s="1714"/>
      <c r="E1737" s="1720"/>
      <c r="F1737" s="1720"/>
      <c r="G1737" s="1716"/>
      <c r="H1737" s="1715"/>
      <c r="I1737" s="1715"/>
      <c r="J1737" s="1717"/>
      <c r="K1737" s="1717"/>
      <c r="L1737" s="1717"/>
      <c r="M1737" s="1717"/>
      <c r="N1737" s="1718"/>
    </row>
    <row r="1738">
      <c r="A1738" s="1721"/>
      <c r="C1738" s="1026"/>
      <c r="D1738" s="1714"/>
      <c r="E1738" s="1720"/>
      <c r="F1738" s="1720"/>
      <c r="G1738" s="1716"/>
      <c r="H1738" s="1715"/>
      <c r="I1738" s="1715"/>
      <c r="J1738" s="1717"/>
      <c r="K1738" s="1717"/>
      <c r="L1738" s="1717"/>
      <c r="M1738" s="1717"/>
      <c r="N1738" s="1718"/>
    </row>
    <row r="1739">
      <c r="A1739" s="1721"/>
      <c r="C1739" s="1026"/>
      <c r="D1739" s="1714"/>
      <c r="E1739" s="1720"/>
      <c r="F1739" s="1720"/>
      <c r="G1739" s="1716"/>
      <c r="H1739" s="1715"/>
      <c r="I1739" s="1715"/>
      <c r="J1739" s="1717"/>
      <c r="K1739" s="1717"/>
      <c r="L1739" s="1717"/>
      <c r="M1739" s="1717"/>
      <c r="N1739" s="1718"/>
    </row>
    <row r="1740">
      <c r="A1740" s="1721"/>
      <c r="C1740" s="1026"/>
      <c r="D1740" s="1714"/>
      <c r="E1740" s="1720"/>
      <c r="F1740" s="1720"/>
      <c r="G1740" s="1716"/>
      <c r="H1740" s="1715"/>
      <c r="I1740" s="1715"/>
      <c r="J1740" s="1717"/>
      <c r="K1740" s="1717"/>
      <c r="L1740" s="1717"/>
      <c r="M1740" s="1717"/>
      <c r="N1740" s="1718"/>
    </row>
    <row r="1741">
      <c r="A1741" s="1721"/>
      <c r="C1741" s="1026"/>
      <c r="D1741" s="1714"/>
      <c r="E1741" s="1720"/>
      <c r="F1741" s="1720"/>
      <c r="G1741" s="1716"/>
      <c r="H1741" s="1715"/>
      <c r="I1741" s="1715"/>
      <c r="J1741" s="1717"/>
      <c r="K1741" s="1717"/>
      <c r="L1741" s="1717"/>
      <c r="M1741" s="1717"/>
      <c r="N1741" s="1718"/>
    </row>
    <row r="1742">
      <c r="A1742" s="1721"/>
      <c r="C1742" s="1026"/>
      <c r="D1742" s="1714"/>
      <c r="E1742" s="1720"/>
      <c r="F1742" s="1720"/>
      <c r="G1742" s="1716"/>
      <c r="H1742" s="1715"/>
      <c r="I1742" s="1715"/>
      <c r="J1742" s="1717"/>
      <c r="K1742" s="1717"/>
      <c r="L1742" s="1717"/>
      <c r="M1742" s="1717"/>
      <c r="N1742" s="1718"/>
    </row>
    <row r="1743">
      <c r="A1743" s="1721"/>
      <c r="C1743" s="1026"/>
      <c r="D1743" s="1714"/>
      <c r="E1743" s="1720"/>
      <c r="F1743" s="1720"/>
      <c r="G1743" s="1716"/>
      <c r="H1743" s="1715"/>
      <c r="I1743" s="1715"/>
      <c r="J1743" s="1717"/>
      <c r="K1743" s="1717"/>
      <c r="L1743" s="1717"/>
      <c r="M1743" s="1717"/>
      <c r="N1743" s="1718"/>
    </row>
    <row r="1744">
      <c r="A1744" s="1721"/>
      <c r="C1744" s="1026"/>
      <c r="D1744" s="1714"/>
      <c r="E1744" s="1720"/>
      <c r="F1744" s="1720"/>
      <c r="G1744" s="1716"/>
      <c r="H1744" s="1715"/>
      <c r="I1744" s="1715"/>
      <c r="J1744" s="1717"/>
      <c r="K1744" s="1717"/>
      <c r="L1744" s="1717"/>
      <c r="M1744" s="1717"/>
      <c r="N1744" s="1718"/>
    </row>
    <row r="1745">
      <c r="A1745" s="1721"/>
      <c r="C1745" s="1026"/>
      <c r="D1745" s="1714"/>
      <c r="E1745" s="1720"/>
      <c r="F1745" s="1720"/>
      <c r="G1745" s="1716"/>
      <c r="H1745" s="1715"/>
      <c r="I1745" s="1715"/>
      <c r="J1745" s="1717"/>
      <c r="K1745" s="1717"/>
      <c r="L1745" s="1717"/>
      <c r="M1745" s="1717"/>
      <c r="N1745" s="1718"/>
    </row>
    <row r="1746">
      <c r="A1746" s="1721"/>
      <c r="C1746" s="1026"/>
      <c r="D1746" s="1714"/>
      <c r="E1746" s="1720"/>
      <c r="F1746" s="1720"/>
      <c r="G1746" s="1716"/>
      <c r="H1746" s="1715"/>
      <c r="I1746" s="1715"/>
      <c r="J1746" s="1717"/>
      <c r="K1746" s="1717"/>
      <c r="L1746" s="1717"/>
      <c r="M1746" s="1717"/>
      <c r="N1746" s="1718"/>
    </row>
    <row r="1747">
      <c r="A1747" s="1721"/>
      <c r="C1747" s="1026"/>
      <c r="D1747" s="1714"/>
      <c r="E1747" s="1720"/>
      <c r="F1747" s="1720"/>
      <c r="G1747" s="1716"/>
      <c r="H1747" s="1715"/>
      <c r="I1747" s="1715"/>
      <c r="J1747" s="1717"/>
      <c r="K1747" s="1717"/>
      <c r="L1747" s="1717"/>
      <c r="M1747" s="1717"/>
      <c r="N1747" s="1718"/>
    </row>
    <row r="1748">
      <c r="A1748" s="1721"/>
      <c r="C1748" s="1026"/>
      <c r="D1748" s="1714"/>
      <c r="E1748" s="1720"/>
      <c r="F1748" s="1720"/>
      <c r="G1748" s="1716"/>
      <c r="H1748" s="1715"/>
      <c r="I1748" s="1715"/>
      <c r="J1748" s="1717"/>
      <c r="K1748" s="1717"/>
      <c r="L1748" s="1717"/>
      <c r="M1748" s="1717"/>
      <c r="N1748" s="1718"/>
    </row>
    <row r="1749">
      <c r="A1749" s="1721"/>
      <c r="C1749" s="1026"/>
      <c r="D1749" s="1714"/>
      <c r="E1749" s="1720"/>
      <c r="F1749" s="1720"/>
      <c r="G1749" s="1716"/>
      <c r="H1749" s="1715"/>
      <c r="I1749" s="1715"/>
      <c r="J1749" s="1717"/>
      <c r="K1749" s="1717"/>
      <c r="L1749" s="1717"/>
      <c r="M1749" s="1717"/>
      <c r="N1749" s="1718"/>
    </row>
    <row r="1750">
      <c r="A1750" s="1721"/>
      <c r="C1750" s="1026"/>
      <c r="D1750" s="1714"/>
      <c r="E1750" s="1720"/>
      <c r="F1750" s="1720"/>
      <c r="G1750" s="1716"/>
      <c r="H1750" s="1715"/>
      <c r="I1750" s="1715"/>
      <c r="J1750" s="1717"/>
      <c r="K1750" s="1717"/>
      <c r="L1750" s="1717"/>
      <c r="M1750" s="1717"/>
      <c r="N1750" s="1718"/>
    </row>
    <row r="1751">
      <c r="A1751" s="1721"/>
      <c r="C1751" s="1026"/>
      <c r="D1751" s="1714"/>
      <c r="E1751" s="1720"/>
      <c r="F1751" s="1720"/>
      <c r="G1751" s="1716"/>
      <c r="H1751" s="1715"/>
      <c r="I1751" s="1715"/>
      <c r="J1751" s="1717"/>
      <c r="K1751" s="1717"/>
      <c r="L1751" s="1717"/>
      <c r="M1751" s="1717"/>
      <c r="N1751" s="1718"/>
    </row>
    <row r="1752">
      <c r="A1752" s="1721"/>
      <c r="C1752" s="1026"/>
      <c r="D1752" s="1714"/>
      <c r="E1752" s="1720"/>
      <c r="F1752" s="1720"/>
      <c r="G1752" s="1716"/>
      <c r="H1752" s="1715"/>
      <c r="I1752" s="1715"/>
      <c r="J1752" s="1717"/>
      <c r="K1752" s="1717"/>
      <c r="L1752" s="1717"/>
      <c r="M1752" s="1717"/>
      <c r="N1752" s="1718"/>
    </row>
    <row r="1753">
      <c r="A1753" s="1721"/>
      <c r="C1753" s="1026"/>
      <c r="D1753" s="1714"/>
      <c r="E1753" s="1720"/>
      <c r="F1753" s="1720"/>
      <c r="G1753" s="1716"/>
      <c r="H1753" s="1715"/>
      <c r="I1753" s="1715"/>
      <c r="J1753" s="1717"/>
      <c r="K1753" s="1717"/>
      <c r="L1753" s="1717"/>
      <c r="M1753" s="1717"/>
      <c r="N1753" s="1718"/>
    </row>
    <row r="1754">
      <c r="A1754" s="1721"/>
      <c r="C1754" s="1026"/>
      <c r="D1754" s="1714"/>
      <c r="E1754" s="1720"/>
      <c r="F1754" s="1720"/>
      <c r="G1754" s="1716"/>
      <c r="H1754" s="1715"/>
      <c r="I1754" s="1715"/>
      <c r="J1754" s="1717"/>
      <c r="K1754" s="1717"/>
      <c r="L1754" s="1717"/>
      <c r="M1754" s="1717"/>
      <c r="N1754" s="1718"/>
    </row>
    <row r="1755">
      <c r="A1755" s="1721"/>
      <c r="C1755" s="1026"/>
      <c r="D1755" s="1714"/>
      <c r="E1755" s="1720"/>
      <c r="F1755" s="1720"/>
      <c r="G1755" s="1716"/>
      <c r="H1755" s="1715"/>
      <c r="I1755" s="1715"/>
      <c r="J1755" s="1717"/>
      <c r="K1755" s="1717"/>
      <c r="L1755" s="1717"/>
      <c r="M1755" s="1717"/>
      <c r="N1755" s="1718"/>
    </row>
    <row r="1756">
      <c r="A1756" s="1721"/>
      <c r="C1756" s="1026"/>
      <c r="D1756" s="1714"/>
      <c r="E1756" s="1720"/>
      <c r="F1756" s="1720"/>
      <c r="G1756" s="1716"/>
      <c r="H1756" s="1715"/>
      <c r="I1756" s="1715"/>
      <c r="J1756" s="1717"/>
      <c r="K1756" s="1717"/>
      <c r="L1756" s="1717"/>
      <c r="M1756" s="1717"/>
      <c r="N1756" s="1718"/>
    </row>
    <row r="1757">
      <c r="A1757" s="1721"/>
      <c r="C1757" s="1026"/>
      <c r="D1757" s="1714"/>
      <c r="E1757" s="1720"/>
      <c r="F1757" s="1720"/>
      <c r="G1757" s="1716"/>
      <c r="H1757" s="1715"/>
      <c r="I1757" s="1715"/>
      <c r="J1757" s="1717"/>
      <c r="K1757" s="1717"/>
      <c r="L1757" s="1717"/>
      <c r="M1757" s="1717"/>
      <c r="N1757" s="1718"/>
    </row>
    <row r="1758">
      <c r="A1758" s="1721"/>
      <c r="C1758" s="1026"/>
      <c r="D1758" s="1714"/>
      <c r="E1758" s="1720"/>
      <c r="F1758" s="1720"/>
      <c r="G1758" s="1716"/>
      <c r="H1758" s="1715"/>
      <c r="I1758" s="1715"/>
      <c r="J1758" s="1717"/>
      <c r="K1758" s="1717"/>
      <c r="L1758" s="1717"/>
      <c r="M1758" s="1717"/>
      <c r="N1758" s="1718"/>
    </row>
    <row r="1759">
      <c r="A1759" s="1721"/>
      <c r="C1759" s="1026"/>
      <c r="D1759" s="1714"/>
      <c r="E1759" s="1720"/>
      <c r="F1759" s="1720"/>
      <c r="G1759" s="1716"/>
      <c r="H1759" s="1715"/>
      <c r="I1759" s="1715"/>
      <c r="J1759" s="1717"/>
      <c r="K1759" s="1717"/>
      <c r="L1759" s="1717"/>
      <c r="M1759" s="1717"/>
      <c r="N1759" s="1718"/>
    </row>
    <row r="1760">
      <c r="A1760" s="1721"/>
      <c r="C1760" s="1026"/>
      <c r="D1760" s="1714"/>
      <c r="E1760" s="1720"/>
      <c r="F1760" s="1720"/>
      <c r="G1760" s="1716"/>
      <c r="H1760" s="1715"/>
      <c r="I1760" s="1715"/>
      <c r="J1760" s="1717"/>
      <c r="K1760" s="1717"/>
      <c r="L1760" s="1717"/>
      <c r="M1760" s="1717"/>
      <c r="N1760" s="1718"/>
    </row>
    <row r="1761">
      <c r="A1761" s="1721"/>
      <c r="C1761" s="1026"/>
      <c r="D1761" s="1714"/>
      <c r="E1761" s="1720"/>
      <c r="F1761" s="1720"/>
      <c r="G1761" s="1716"/>
      <c r="H1761" s="1715"/>
      <c r="I1761" s="1715"/>
      <c r="J1761" s="1717"/>
      <c r="K1761" s="1717"/>
      <c r="L1761" s="1717"/>
      <c r="M1761" s="1717"/>
      <c r="N1761" s="1718"/>
    </row>
    <row r="1762">
      <c r="A1762" s="1721"/>
      <c r="C1762" s="1026"/>
      <c r="D1762" s="1714"/>
      <c r="E1762" s="1720"/>
      <c r="F1762" s="1720"/>
      <c r="G1762" s="1716"/>
      <c r="H1762" s="1715"/>
      <c r="I1762" s="1715"/>
      <c r="J1762" s="1717"/>
      <c r="K1762" s="1717"/>
      <c r="L1762" s="1717"/>
      <c r="M1762" s="1717"/>
      <c r="N1762" s="1718"/>
    </row>
    <row r="1763">
      <c r="A1763" s="1721"/>
      <c r="C1763" s="1026"/>
      <c r="D1763" s="1714"/>
      <c r="E1763" s="1720"/>
      <c r="F1763" s="1720"/>
      <c r="G1763" s="1716"/>
      <c r="H1763" s="1715"/>
      <c r="I1763" s="1715"/>
      <c r="J1763" s="1717"/>
      <c r="K1763" s="1717"/>
      <c r="L1763" s="1717"/>
      <c r="M1763" s="1717"/>
      <c r="N1763" s="1718"/>
    </row>
    <row r="1764">
      <c r="A1764" s="1721"/>
      <c r="C1764" s="1026"/>
      <c r="D1764" s="1714"/>
      <c r="E1764" s="1720"/>
      <c r="F1764" s="1720"/>
      <c r="G1764" s="1716"/>
      <c r="H1764" s="1715"/>
      <c r="I1764" s="1715"/>
      <c r="J1764" s="1717"/>
      <c r="K1764" s="1717"/>
      <c r="L1764" s="1717"/>
      <c r="M1764" s="1717"/>
      <c r="N1764" s="1718"/>
    </row>
    <row r="1765">
      <c r="A1765" s="1721"/>
      <c r="C1765" s="1026"/>
      <c r="D1765" s="1714"/>
      <c r="E1765" s="1720"/>
      <c r="F1765" s="1720"/>
      <c r="G1765" s="1716"/>
      <c r="H1765" s="1715"/>
      <c r="I1765" s="1715"/>
      <c r="J1765" s="1717"/>
      <c r="K1765" s="1717"/>
      <c r="L1765" s="1717"/>
      <c r="M1765" s="1717"/>
      <c r="N1765" s="1718"/>
    </row>
    <row r="1766">
      <c r="A1766" s="1721"/>
      <c r="C1766" s="1026"/>
      <c r="D1766" s="1714"/>
      <c r="E1766" s="1720"/>
      <c r="F1766" s="1720"/>
      <c r="G1766" s="1716"/>
      <c r="H1766" s="1715"/>
      <c r="I1766" s="1715"/>
      <c r="J1766" s="1717"/>
      <c r="K1766" s="1717"/>
      <c r="L1766" s="1717"/>
      <c r="M1766" s="1717"/>
      <c r="N1766" s="1718"/>
    </row>
    <row r="1767">
      <c r="A1767" s="1721"/>
      <c r="C1767" s="1026"/>
      <c r="D1767" s="1714"/>
      <c r="E1767" s="1720"/>
      <c r="F1767" s="1720"/>
      <c r="G1767" s="1716"/>
      <c r="H1767" s="1715"/>
      <c r="I1767" s="1715"/>
      <c r="J1767" s="1717"/>
      <c r="K1767" s="1717"/>
      <c r="L1767" s="1717"/>
      <c r="M1767" s="1717"/>
      <c r="N1767" s="1718"/>
    </row>
    <row r="1768">
      <c r="A1768" s="1721"/>
      <c r="C1768" s="1026"/>
      <c r="D1768" s="1714"/>
      <c r="E1768" s="1720"/>
      <c r="F1768" s="1720"/>
      <c r="G1768" s="1716"/>
      <c r="H1768" s="1715"/>
      <c r="I1768" s="1715"/>
      <c r="J1768" s="1717"/>
      <c r="K1768" s="1717"/>
      <c r="L1768" s="1717"/>
      <c r="M1768" s="1717"/>
      <c r="N1768" s="1718"/>
    </row>
    <row r="1769">
      <c r="A1769" s="1721"/>
      <c r="C1769" s="1026"/>
      <c r="D1769" s="1714"/>
      <c r="E1769" s="1720"/>
      <c r="F1769" s="1720"/>
      <c r="G1769" s="1716"/>
      <c r="H1769" s="1715"/>
      <c r="I1769" s="1715"/>
      <c r="J1769" s="1717"/>
      <c r="K1769" s="1717"/>
      <c r="L1769" s="1717"/>
      <c r="M1769" s="1717"/>
      <c r="N1769" s="1718"/>
    </row>
    <row r="1770">
      <c r="A1770" s="1721"/>
      <c r="C1770" s="1026"/>
      <c r="D1770" s="1714"/>
      <c r="E1770" s="1720"/>
      <c r="F1770" s="1720"/>
      <c r="G1770" s="1716"/>
      <c r="H1770" s="1715"/>
      <c r="I1770" s="1715"/>
      <c r="J1770" s="1717"/>
      <c r="K1770" s="1717"/>
      <c r="L1770" s="1717"/>
      <c r="M1770" s="1717"/>
      <c r="N1770" s="1718"/>
    </row>
    <row r="1771">
      <c r="A1771" s="1721"/>
      <c r="C1771" s="1026"/>
      <c r="D1771" s="1714"/>
      <c r="E1771" s="1720"/>
      <c r="F1771" s="1720"/>
      <c r="G1771" s="1716"/>
      <c r="H1771" s="1715"/>
      <c r="I1771" s="1715"/>
      <c r="J1771" s="1717"/>
      <c r="K1771" s="1717"/>
      <c r="L1771" s="1717"/>
      <c r="M1771" s="1717"/>
      <c r="N1771" s="1718"/>
    </row>
    <row r="1772">
      <c r="A1772" s="1721"/>
      <c r="C1772" s="1026"/>
      <c r="D1772" s="1714"/>
      <c r="E1772" s="1720"/>
      <c r="F1772" s="1720"/>
      <c r="G1772" s="1716"/>
      <c r="H1772" s="1715"/>
      <c r="I1772" s="1715"/>
      <c r="J1772" s="1717"/>
      <c r="K1772" s="1717"/>
      <c r="L1772" s="1717"/>
      <c r="M1772" s="1717"/>
      <c r="N1772" s="1718"/>
    </row>
    <row r="1773">
      <c r="A1773" s="1721"/>
      <c r="C1773" s="1026"/>
      <c r="D1773" s="1714"/>
      <c r="E1773" s="1720"/>
      <c r="F1773" s="1720"/>
      <c r="G1773" s="1716"/>
      <c r="H1773" s="1715"/>
      <c r="I1773" s="1715"/>
      <c r="J1773" s="1717"/>
      <c r="K1773" s="1717"/>
      <c r="L1773" s="1717"/>
      <c r="M1773" s="1717"/>
      <c r="N1773" s="1718"/>
    </row>
    <row r="1774">
      <c r="A1774" s="1721"/>
      <c r="C1774" s="1026"/>
      <c r="D1774" s="1714"/>
      <c r="E1774" s="1720"/>
      <c r="F1774" s="1720"/>
      <c r="G1774" s="1716"/>
      <c r="H1774" s="1715"/>
      <c r="I1774" s="1715"/>
      <c r="J1774" s="1717"/>
      <c r="K1774" s="1717"/>
      <c r="L1774" s="1717"/>
      <c r="M1774" s="1717"/>
      <c r="N1774" s="1718"/>
    </row>
    <row r="1775">
      <c r="A1775" s="1721"/>
      <c r="C1775" s="1026"/>
      <c r="D1775" s="1714"/>
      <c r="E1775" s="1720"/>
      <c r="F1775" s="1720"/>
      <c r="G1775" s="1716"/>
      <c r="H1775" s="1715"/>
      <c r="I1775" s="1715"/>
      <c r="J1775" s="1717"/>
      <c r="K1775" s="1717"/>
      <c r="L1775" s="1717"/>
      <c r="M1775" s="1717"/>
      <c r="N1775" s="1718"/>
    </row>
    <row r="1776">
      <c r="A1776" s="1721"/>
      <c r="C1776" s="1026"/>
      <c r="D1776" s="1714"/>
      <c r="E1776" s="1720"/>
      <c r="F1776" s="1720"/>
      <c r="G1776" s="1716"/>
      <c r="H1776" s="1715"/>
      <c r="I1776" s="1715"/>
      <c r="J1776" s="1717"/>
      <c r="K1776" s="1717"/>
      <c r="L1776" s="1717"/>
      <c r="M1776" s="1717"/>
      <c r="N1776" s="1718"/>
    </row>
    <row r="1777">
      <c r="A1777" s="1721"/>
      <c r="C1777" s="1026"/>
      <c r="D1777" s="1714"/>
      <c r="E1777" s="1720"/>
      <c r="F1777" s="1720"/>
      <c r="G1777" s="1716"/>
      <c r="H1777" s="1715"/>
      <c r="I1777" s="1715"/>
      <c r="J1777" s="1717"/>
      <c r="K1777" s="1717"/>
      <c r="L1777" s="1717"/>
      <c r="M1777" s="1717"/>
      <c r="N1777" s="1718"/>
    </row>
    <row r="1778">
      <c r="A1778" s="1721"/>
      <c r="C1778" s="1026"/>
      <c r="D1778" s="1714"/>
      <c r="E1778" s="1720"/>
      <c r="F1778" s="1720"/>
      <c r="G1778" s="1716"/>
      <c r="H1778" s="1715"/>
      <c r="I1778" s="1715"/>
      <c r="J1778" s="1717"/>
      <c r="K1778" s="1717"/>
      <c r="L1778" s="1717"/>
      <c r="M1778" s="1717"/>
      <c r="N1778" s="1718"/>
    </row>
    <row r="1779">
      <c r="A1779" s="1721"/>
      <c r="C1779" s="1026"/>
      <c r="D1779" s="1714"/>
      <c r="E1779" s="1720"/>
      <c r="F1779" s="1720"/>
      <c r="G1779" s="1716"/>
      <c r="H1779" s="1715"/>
      <c r="I1779" s="1715"/>
      <c r="J1779" s="1717"/>
      <c r="K1779" s="1717"/>
      <c r="L1779" s="1717"/>
      <c r="M1779" s="1717"/>
      <c r="N1779" s="1718"/>
    </row>
    <row r="1780">
      <c r="A1780" s="1721"/>
      <c r="C1780" s="1026"/>
      <c r="D1780" s="1714"/>
      <c r="E1780" s="1720"/>
      <c r="F1780" s="1720"/>
      <c r="G1780" s="1716"/>
      <c r="H1780" s="1715"/>
      <c r="I1780" s="1715"/>
      <c r="J1780" s="1717"/>
      <c r="K1780" s="1717"/>
      <c r="L1780" s="1717"/>
      <c r="M1780" s="1717"/>
      <c r="N1780" s="1718"/>
    </row>
    <row r="1781">
      <c r="A1781" s="1721"/>
      <c r="C1781" s="1026"/>
      <c r="D1781" s="1714"/>
      <c r="E1781" s="1720"/>
      <c r="F1781" s="1720"/>
      <c r="G1781" s="1716"/>
      <c r="H1781" s="1715"/>
      <c r="I1781" s="1715"/>
      <c r="J1781" s="1717"/>
      <c r="K1781" s="1717"/>
      <c r="L1781" s="1717"/>
      <c r="M1781" s="1717"/>
      <c r="N1781" s="1718"/>
    </row>
    <row r="1782">
      <c r="A1782" s="1721"/>
      <c r="C1782" s="1026"/>
      <c r="D1782" s="1714"/>
      <c r="E1782" s="1720"/>
      <c r="F1782" s="1720"/>
      <c r="G1782" s="1716"/>
      <c r="H1782" s="1715"/>
      <c r="I1782" s="1715"/>
      <c r="J1782" s="1717"/>
      <c r="K1782" s="1717"/>
      <c r="L1782" s="1717"/>
      <c r="M1782" s="1717"/>
      <c r="N1782" s="1718"/>
    </row>
    <row r="1783">
      <c r="A1783" s="1721"/>
      <c r="C1783" s="1026"/>
      <c r="D1783" s="1714"/>
      <c r="E1783" s="1720"/>
      <c r="F1783" s="1720"/>
      <c r="G1783" s="1716"/>
      <c r="H1783" s="1715"/>
      <c r="I1783" s="1715"/>
      <c r="J1783" s="1717"/>
      <c r="K1783" s="1717"/>
      <c r="L1783" s="1717"/>
      <c r="M1783" s="1717"/>
      <c r="N1783" s="1718"/>
    </row>
    <row r="1784">
      <c r="A1784" s="1721"/>
      <c r="C1784" s="1026"/>
      <c r="D1784" s="1714"/>
      <c r="E1784" s="1720"/>
      <c r="F1784" s="1720"/>
      <c r="G1784" s="1716"/>
      <c r="H1784" s="1715"/>
      <c r="I1784" s="1715"/>
      <c r="J1784" s="1717"/>
      <c r="K1784" s="1717"/>
      <c r="L1784" s="1717"/>
      <c r="M1784" s="1717"/>
      <c r="N1784" s="1718"/>
    </row>
    <row r="1785">
      <c r="A1785" s="1721"/>
      <c r="C1785" s="1026"/>
      <c r="D1785" s="1714"/>
      <c r="E1785" s="1720"/>
      <c r="F1785" s="1720"/>
      <c r="G1785" s="1716"/>
      <c r="H1785" s="1715"/>
      <c r="I1785" s="1715"/>
      <c r="J1785" s="1717"/>
      <c r="K1785" s="1717"/>
      <c r="L1785" s="1717"/>
      <c r="M1785" s="1717"/>
      <c r="N1785" s="1718"/>
    </row>
    <row r="1786">
      <c r="A1786" s="1721"/>
      <c r="C1786" s="1026"/>
      <c r="D1786" s="1714"/>
      <c r="E1786" s="1720"/>
      <c r="F1786" s="1720"/>
      <c r="G1786" s="1716"/>
      <c r="H1786" s="1715"/>
      <c r="I1786" s="1715"/>
      <c r="J1786" s="1717"/>
      <c r="K1786" s="1717"/>
      <c r="L1786" s="1717"/>
      <c r="M1786" s="1717"/>
      <c r="N1786" s="1718"/>
    </row>
    <row r="1787">
      <c r="A1787" s="1721"/>
      <c r="C1787" s="1026"/>
      <c r="D1787" s="1714"/>
      <c r="E1787" s="1720"/>
      <c r="F1787" s="1720"/>
      <c r="G1787" s="1716"/>
      <c r="H1787" s="1715"/>
      <c r="I1787" s="1715"/>
      <c r="J1787" s="1717"/>
      <c r="K1787" s="1717"/>
      <c r="L1787" s="1717"/>
      <c r="M1787" s="1717"/>
      <c r="N1787" s="1718"/>
    </row>
    <row r="1788">
      <c r="A1788" s="1721"/>
      <c r="C1788" s="1026"/>
      <c r="D1788" s="1714"/>
      <c r="E1788" s="1720"/>
      <c r="F1788" s="1720"/>
      <c r="G1788" s="1716"/>
      <c r="H1788" s="1715"/>
      <c r="I1788" s="1715"/>
      <c r="J1788" s="1717"/>
      <c r="K1788" s="1717"/>
      <c r="L1788" s="1717"/>
      <c r="M1788" s="1717"/>
      <c r="N1788" s="1718"/>
    </row>
    <row r="1789">
      <c r="A1789" s="1721"/>
      <c r="C1789" s="1026"/>
      <c r="D1789" s="1714"/>
      <c r="E1789" s="1720"/>
      <c r="F1789" s="1720"/>
      <c r="G1789" s="1716"/>
      <c r="H1789" s="1715"/>
      <c r="I1789" s="1715"/>
      <c r="J1789" s="1717"/>
      <c r="K1789" s="1717"/>
      <c r="L1789" s="1717"/>
      <c r="M1789" s="1717"/>
      <c r="N1789" s="1718"/>
    </row>
    <row r="1790">
      <c r="A1790" s="1721"/>
      <c r="C1790" s="1026"/>
      <c r="D1790" s="1714"/>
      <c r="E1790" s="1720"/>
      <c r="F1790" s="1720"/>
      <c r="G1790" s="1716"/>
      <c r="H1790" s="1715"/>
      <c r="I1790" s="1715"/>
      <c r="J1790" s="1717"/>
      <c r="K1790" s="1717"/>
      <c r="L1790" s="1717"/>
      <c r="M1790" s="1717"/>
      <c r="N1790" s="1718"/>
    </row>
    <row r="1791">
      <c r="A1791" s="1721"/>
      <c r="C1791" s="1026"/>
      <c r="D1791" s="1714"/>
      <c r="E1791" s="1720"/>
      <c r="F1791" s="1720"/>
      <c r="G1791" s="1716"/>
      <c r="H1791" s="1715"/>
      <c r="I1791" s="1715"/>
      <c r="J1791" s="1717"/>
      <c r="K1791" s="1717"/>
      <c r="L1791" s="1717"/>
      <c r="M1791" s="1717"/>
      <c r="N1791" s="1718"/>
    </row>
    <row r="1792">
      <c r="A1792" s="1721"/>
      <c r="C1792" s="1026"/>
      <c r="D1792" s="1714"/>
      <c r="E1792" s="1720"/>
      <c r="F1792" s="1720"/>
      <c r="G1792" s="1716"/>
      <c r="H1792" s="1715"/>
      <c r="I1792" s="1715"/>
      <c r="J1792" s="1717"/>
      <c r="K1792" s="1717"/>
      <c r="L1792" s="1717"/>
      <c r="M1792" s="1717"/>
      <c r="N1792" s="1718"/>
    </row>
    <row r="1793">
      <c r="A1793" s="1721"/>
      <c r="C1793" s="1026"/>
      <c r="D1793" s="1714"/>
      <c r="E1793" s="1720"/>
      <c r="F1793" s="1720"/>
      <c r="G1793" s="1716"/>
      <c r="H1793" s="1715"/>
      <c r="I1793" s="1715"/>
      <c r="J1793" s="1717"/>
      <c r="K1793" s="1717"/>
      <c r="L1793" s="1717"/>
      <c r="M1793" s="1717"/>
      <c r="N1793" s="1718"/>
    </row>
    <row r="1794">
      <c r="A1794" s="1721"/>
      <c r="C1794" s="1026"/>
      <c r="D1794" s="1714"/>
      <c r="E1794" s="1720"/>
      <c r="F1794" s="1720"/>
      <c r="G1794" s="1716"/>
      <c r="H1794" s="1715"/>
      <c r="I1794" s="1715"/>
      <c r="J1794" s="1717"/>
      <c r="K1794" s="1717"/>
      <c r="L1794" s="1717"/>
      <c r="M1794" s="1717"/>
      <c r="N1794" s="1718"/>
    </row>
    <row r="1795">
      <c r="A1795" s="1721"/>
      <c r="C1795" s="1026"/>
      <c r="D1795" s="1714"/>
      <c r="E1795" s="1720"/>
      <c r="F1795" s="1720"/>
      <c r="G1795" s="1716"/>
      <c r="H1795" s="1715"/>
      <c r="I1795" s="1715"/>
      <c r="J1795" s="1717"/>
      <c r="K1795" s="1717"/>
      <c r="L1795" s="1717"/>
      <c r="M1795" s="1717"/>
      <c r="N1795" s="1718"/>
    </row>
    <row r="1796">
      <c r="A1796" s="1721"/>
      <c r="C1796" s="1026"/>
      <c r="D1796" s="1714"/>
      <c r="E1796" s="1720"/>
      <c r="F1796" s="1720"/>
      <c r="G1796" s="1716"/>
      <c r="H1796" s="1715"/>
      <c r="I1796" s="1715"/>
      <c r="J1796" s="1717"/>
      <c r="K1796" s="1717"/>
      <c r="L1796" s="1717"/>
      <c r="M1796" s="1717"/>
      <c r="N1796" s="1718"/>
    </row>
    <row r="1797">
      <c r="A1797" s="1721"/>
      <c r="C1797" s="1026"/>
      <c r="D1797" s="1714"/>
      <c r="E1797" s="1720"/>
      <c r="F1797" s="1720"/>
      <c r="G1797" s="1716"/>
      <c r="H1797" s="1715"/>
      <c r="I1797" s="1715"/>
      <c r="J1797" s="1717"/>
      <c r="K1797" s="1717"/>
      <c r="L1797" s="1717"/>
      <c r="M1797" s="1717"/>
      <c r="N1797" s="1718"/>
    </row>
    <row r="1798">
      <c r="A1798" s="1721"/>
      <c r="C1798" s="1026"/>
      <c r="D1798" s="1714"/>
      <c r="E1798" s="1720"/>
      <c r="F1798" s="1720"/>
      <c r="G1798" s="1716"/>
      <c r="H1798" s="1715"/>
      <c r="I1798" s="1715"/>
      <c r="J1798" s="1717"/>
      <c r="K1798" s="1717"/>
      <c r="L1798" s="1717"/>
      <c r="M1798" s="1717"/>
      <c r="N1798" s="1718"/>
    </row>
    <row r="1799">
      <c r="A1799" s="1721"/>
      <c r="C1799" s="1026"/>
      <c r="D1799" s="1714"/>
      <c r="E1799" s="1720"/>
      <c r="F1799" s="1720"/>
      <c r="G1799" s="1716"/>
      <c r="H1799" s="1715"/>
      <c r="I1799" s="1715"/>
      <c r="J1799" s="1717"/>
      <c r="K1799" s="1717"/>
      <c r="L1799" s="1717"/>
      <c r="M1799" s="1717"/>
      <c r="N1799" s="1718"/>
    </row>
    <row r="1800">
      <c r="A1800" s="1721"/>
      <c r="C1800" s="1026"/>
      <c r="D1800" s="1714"/>
      <c r="E1800" s="1720"/>
      <c r="F1800" s="1720"/>
      <c r="G1800" s="1716"/>
      <c r="H1800" s="1715"/>
      <c r="I1800" s="1715"/>
      <c r="J1800" s="1717"/>
      <c r="K1800" s="1717"/>
      <c r="L1800" s="1717"/>
      <c r="M1800" s="1717"/>
      <c r="N1800" s="1718"/>
    </row>
    <row r="1801">
      <c r="A1801" s="1721"/>
      <c r="C1801" s="1026"/>
      <c r="D1801" s="1714"/>
      <c r="E1801" s="1720"/>
      <c r="F1801" s="1720"/>
      <c r="G1801" s="1716"/>
      <c r="H1801" s="1715"/>
      <c r="I1801" s="1715"/>
      <c r="J1801" s="1717"/>
      <c r="K1801" s="1717"/>
      <c r="L1801" s="1717"/>
      <c r="M1801" s="1717"/>
      <c r="N1801" s="1718"/>
    </row>
    <row r="1802">
      <c r="A1802" s="1721"/>
      <c r="C1802" s="1026"/>
      <c r="D1802" s="1714"/>
      <c r="E1802" s="1720"/>
      <c r="F1802" s="1720"/>
      <c r="G1802" s="1716"/>
      <c r="H1802" s="1715"/>
      <c r="I1802" s="1715"/>
      <c r="J1802" s="1717"/>
      <c r="K1802" s="1717"/>
      <c r="L1802" s="1717"/>
      <c r="M1802" s="1717"/>
      <c r="N1802" s="1718"/>
    </row>
    <row r="1803">
      <c r="A1803" s="1721"/>
      <c r="C1803" s="1026"/>
      <c r="D1803" s="1714"/>
      <c r="E1803" s="1720"/>
      <c r="F1803" s="1720"/>
      <c r="G1803" s="1716"/>
      <c r="H1803" s="1715"/>
      <c r="I1803" s="1715"/>
      <c r="J1803" s="1717"/>
      <c r="K1803" s="1717"/>
      <c r="L1803" s="1717"/>
      <c r="M1803" s="1717"/>
      <c r="N1803" s="1718"/>
    </row>
    <row r="1804">
      <c r="A1804" s="1721"/>
      <c r="C1804" s="1026"/>
      <c r="D1804" s="1714"/>
      <c r="E1804" s="1720"/>
      <c r="F1804" s="1720"/>
      <c r="G1804" s="1716"/>
      <c r="H1804" s="1715"/>
      <c r="I1804" s="1715"/>
      <c r="J1804" s="1717"/>
      <c r="K1804" s="1717"/>
      <c r="L1804" s="1717"/>
      <c r="M1804" s="1717"/>
      <c r="N1804" s="1718"/>
    </row>
    <row r="1805">
      <c r="A1805" s="1721"/>
      <c r="C1805" s="1026"/>
      <c r="D1805" s="1714"/>
      <c r="E1805" s="1720"/>
      <c r="F1805" s="1720"/>
      <c r="G1805" s="1716"/>
      <c r="H1805" s="1715"/>
      <c r="I1805" s="1715"/>
      <c r="J1805" s="1717"/>
      <c r="K1805" s="1717"/>
      <c r="L1805" s="1717"/>
      <c r="M1805" s="1717"/>
      <c r="N1805" s="1718"/>
    </row>
    <row r="1806">
      <c r="A1806" s="1721"/>
      <c r="C1806" s="1026"/>
      <c r="D1806" s="1714"/>
      <c r="E1806" s="1720"/>
      <c r="F1806" s="1720"/>
      <c r="G1806" s="1716"/>
      <c r="H1806" s="1715"/>
      <c r="I1806" s="1715"/>
      <c r="J1806" s="1717"/>
      <c r="K1806" s="1717"/>
      <c r="L1806" s="1717"/>
      <c r="M1806" s="1717"/>
      <c r="N1806" s="1718"/>
    </row>
    <row r="1807">
      <c r="A1807" s="1721"/>
      <c r="C1807" s="1026"/>
      <c r="D1807" s="1714"/>
      <c r="E1807" s="1720"/>
      <c r="F1807" s="1720"/>
      <c r="G1807" s="1716"/>
      <c r="H1807" s="1715"/>
      <c r="I1807" s="1715"/>
      <c r="J1807" s="1717"/>
      <c r="K1807" s="1717"/>
      <c r="L1807" s="1717"/>
      <c r="M1807" s="1717"/>
      <c r="N1807" s="1718"/>
    </row>
    <row r="1808">
      <c r="A1808" s="1721"/>
      <c r="C1808" s="1026"/>
      <c r="D1808" s="1714"/>
      <c r="E1808" s="1720"/>
      <c r="F1808" s="1720"/>
      <c r="G1808" s="1716"/>
      <c r="H1808" s="1715"/>
      <c r="I1808" s="1715"/>
      <c r="J1808" s="1717"/>
      <c r="K1808" s="1717"/>
      <c r="L1808" s="1717"/>
      <c r="M1808" s="1717"/>
      <c r="N1808" s="1718"/>
    </row>
    <row r="1809">
      <c r="A1809" s="1721"/>
      <c r="C1809" s="1026"/>
      <c r="D1809" s="1714"/>
      <c r="E1809" s="1720"/>
      <c r="F1809" s="1720"/>
      <c r="G1809" s="1716"/>
      <c r="H1809" s="1715"/>
      <c r="I1809" s="1715"/>
      <c r="J1809" s="1717"/>
      <c r="K1809" s="1717"/>
      <c r="L1809" s="1717"/>
      <c r="M1809" s="1717"/>
      <c r="N1809" s="1718"/>
    </row>
    <row r="1810">
      <c r="A1810" s="1721"/>
      <c r="C1810" s="1026"/>
      <c r="D1810" s="1714"/>
      <c r="E1810" s="1720"/>
      <c r="F1810" s="1720"/>
      <c r="G1810" s="1716"/>
      <c r="H1810" s="1715"/>
      <c r="I1810" s="1715"/>
      <c r="J1810" s="1717"/>
      <c r="K1810" s="1717"/>
      <c r="L1810" s="1717"/>
      <c r="M1810" s="1717"/>
      <c r="N1810" s="1718"/>
    </row>
    <row r="1811">
      <c r="A1811" s="1721"/>
      <c r="C1811" s="1026"/>
      <c r="D1811" s="1714"/>
      <c r="E1811" s="1720"/>
      <c r="F1811" s="1720"/>
      <c r="G1811" s="1716"/>
      <c r="H1811" s="1715"/>
      <c r="I1811" s="1715"/>
      <c r="J1811" s="1717"/>
      <c r="K1811" s="1717"/>
      <c r="L1811" s="1717"/>
      <c r="M1811" s="1717"/>
      <c r="N1811" s="1718"/>
    </row>
    <row r="1812">
      <c r="A1812" s="1721"/>
      <c r="C1812" s="1026"/>
      <c r="D1812" s="1714"/>
      <c r="E1812" s="1720"/>
      <c r="F1812" s="1720"/>
      <c r="G1812" s="1716"/>
      <c r="H1812" s="1715"/>
      <c r="I1812" s="1715"/>
      <c r="J1812" s="1717"/>
      <c r="K1812" s="1717"/>
      <c r="L1812" s="1717"/>
      <c r="M1812" s="1717"/>
      <c r="N1812" s="1718"/>
    </row>
    <row r="1813">
      <c r="A1813" s="1721"/>
      <c r="C1813" s="1026"/>
      <c r="D1813" s="1714"/>
      <c r="E1813" s="1720"/>
      <c r="F1813" s="1720"/>
      <c r="G1813" s="1716"/>
      <c r="H1813" s="1715"/>
      <c r="I1813" s="1715"/>
      <c r="J1813" s="1717"/>
      <c r="K1813" s="1717"/>
      <c r="L1813" s="1717"/>
      <c r="M1813" s="1717"/>
      <c r="N1813" s="1718"/>
    </row>
    <row r="1814">
      <c r="A1814" s="1721"/>
      <c r="C1814" s="1026"/>
      <c r="D1814" s="1714"/>
      <c r="E1814" s="1720"/>
      <c r="F1814" s="1720"/>
      <c r="G1814" s="1716"/>
      <c r="H1814" s="1715"/>
      <c r="I1814" s="1715"/>
      <c r="J1814" s="1717"/>
      <c r="K1814" s="1717"/>
      <c r="L1814" s="1717"/>
      <c r="M1814" s="1717"/>
      <c r="N1814" s="1718"/>
    </row>
    <row r="1815">
      <c r="A1815" s="1721"/>
      <c r="C1815" s="1026"/>
      <c r="D1815" s="1714"/>
      <c r="E1815" s="1720"/>
      <c r="F1815" s="1720"/>
      <c r="G1815" s="1716"/>
      <c r="H1815" s="1715"/>
      <c r="I1815" s="1715"/>
      <c r="J1815" s="1717"/>
      <c r="K1815" s="1717"/>
      <c r="L1815" s="1717"/>
      <c r="M1815" s="1717"/>
      <c r="N1815" s="1718"/>
    </row>
    <row r="1816">
      <c r="A1816" s="1721"/>
      <c r="C1816" s="1026"/>
      <c r="D1816" s="1714"/>
      <c r="E1816" s="1720"/>
      <c r="F1816" s="1720"/>
      <c r="G1816" s="1716"/>
      <c r="H1816" s="1715"/>
      <c r="I1816" s="1715"/>
      <c r="J1816" s="1717"/>
      <c r="K1816" s="1717"/>
      <c r="L1816" s="1717"/>
      <c r="M1816" s="1717"/>
      <c r="N1816" s="1718"/>
    </row>
    <row r="1817">
      <c r="A1817" s="1721"/>
      <c r="C1817" s="1026"/>
      <c r="D1817" s="1714"/>
      <c r="E1817" s="1720"/>
      <c r="F1817" s="1720"/>
      <c r="G1817" s="1716"/>
      <c r="H1817" s="1715"/>
      <c r="I1817" s="1715"/>
      <c r="J1817" s="1717"/>
      <c r="K1817" s="1717"/>
      <c r="L1817" s="1717"/>
      <c r="M1817" s="1717"/>
      <c r="N1817" s="1718"/>
    </row>
    <row r="1818">
      <c r="A1818" s="1721"/>
      <c r="C1818" s="1026"/>
      <c r="D1818" s="1714"/>
      <c r="E1818" s="1720"/>
      <c r="F1818" s="1720"/>
      <c r="G1818" s="1716"/>
      <c r="H1818" s="1715"/>
      <c r="I1818" s="1715"/>
      <c r="J1818" s="1717"/>
      <c r="K1818" s="1717"/>
      <c r="L1818" s="1717"/>
      <c r="M1818" s="1717"/>
      <c r="N1818" s="1718"/>
    </row>
    <row r="1819">
      <c r="A1819" s="1721"/>
      <c r="C1819" s="1026"/>
      <c r="D1819" s="1714"/>
      <c r="E1819" s="1720"/>
      <c r="F1819" s="1720"/>
      <c r="G1819" s="1716"/>
      <c r="H1819" s="1715"/>
      <c r="I1819" s="1715"/>
      <c r="J1819" s="1717"/>
      <c r="K1819" s="1717"/>
      <c r="L1819" s="1717"/>
      <c r="M1819" s="1717"/>
      <c r="N1819" s="1718"/>
    </row>
    <row r="1820">
      <c r="A1820" s="1721"/>
      <c r="C1820" s="1026"/>
      <c r="D1820" s="1714"/>
      <c r="E1820" s="1720"/>
      <c r="F1820" s="1720"/>
      <c r="G1820" s="1716"/>
      <c r="H1820" s="1715"/>
      <c r="I1820" s="1715"/>
      <c r="J1820" s="1717"/>
      <c r="K1820" s="1717"/>
      <c r="L1820" s="1717"/>
      <c r="M1820" s="1717"/>
      <c r="N1820" s="1718"/>
    </row>
    <row r="1821">
      <c r="A1821" s="1721"/>
      <c r="C1821" s="1026"/>
      <c r="D1821" s="1714"/>
      <c r="E1821" s="1720"/>
      <c r="F1821" s="1720"/>
      <c r="G1821" s="1716"/>
      <c r="H1821" s="1715"/>
      <c r="I1821" s="1715"/>
      <c r="J1821" s="1717"/>
      <c r="K1821" s="1717"/>
      <c r="L1821" s="1717"/>
      <c r="M1821" s="1717"/>
      <c r="N1821" s="1718"/>
    </row>
    <row r="1822">
      <c r="A1822" s="1721"/>
      <c r="C1822" s="1026"/>
      <c r="D1822" s="1714"/>
      <c r="E1822" s="1720"/>
      <c r="F1822" s="1720"/>
      <c r="G1822" s="1716"/>
      <c r="H1822" s="1715"/>
      <c r="I1822" s="1715"/>
      <c r="J1822" s="1717"/>
      <c r="K1822" s="1717"/>
      <c r="L1822" s="1717"/>
      <c r="M1822" s="1717"/>
      <c r="N1822" s="1718"/>
    </row>
    <row r="1823">
      <c r="A1823" s="1721"/>
      <c r="C1823" s="1026"/>
      <c r="D1823" s="1714"/>
      <c r="E1823" s="1720"/>
      <c r="F1823" s="1720"/>
      <c r="G1823" s="1716"/>
      <c r="H1823" s="1715"/>
      <c r="I1823" s="1715"/>
      <c r="J1823" s="1717"/>
      <c r="K1823" s="1717"/>
      <c r="L1823" s="1717"/>
      <c r="M1823" s="1717"/>
      <c r="N1823" s="1718"/>
    </row>
    <row r="1824">
      <c r="A1824" s="1721"/>
      <c r="C1824" s="1026"/>
      <c r="D1824" s="1714"/>
      <c r="E1824" s="1720"/>
      <c r="F1824" s="1720"/>
      <c r="G1824" s="1716"/>
      <c r="H1824" s="1715"/>
      <c r="I1824" s="1715"/>
      <c r="J1824" s="1717"/>
      <c r="K1824" s="1717"/>
      <c r="L1824" s="1717"/>
      <c r="M1824" s="1717"/>
      <c r="N1824" s="1718"/>
    </row>
    <row r="1825">
      <c r="A1825" s="1721"/>
      <c r="C1825" s="1026"/>
      <c r="D1825" s="1714"/>
      <c r="E1825" s="1720"/>
      <c r="F1825" s="1720"/>
      <c r="G1825" s="1716"/>
      <c r="H1825" s="1715"/>
      <c r="I1825" s="1715"/>
      <c r="J1825" s="1717"/>
      <c r="K1825" s="1717"/>
      <c r="L1825" s="1717"/>
      <c r="M1825" s="1717"/>
      <c r="N1825" s="1718"/>
    </row>
    <row r="1826">
      <c r="A1826" s="1721"/>
      <c r="C1826" s="1026"/>
      <c r="D1826" s="1714"/>
      <c r="E1826" s="1720"/>
      <c r="F1826" s="1720"/>
      <c r="G1826" s="1716"/>
      <c r="H1826" s="1715"/>
      <c r="I1826" s="1715"/>
      <c r="J1826" s="1717"/>
      <c r="K1826" s="1717"/>
      <c r="L1826" s="1717"/>
      <c r="M1826" s="1717"/>
      <c r="N1826" s="1718"/>
    </row>
    <row r="1827">
      <c r="A1827" s="1721"/>
      <c r="C1827" s="1026"/>
      <c r="D1827" s="1714"/>
      <c r="E1827" s="1720"/>
      <c r="F1827" s="1720"/>
      <c r="G1827" s="1716"/>
      <c r="H1827" s="1715"/>
      <c r="I1827" s="1715"/>
      <c r="J1827" s="1717"/>
      <c r="K1827" s="1717"/>
      <c r="L1827" s="1717"/>
      <c r="M1827" s="1717"/>
      <c r="N1827" s="1718"/>
    </row>
    <row r="1828">
      <c r="A1828" s="1721"/>
      <c r="C1828" s="1026"/>
      <c r="D1828" s="1714"/>
      <c r="E1828" s="1720"/>
      <c r="F1828" s="1720"/>
      <c r="G1828" s="1716"/>
      <c r="H1828" s="1715"/>
      <c r="I1828" s="1715"/>
      <c r="J1828" s="1717"/>
      <c r="K1828" s="1717"/>
      <c r="L1828" s="1717"/>
      <c r="M1828" s="1717"/>
      <c r="N1828" s="1718"/>
    </row>
    <row r="1829">
      <c r="A1829" s="1721"/>
      <c r="C1829" s="1026"/>
      <c r="D1829" s="1714"/>
      <c r="E1829" s="1720"/>
      <c r="F1829" s="1720"/>
      <c r="G1829" s="1716"/>
      <c r="H1829" s="1715"/>
      <c r="I1829" s="1715"/>
      <c r="J1829" s="1717"/>
      <c r="K1829" s="1717"/>
      <c r="L1829" s="1717"/>
      <c r="M1829" s="1717"/>
      <c r="N1829" s="1718"/>
    </row>
    <row r="1830">
      <c r="A1830" s="1721"/>
      <c r="C1830" s="1026"/>
      <c r="D1830" s="1714"/>
      <c r="E1830" s="1720"/>
      <c r="F1830" s="1720"/>
      <c r="G1830" s="1716"/>
      <c r="H1830" s="1715"/>
      <c r="I1830" s="1715"/>
      <c r="J1830" s="1717"/>
      <c r="K1830" s="1717"/>
      <c r="L1830" s="1717"/>
      <c r="M1830" s="1717"/>
      <c r="N1830" s="1718"/>
    </row>
    <row r="1831">
      <c r="A1831" s="1721"/>
      <c r="C1831" s="1026"/>
      <c r="D1831" s="1714"/>
      <c r="E1831" s="1720"/>
      <c r="F1831" s="1720"/>
      <c r="G1831" s="1716"/>
      <c r="H1831" s="1715"/>
      <c r="I1831" s="1715"/>
      <c r="J1831" s="1717"/>
      <c r="K1831" s="1717"/>
      <c r="L1831" s="1717"/>
      <c r="M1831" s="1717"/>
      <c r="N1831" s="1718"/>
    </row>
    <row r="1832">
      <c r="A1832" s="1721"/>
      <c r="C1832" s="1026"/>
      <c r="D1832" s="1714"/>
      <c r="E1832" s="1720"/>
      <c r="F1832" s="1720"/>
      <c r="G1832" s="1716"/>
      <c r="H1832" s="1715"/>
      <c r="I1832" s="1715"/>
      <c r="J1832" s="1717"/>
      <c r="K1832" s="1717"/>
      <c r="L1832" s="1717"/>
      <c r="M1832" s="1717"/>
      <c r="N1832" s="1718"/>
    </row>
    <row r="1833">
      <c r="A1833" s="1721"/>
      <c r="C1833" s="1026"/>
      <c r="D1833" s="1714"/>
      <c r="E1833" s="1720"/>
      <c r="F1833" s="1720"/>
      <c r="G1833" s="1716"/>
      <c r="H1833" s="1715"/>
      <c r="I1833" s="1715"/>
      <c r="J1833" s="1717"/>
      <c r="K1833" s="1717"/>
      <c r="L1833" s="1717"/>
      <c r="M1833" s="1717"/>
      <c r="N1833" s="1718"/>
    </row>
    <row r="1834">
      <c r="A1834" s="1721"/>
      <c r="C1834" s="1026"/>
      <c r="D1834" s="1714"/>
      <c r="E1834" s="1720"/>
      <c r="F1834" s="1720"/>
      <c r="G1834" s="1716"/>
      <c r="H1834" s="1715"/>
      <c r="I1834" s="1715"/>
      <c r="J1834" s="1717"/>
      <c r="K1834" s="1717"/>
      <c r="L1834" s="1717"/>
      <c r="M1834" s="1717"/>
      <c r="N1834" s="1718"/>
    </row>
    <row r="1835">
      <c r="A1835" s="1721"/>
      <c r="C1835" s="1026"/>
      <c r="D1835" s="1714"/>
      <c r="E1835" s="1720"/>
      <c r="F1835" s="1720"/>
      <c r="G1835" s="1716"/>
      <c r="H1835" s="1715"/>
      <c r="I1835" s="1715"/>
      <c r="J1835" s="1717"/>
      <c r="K1835" s="1717"/>
      <c r="L1835" s="1717"/>
      <c r="M1835" s="1717"/>
      <c r="N1835" s="1718"/>
    </row>
    <row r="1836">
      <c r="A1836" s="1721"/>
      <c r="C1836" s="1026"/>
      <c r="D1836" s="1714"/>
      <c r="E1836" s="1720"/>
      <c r="F1836" s="1720"/>
      <c r="G1836" s="1716"/>
      <c r="H1836" s="1715"/>
      <c r="I1836" s="1715"/>
      <c r="J1836" s="1717"/>
      <c r="K1836" s="1717"/>
      <c r="L1836" s="1717"/>
      <c r="M1836" s="1717"/>
      <c r="N1836" s="1718"/>
    </row>
    <row r="1837">
      <c r="A1837" s="1721"/>
      <c r="C1837" s="1026"/>
      <c r="D1837" s="1714"/>
      <c r="E1837" s="1720"/>
      <c r="F1837" s="1720"/>
      <c r="G1837" s="1716"/>
      <c r="H1837" s="1715"/>
      <c r="I1837" s="1715"/>
      <c r="J1837" s="1717"/>
      <c r="K1837" s="1717"/>
      <c r="L1837" s="1717"/>
      <c r="M1837" s="1717"/>
      <c r="N1837" s="1718"/>
    </row>
    <row r="1838">
      <c r="A1838" s="1721"/>
      <c r="C1838" s="1026"/>
      <c r="D1838" s="1714"/>
      <c r="E1838" s="1720"/>
      <c r="F1838" s="1720"/>
      <c r="G1838" s="1716"/>
      <c r="H1838" s="1715"/>
      <c r="I1838" s="1715"/>
      <c r="J1838" s="1717"/>
      <c r="K1838" s="1717"/>
      <c r="L1838" s="1717"/>
      <c r="M1838" s="1717"/>
      <c r="N1838" s="1718"/>
    </row>
    <row r="1839">
      <c r="A1839" s="1721"/>
      <c r="C1839" s="1026"/>
      <c r="D1839" s="1714"/>
      <c r="E1839" s="1720"/>
      <c r="F1839" s="1720"/>
      <c r="G1839" s="1716"/>
      <c r="H1839" s="1715"/>
      <c r="I1839" s="1715"/>
      <c r="J1839" s="1717"/>
      <c r="K1839" s="1717"/>
      <c r="L1839" s="1717"/>
      <c r="M1839" s="1717"/>
      <c r="N1839" s="1718"/>
    </row>
    <row r="1840">
      <c r="A1840" s="1721"/>
      <c r="C1840" s="1026"/>
      <c r="D1840" s="1714"/>
      <c r="E1840" s="1720"/>
      <c r="F1840" s="1720"/>
      <c r="G1840" s="1716"/>
      <c r="H1840" s="1715"/>
      <c r="I1840" s="1715"/>
      <c r="J1840" s="1717"/>
      <c r="K1840" s="1717"/>
      <c r="L1840" s="1717"/>
      <c r="M1840" s="1717"/>
      <c r="N1840" s="1718"/>
    </row>
    <row r="1841">
      <c r="A1841" s="1721"/>
      <c r="C1841" s="1026"/>
      <c r="D1841" s="1714"/>
      <c r="E1841" s="1720"/>
      <c r="F1841" s="1720"/>
      <c r="G1841" s="1716"/>
      <c r="H1841" s="1715"/>
      <c r="I1841" s="1715"/>
      <c r="J1841" s="1717"/>
      <c r="K1841" s="1717"/>
      <c r="L1841" s="1717"/>
      <c r="M1841" s="1717"/>
      <c r="N1841" s="1718"/>
    </row>
    <row r="1842">
      <c r="A1842" s="1721"/>
      <c r="C1842" s="1026"/>
      <c r="D1842" s="1714"/>
      <c r="E1842" s="1720"/>
      <c r="F1842" s="1720"/>
      <c r="G1842" s="1716"/>
      <c r="H1842" s="1715"/>
      <c r="I1842" s="1715"/>
      <c r="J1842" s="1717"/>
      <c r="K1842" s="1717"/>
      <c r="L1842" s="1717"/>
      <c r="M1842" s="1717"/>
      <c r="N1842" s="1718"/>
    </row>
    <row r="1843">
      <c r="A1843" s="1721"/>
      <c r="C1843" s="1026"/>
      <c r="D1843" s="1714"/>
      <c r="E1843" s="1720"/>
      <c r="F1843" s="1720"/>
      <c r="G1843" s="1716"/>
      <c r="H1843" s="1715"/>
      <c r="I1843" s="1715"/>
      <c r="J1843" s="1717"/>
      <c r="K1843" s="1717"/>
      <c r="L1843" s="1717"/>
      <c r="M1843" s="1717"/>
      <c r="N1843" s="1718"/>
    </row>
    <row r="1844">
      <c r="A1844" s="1721"/>
      <c r="C1844" s="1026"/>
      <c r="D1844" s="1714"/>
      <c r="E1844" s="1720"/>
      <c r="F1844" s="1720"/>
      <c r="G1844" s="1716"/>
      <c r="H1844" s="1715"/>
      <c r="I1844" s="1715"/>
      <c r="J1844" s="1717"/>
      <c r="K1844" s="1717"/>
      <c r="L1844" s="1717"/>
      <c r="M1844" s="1717"/>
      <c r="N1844" s="1718"/>
    </row>
  </sheetData>
  <conditionalFormatting sqref="H102:H131">
    <cfRule type="containsText" dxfId="17" priority="1" operator="containsText" text=",">
      <formula>NOT(ISERROR(SEARCH((","),(H102))))</formula>
    </cfRule>
  </conditionalFormatting>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5.38"/>
    <col customWidth="1" min="4" max="4" width="30.38"/>
    <col customWidth="1" min="5" max="5" width="14.25"/>
    <col customWidth="1" min="6" max="6" width="23.75"/>
    <col customWidth="1" min="8" max="8" width="18.25"/>
    <col customWidth="1" min="9" max="9" width="3.25"/>
  </cols>
  <sheetData>
    <row r="1">
      <c r="A1" s="1733" t="s">
        <v>106</v>
      </c>
    </row>
    <row r="4">
      <c r="A4" s="1734"/>
      <c r="B4" s="1735"/>
      <c r="C4" s="1736"/>
      <c r="D4" s="1737"/>
      <c r="E4" s="1738"/>
    </row>
    <row r="5">
      <c r="A5" s="1739" t="s">
        <v>3171</v>
      </c>
      <c r="B5" s="1740" t="s">
        <v>3172</v>
      </c>
      <c r="C5" s="1741" t="s">
        <v>3173</v>
      </c>
      <c r="D5" s="1742" t="str">
        <f>iferror(vlookup(B5,Indirect(ResByReq),2,False),"")</f>
        <v/>
      </c>
    </row>
    <row r="6">
      <c r="A6" s="1734"/>
      <c r="B6" s="1735"/>
      <c r="C6" s="1736"/>
      <c r="D6" s="1737"/>
    </row>
    <row r="7">
      <c r="A7" s="1743" t="s">
        <v>3174</v>
      </c>
      <c r="B7" s="84"/>
      <c r="C7" s="84"/>
      <c r="D7" s="84"/>
      <c r="E7" s="84"/>
      <c r="F7" s="84"/>
      <c r="G7" s="84"/>
      <c r="H7" s="84"/>
      <c r="I7" s="86"/>
    </row>
    <row r="8">
      <c r="A8" s="1744" t="s">
        <v>3171</v>
      </c>
      <c r="B8" s="1745"/>
      <c r="C8" s="1741" t="s">
        <v>3173</v>
      </c>
      <c r="D8" s="1746"/>
      <c r="E8" s="1741" t="s">
        <v>3175</v>
      </c>
      <c r="F8" s="1746"/>
      <c r="G8" s="1747" t="s">
        <v>3176</v>
      </c>
      <c r="H8" s="1748"/>
      <c r="I8" s="1749"/>
    </row>
    <row r="9">
      <c r="A9" s="1750"/>
      <c r="B9" s="1751" t="s">
        <v>3177</v>
      </c>
      <c r="C9" s="18"/>
      <c r="D9" s="1751" t="s">
        <v>3178</v>
      </c>
      <c r="E9" s="18"/>
      <c r="F9" s="1751" t="s">
        <v>3179</v>
      </c>
      <c r="G9" s="18"/>
      <c r="H9" s="1751" t="s">
        <v>3180</v>
      </c>
      <c r="I9" s="1749"/>
    </row>
    <row r="10">
      <c r="A10" s="1739" t="s">
        <v>3181</v>
      </c>
      <c r="B10" s="1752"/>
      <c r="C10" s="1741" t="s">
        <v>3182</v>
      </c>
      <c r="D10" s="1752"/>
      <c r="E10" s="1741" t="str">
        <f> '101 General Info'!E38 &amp; ":"</f>
        <v>ALS:</v>
      </c>
      <c r="F10" s="1753"/>
      <c r="G10" s="1741" t="str">
        <f> '101 General Info'!G38 &amp; ":"</f>
        <v>LWD:</v>
      </c>
      <c r="H10" s="1753"/>
      <c r="I10" s="1749"/>
    </row>
    <row r="11">
      <c r="A11" s="1754" t="s">
        <v>3183</v>
      </c>
      <c r="I11" s="108"/>
    </row>
    <row r="12">
      <c r="A12" s="1755" t="s">
        <v>3184</v>
      </c>
      <c r="B12" s="1756"/>
      <c r="C12" s="1757" t="s">
        <v>3185</v>
      </c>
      <c r="D12" s="1758"/>
      <c r="E12" s="18"/>
      <c r="F12" s="18"/>
      <c r="G12" s="1759"/>
      <c r="H12" s="1760"/>
      <c r="I12" s="1749"/>
    </row>
    <row r="13">
      <c r="A13" s="1754" t="s">
        <v>3186</v>
      </c>
      <c r="I13" s="108"/>
    </row>
    <row r="14">
      <c r="A14" s="1739" t="s">
        <v>3187</v>
      </c>
      <c r="B14" s="1761"/>
      <c r="C14" s="74"/>
      <c r="D14" s="45"/>
      <c r="E14" s="1741" t="s">
        <v>3188</v>
      </c>
      <c r="F14" s="776"/>
      <c r="G14" s="74"/>
      <c r="H14" s="45"/>
      <c r="I14" s="1749"/>
    </row>
    <row r="15">
      <c r="A15" s="1762"/>
      <c r="B15" s="113"/>
      <c r="C15" s="113"/>
      <c r="D15" s="113"/>
      <c r="E15" s="113"/>
      <c r="F15" s="113"/>
      <c r="G15" s="113"/>
      <c r="H15" s="113"/>
      <c r="I15" s="115"/>
    </row>
    <row r="16">
      <c r="A16" s="1763"/>
    </row>
  </sheetData>
  <mergeCells count="9">
    <mergeCell ref="A15:I15"/>
    <mergeCell ref="A16:I21"/>
    <mergeCell ref="A1:I3"/>
    <mergeCell ref="E4:I6"/>
    <mergeCell ref="A7:I7"/>
    <mergeCell ref="A11:I11"/>
    <mergeCell ref="A13:I13"/>
    <mergeCell ref="B14:D14"/>
    <mergeCell ref="F14:H14"/>
  </mergeCells>
  <dataValidations>
    <dataValidation type="list" allowBlank="1" sqref="B5">
      <formula1>ResourceID!$A$1:$A21</formula1>
    </dataValidation>
  </dataValidations>
  <drawing r:id="rId2"/>
  <legacyDrawing r:id="rId3"/>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38"/>
    <col customWidth="1" min="2" max="2" width="16.0"/>
    <col customWidth="1" min="3" max="4" width="18.88"/>
    <col customWidth="1" min="5" max="6" width="17.5"/>
    <col customWidth="1" min="7" max="7" width="16.5"/>
    <col customWidth="1" min="8" max="8" width="7.0"/>
    <col customWidth="1" min="9" max="9" width="31.88"/>
    <col customWidth="1" min="10" max="10" width="20.13"/>
    <col customWidth="1" min="11" max="12" width="7.0"/>
    <col customWidth="1" min="13" max="13" width="18.63"/>
    <col customWidth="1" min="14" max="26" width="7.0"/>
  </cols>
  <sheetData>
    <row r="1">
      <c r="A1" s="1764" t="s">
        <v>3189</v>
      </c>
      <c r="B1" s="1764"/>
      <c r="C1" s="1764"/>
      <c r="D1" s="1764"/>
      <c r="E1" s="1764"/>
      <c r="F1" s="1764"/>
      <c r="G1" s="1764"/>
      <c r="H1" s="1764"/>
      <c r="I1" s="1764"/>
      <c r="J1" s="1764"/>
      <c r="K1" s="1764"/>
      <c r="L1" s="1764"/>
      <c r="M1" s="1764"/>
      <c r="N1" s="1764"/>
      <c r="O1" s="1765"/>
      <c r="P1" s="1765"/>
      <c r="Q1" s="1766"/>
      <c r="R1" s="1766"/>
      <c r="S1" s="1696"/>
      <c r="T1" s="1696"/>
      <c r="U1" s="1696"/>
      <c r="V1" s="1696"/>
      <c r="W1" s="1696"/>
      <c r="X1" s="1696"/>
      <c r="Y1" s="1696"/>
      <c r="Z1" s="1696"/>
    </row>
    <row r="2">
      <c r="A2" s="1767"/>
      <c r="B2" s="1767"/>
      <c r="C2" s="1767"/>
      <c r="D2" s="1767"/>
      <c r="E2" s="1767"/>
      <c r="F2" s="1767"/>
      <c r="G2" s="1767"/>
      <c r="H2" s="1767"/>
      <c r="I2" s="1767"/>
      <c r="J2" s="1768"/>
      <c r="K2" s="1768"/>
      <c r="L2" s="1769"/>
      <c r="M2" s="1769"/>
      <c r="N2" s="1767"/>
      <c r="O2" s="1770"/>
      <c r="P2" s="1771"/>
      <c r="Q2" s="1766"/>
      <c r="R2" s="1766"/>
      <c r="S2" s="1696"/>
      <c r="U2" s="1772"/>
      <c r="V2" s="1696"/>
      <c r="W2" s="1772"/>
      <c r="X2" s="1696"/>
      <c r="Y2" s="1696"/>
      <c r="Z2" s="1773"/>
    </row>
    <row r="3">
      <c r="A3" s="1767"/>
      <c r="B3" s="1767"/>
      <c r="C3" s="1767"/>
      <c r="D3" s="1767"/>
      <c r="E3" s="1767"/>
      <c r="F3" s="1767"/>
      <c r="G3" s="1767"/>
      <c r="H3" s="1767"/>
      <c r="I3" s="1767"/>
      <c r="J3" s="1768"/>
      <c r="K3" s="1768"/>
      <c r="L3" s="1769"/>
      <c r="M3" s="1769"/>
      <c r="N3" s="1767"/>
      <c r="O3" s="1766"/>
      <c r="P3" s="1766"/>
      <c r="Q3" s="1766"/>
      <c r="R3" s="1766"/>
      <c r="S3" s="1696"/>
      <c r="T3" s="1696"/>
      <c r="U3" s="1772"/>
      <c r="V3" s="1696"/>
      <c r="W3" s="1772"/>
      <c r="X3" s="1696"/>
      <c r="Y3" s="1696"/>
      <c r="Z3" s="1773"/>
    </row>
    <row r="4">
      <c r="A4" s="1767"/>
      <c r="B4" s="1767"/>
      <c r="C4" s="1767"/>
      <c r="D4" s="1767"/>
      <c r="E4" s="1767"/>
      <c r="F4" s="1767"/>
      <c r="G4" s="1767"/>
      <c r="H4" s="1767"/>
      <c r="I4" s="1767"/>
      <c r="J4" s="1768"/>
      <c r="K4" s="1768"/>
      <c r="L4" s="1769"/>
      <c r="M4" s="1769"/>
      <c r="N4" s="1767"/>
      <c r="O4" s="1765"/>
      <c r="P4" s="1765"/>
      <c r="Q4" s="1766"/>
      <c r="R4" s="1766"/>
      <c r="S4" s="1696"/>
      <c r="T4" s="1696"/>
      <c r="U4" s="1772"/>
      <c r="V4" s="1696"/>
      <c r="W4" s="1772"/>
      <c r="X4" s="1696"/>
      <c r="Y4" s="1696"/>
      <c r="Z4" s="1773"/>
    </row>
    <row r="5">
      <c r="A5" s="1767"/>
      <c r="B5" s="1767"/>
      <c r="C5" s="1767"/>
      <c r="D5" s="1767"/>
      <c r="E5" s="1767"/>
      <c r="F5" s="1767"/>
      <c r="G5" s="1767"/>
      <c r="H5" s="1767"/>
      <c r="I5" s="1767"/>
      <c r="J5" s="1768"/>
      <c r="K5" s="1768"/>
      <c r="L5" s="1769"/>
      <c r="M5" s="1769"/>
      <c r="N5" s="1767"/>
      <c r="O5" s="1770"/>
      <c r="P5" s="1771"/>
      <c r="Q5" s="1766"/>
      <c r="R5" s="1766"/>
      <c r="S5" s="1696"/>
      <c r="T5" s="1696"/>
      <c r="U5" s="1772"/>
      <c r="V5" s="1696"/>
      <c r="W5" s="1772"/>
      <c r="X5" s="1696"/>
      <c r="Y5" s="1696"/>
      <c r="Z5" s="1773"/>
    </row>
    <row r="6">
      <c r="A6" s="1767"/>
      <c r="B6" s="1767"/>
      <c r="C6" s="1767"/>
      <c r="D6" s="1767"/>
      <c r="E6" s="1767"/>
      <c r="F6" s="1767"/>
      <c r="G6" s="1767"/>
      <c r="H6" s="1767"/>
      <c r="I6" s="1767"/>
      <c r="J6" s="1768"/>
      <c r="K6" s="1768"/>
      <c r="L6" s="1769"/>
      <c r="M6" s="1769"/>
      <c r="N6" s="1767"/>
      <c r="O6" s="1766"/>
      <c r="P6" s="1766"/>
      <c r="Q6" s="1766"/>
      <c r="R6" s="1766"/>
      <c r="S6" s="1696"/>
      <c r="T6" s="1696"/>
      <c r="U6" s="1772"/>
      <c r="V6" s="1696"/>
      <c r="W6" s="1772"/>
      <c r="X6" s="1696"/>
      <c r="Y6" s="1696"/>
      <c r="Z6" s="1773"/>
    </row>
    <row r="7">
      <c r="A7" s="1767"/>
      <c r="B7" s="1767"/>
      <c r="C7" s="1767"/>
      <c r="D7" s="1767"/>
      <c r="E7" s="1767"/>
      <c r="F7" s="1767"/>
      <c r="G7" s="1767"/>
      <c r="H7" s="1767"/>
      <c r="I7" s="1767"/>
      <c r="J7" s="1768"/>
      <c r="K7" s="1768"/>
      <c r="L7" s="1769"/>
      <c r="M7" s="1769"/>
      <c r="N7" s="1767"/>
      <c r="O7" s="1765"/>
      <c r="P7" s="1765"/>
      <c r="Q7" s="1766"/>
      <c r="R7" s="1766"/>
      <c r="S7" s="1696"/>
      <c r="U7" s="1772"/>
      <c r="V7" s="1696"/>
      <c r="W7" s="1772"/>
      <c r="X7" s="1696"/>
      <c r="Y7" s="1696"/>
      <c r="Z7" s="1696"/>
    </row>
    <row r="8">
      <c r="A8" s="1767"/>
      <c r="B8" s="1767"/>
      <c r="C8" s="1767"/>
      <c r="D8" s="1767"/>
      <c r="E8" s="1767"/>
      <c r="F8" s="1767"/>
      <c r="G8" s="1767"/>
      <c r="H8" s="1767"/>
      <c r="I8" s="1767"/>
      <c r="J8" s="1768"/>
      <c r="K8" s="1768"/>
      <c r="L8" s="1769"/>
      <c r="M8" s="1769"/>
      <c r="N8" s="1767"/>
      <c r="O8" s="1770"/>
      <c r="P8" s="1771"/>
      <c r="Q8" s="1766"/>
      <c r="R8" s="1766"/>
      <c r="S8" s="1696"/>
      <c r="T8" s="1696"/>
      <c r="U8" s="1772"/>
      <c r="V8" s="1696"/>
      <c r="W8" s="1772"/>
      <c r="X8" s="1696"/>
      <c r="Y8" s="1696"/>
      <c r="Z8" s="1696"/>
    </row>
    <row r="9">
      <c r="A9" s="1767"/>
      <c r="B9" s="1767"/>
      <c r="C9" s="1767"/>
      <c r="D9" s="1767"/>
      <c r="E9" s="1767"/>
      <c r="F9" s="1767"/>
      <c r="G9" s="1767"/>
      <c r="H9" s="1767"/>
      <c r="I9" s="1767"/>
      <c r="J9" s="1768"/>
      <c r="K9" s="1768"/>
      <c r="L9" s="1769"/>
      <c r="M9" s="1769"/>
      <c r="N9" s="1767"/>
      <c r="O9" s="1766"/>
      <c r="P9" s="1766"/>
      <c r="Q9" s="1766"/>
      <c r="R9" s="1766"/>
      <c r="S9" s="1696"/>
      <c r="T9" s="1696"/>
      <c r="U9" s="1772"/>
      <c r="V9" s="1696"/>
      <c r="W9" s="1772"/>
      <c r="X9" s="1696"/>
      <c r="Y9" s="1696"/>
      <c r="Z9" s="1773"/>
    </row>
    <row r="10">
      <c r="A10" s="1767"/>
      <c r="B10" s="1767"/>
      <c r="C10" s="1767"/>
      <c r="D10" s="1767"/>
      <c r="E10" s="1767"/>
      <c r="F10" s="1767"/>
      <c r="G10" s="1767"/>
      <c r="H10" s="1767"/>
      <c r="I10" s="1767"/>
      <c r="J10" s="1768"/>
      <c r="K10" s="1768"/>
      <c r="L10" s="1769"/>
      <c r="M10" s="1769"/>
      <c r="N10" s="1767"/>
      <c r="O10" s="1765"/>
      <c r="P10" s="1765"/>
      <c r="Q10" s="1766"/>
      <c r="R10" s="1766"/>
      <c r="S10" s="1696"/>
      <c r="T10" s="1696"/>
      <c r="U10" s="1772"/>
      <c r="V10" s="1696"/>
      <c r="W10" s="1772"/>
      <c r="X10" s="1696"/>
      <c r="Y10" s="1696"/>
      <c r="Z10" s="1773"/>
    </row>
    <row r="11">
      <c r="A11" s="1767"/>
      <c r="B11" s="1767"/>
      <c r="C11" s="1767"/>
      <c r="D11" s="1767"/>
      <c r="E11" s="1767"/>
      <c r="F11" s="1767"/>
      <c r="G11" s="1767"/>
      <c r="H11" s="1774"/>
      <c r="I11" s="1774"/>
      <c r="J11" s="1769"/>
      <c r="K11" s="1769"/>
      <c r="L11" s="1769"/>
      <c r="M11" s="1769"/>
      <c r="N11" s="1775"/>
      <c r="O11" s="1770"/>
      <c r="P11" s="1771"/>
      <c r="Q11" s="1766"/>
      <c r="R11" s="1766"/>
      <c r="S11" s="1696"/>
      <c r="T11" s="1696"/>
      <c r="U11" s="1772"/>
      <c r="V11" s="1696"/>
      <c r="W11" s="1772"/>
      <c r="X11" s="1696"/>
      <c r="Y11" s="1696"/>
      <c r="Z11" s="1773"/>
    </row>
    <row r="12">
      <c r="A12" s="1767"/>
      <c r="B12" s="1767"/>
      <c r="C12" s="1767"/>
      <c r="D12" s="1767"/>
      <c r="E12" s="1767"/>
      <c r="F12" s="1767"/>
      <c r="G12" s="1767"/>
      <c r="H12" s="1774"/>
      <c r="I12" s="1774"/>
      <c r="J12" s="1769"/>
      <c r="K12" s="1769"/>
      <c r="L12" s="1769"/>
      <c r="M12" s="1769"/>
      <c r="N12" s="1775"/>
      <c r="O12" s="1766"/>
      <c r="P12" s="1766"/>
      <c r="Q12" s="1766"/>
      <c r="R12" s="1766"/>
      <c r="S12" s="1696"/>
      <c r="T12" s="1696"/>
      <c r="U12" s="1772"/>
      <c r="V12" s="1696"/>
      <c r="W12" s="1772"/>
      <c r="X12" s="1696"/>
      <c r="Y12" s="1696"/>
      <c r="Z12" s="1773"/>
    </row>
    <row r="13">
      <c r="A13" s="1767"/>
      <c r="B13" s="1767"/>
      <c r="C13" s="1767"/>
      <c r="D13" s="1767"/>
      <c r="E13" s="1767"/>
      <c r="F13" s="1767"/>
      <c r="G13" s="1767"/>
      <c r="H13" s="1767"/>
      <c r="I13" s="1767"/>
      <c r="J13" s="1768"/>
      <c r="K13" s="1768"/>
      <c r="L13" s="1769"/>
      <c r="M13" s="1769"/>
      <c r="N13" s="1767"/>
      <c r="O13" s="1765"/>
      <c r="P13" s="1765"/>
      <c r="Q13" s="1766"/>
      <c r="R13" s="1766"/>
      <c r="S13" s="1696"/>
      <c r="T13" s="1696"/>
      <c r="U13" s="1772"/>
      <c r="V13" s="1696"/>
      <c r="W13" s="1772"/>
      <c r="X13" s="1696"/>
      <c r="Y13" s="1696"/>
      <c r="Z13" s="1773"/>
    </row>
    <row r="14">
      <c r="A14" s="1767"/>
      <c r="B14" s="1767"/>
      <c r="C14" s="1767"/>
      <c r="D14" s="1767"/>
      <c r="E14" s="1767"/>
      <c r="F14" s="1767"/>
      <c r="G14" s="1767"/>
      <c r="H14" s="1767"/>
      <c r="I14" s="1767"/>
      <c r="J14" s="1768"/>
      <c r="K14" s="1768"/>
      <c r="L14" s="1769"/>
      <c r="M14" s="1769"/>
      <c r="N14" s="1767"/>
      <c r="O14" s="1770"/>
      <c r="P14" s="1771"/>
      <c r="Q14" s="1766"/>
      <c r="R14" s="1766"/>
      <c r="S14" s="1696"/>
      <c r="T14" s="1696"/>
      <c r="U14" s="1772"/>
      <c r="V14" s="1696"/>
      <c r="W14" s="1772"/>
      <c r="X14" s="1696"/>
      <c r="Y14" s="1696"/>
      <c r="Z14" s="1773"/>
    </row>
    <row r="15">
      <c r="A15" s="1767"/>
      <c r="B15" s="1767"/>
      <c r="C15" s="1767"/>
      <c r="D15" s="1767"/>
      <c r="E15" s="1767"/>
      <c r="F15" s="1767"/>
      <c r="G15" s="1767"/>
      <c r="H15" s="1767"/>
      <c r="I15" s="1767"/>
      <c r="J15" s="1768"/>
      <c r="K15" s="1768"/>
      <c r="L15" s="1769"/>
      <c r="M15" s="1769"/>
      <c r="N15" s="1767"/>
      <c r="O15" s="1766"/>
      <c r="P15" s="1766"/>
      <c r="Q15" s="1766"/>
      <c r="R15" s="1766"/>
      <c r="S15" s="1696"/>
      <c r="U15" s="1772"/>
      <c r="V15" s="1696"/>
      <c r="W15" s="1772"/>
      <c r="X15" s="1696"/>
      <c r="Y15" s="1696"/>
      <c r="Z15" s="1696"/>
    </row>
    <row r="16">
      <c r="A16" s="1767"/>
      <c r="B16" s="1767"/>
      <c r="C16" s="1767"/>
      <c r="D16" s="1767"/>
      <c r="E16" s="1767"/>
      <c r="F16" s="1767"/>
      <c r="G16" s="1767"/>
      <c r="H16" s="1767"/>
      <c r="I16" s="1767"/>
      <c r="J16" s="1768"/>
      <c r="K16" s="1768"/>
      <c r="L16" s="1769"/>
      <c r="M16" s="1769"/>
      <c r="N16" s="1767"/>
      <c r="O16" s="1765"/>
      <c r="P16" s="1765"/>
      <c r="Q16" s="1766"/>
      <c r="R16" s="1766"/>
      <c r="S16" s="1696"/>
      <c r="T16" s="1696"/>
      <c r="U16" s="1772"/>
      <c r="V16" s="1696"/>
      <c r="W16" s="1772"/>
      <c r="X16" s="1696"/>
      <c r="Y16" s="1696"/>
      <c r="Z16" s="1773"/>
    </row>
    <row r="17">
      <c r="A17" s="1767"/>
      <c r="B17" s="1767"/>
      <c r="C17" s="1767"/>
      <c r="D17" s="1767"/>
      <c r="E17" s="1767"/>
      <c r="F17" s="1767"/>
      <c r="G17" s="1767"/>
      <c r="H17" s="1774"/>
      <c r="I17" s="1776"/>
      <c r="J17" s="1769"/>
      <c r="K17" s="1769"/>
      <c r="L17" s="1769"/>
      <c r="M17" s="1769"/>
      <c r="N17" s="1775"/>
      <c r="O17" s="1770"/>
      <c r="P17" s="1771"/>
      <c r="Q17" s="1766"/>
      <c r="R17" s="1766"/>
      <c r="S17" s="1696"/>
      <c r="T17" s="1696"/>
      <c r="U17" s="1772"/>
      <c r="V17" s="1696"/>
      <c r="W17" s="1772"/>
      <c r="X17" s="1696"/>
      <c r="Y17" s="1696"/>
      <c r="Z17" s="1773"/>
    </row>
    <row r="18">
      <c r="A18" s="1767"/>
      <c r="B18" s="1767"/>
      <c r="C18" s="1767"/>
      <c r="D18" s="1767"/>
      <c r="E18" s="1767"/>
      <c r="F18" s="1767"/>
      <c r="G18" s="1767"/>
      <c r="H18" s="1774"/>
      <c r="I18" s="1774"/>
      <c r="J18" s="1769"/>
      <c r="K18" s="1769"/>
      <c r="L18" s="1769"/>
      <c r="M18" s="1769"/>
      <c r="N18" s="1775"/>
      <c r="O18" s="1766"/>
      <c r="P18" s="1766"/>
      <c r="Q18" s="1766"/>
      <c r="R18" s="1766"/>
      <c r="S18" s="1696"/>
      <c r="T18" s="1696"/>
      <c r="U18" s="1772"/>
      <c r="V18" s="1696"/>
      <c r="W18" s="1772"/>
      <c r="X18" s="1696"/>
      <c r="Y18" s="1696"/>
      <c r="Z18" s="1773"/>
    </row>
    <row r="19">
      <c r="A19" s="1767"/>
      <c r="B19" s="1767"/>
      <c r="C19" s="1767"/>
      <c r="D19" s="1767"/>
      <c r="E19" s="1767"/>
      <c r="F19" s="1767"/>
      <c r="G19" s="1767"/>
      <c r="H19" s="1774"/>
      <c r="I19" s="1774"/>
      <c r="J19" s="1769"/>
      <c r="K19" s="1769"/>
      <c r="L19" s="1769"/>
      <c r="M19" s="1769"/>
      <c r="N19" s="1774"/>
      <c r="O19" s="1765"/>
      <c r="P19" s="1765"/>
      <c r="Q19" s="1766"/>
      <c r="R19" s="1766"/>
      <c r="S19" s="1696"/>
      <c r="T19" s="1696"/>
      <c r="U19" s="1772"/>
      <c r="V19" s="1696"/>
      <c r="W19" s="1772"/>
      <c r="X19" s="1696"/>
      <c r="Y19" s="1696"/>
      <c r="Z19" s="1773"/>
    </row>
    <row r="20">
      <c r="A20" s="1767"/>
      <c r="B20" s="1767"/>
      <c r="C20" s="1767"/>
      <c r="D20" s="1767"/>
      <c r="E20" s="1767"/>
      <c r="F20" s="1767"/>
      <c r="G20" s="1767"/>
      <c r="H20" s="1774"/>
      <c r="I20" s="1776"/>
      <c r="J20" s="1769"/>
      <c r="K20" s="1769"/>
      <c r="L20" s="1769"/>
      <c r="M20" s="1769"/>
      <c r="N20" s="1775"/>
      <c r="O20" s="1770"/>
      <c r="P20" s="1771"/>
      <c r="Q20" s="1766"/>
      <c r="R20" s="1766"/>
      <c r="S20" s="1696"/>
      <c r="T20" s="1696"/>
      <c r="U20" s="1772"/>
      <c r="V20" s="1696"/>
      <c r="W20" s="1772"/>
      <c r="X20" s="1696"/>
      <c r="Y20" s="1696"/>
      <c r="Z20" s="1773"/>
    </row>
    <row r="21">
      <c r="A21" s="1767"/>
      <c r="B21" s="1767"/>
      <c r="C21" s="1767"/>
      <c r="D21" s="1767"/>
      <c r="E21" s="1767"/>
      <c r="F21" s="1767"/>
      <c r="G21" s="1767"/>
      <c r="H21" s="1774"/>
      <c r="I21" s="1774"/>
      <c r="J21" s="1769"/>
      <c r="K21" s="1769"/>
      <c r="L21" s="1769"/>
      <c r="M21" s="1769"/>
      <c r="N21" s="1775"/>
      <c r="O21" s="1766"/>
      <c r="P21" s="1766"/>
      <c r="Q21" s="1766"/>
      <c r="R21" s="1766"/>
      <c r="S21" s="1696"/>
      <c r="T21" s="1696"/>
      <c r="U21" s="1772"/>
      <c r="V21" s="1696"/>
      <c r="W21" s="1772"/>
      <c r="X21" s="1696"/>
      <c r="Y21" s="1696"/>
      <c r="Z21" s="1773"/>
    </row>
    <row r="22">
      <c r="A22" s="1767"/>
      <c r="B22" s="1767"/>
      <c r="C22" s="1767"/>
      <c r="D22" s="1767"/>
      <c r="E22" s="1767"/>
      <c r="F22" s="1767"/>
      <c r="G22" s="1767"/>
      <c r="H22" s="1767"/>
      <c r="I22" s="1767"/>
      <c r="J22" s="1768"/>
      <c r="K22" s="1768"/>
      <c r="L22" s="1769"/>
      <c r="M22" s="1769"/>
      <c r="N22" s="1767"/>
      <c r="O22" s="1765"/>
      <c r="P22" s="1765"/>
      <c r="Q22" s="1766"/>
      <c r="R22" s="1766"/>
      <c r="S22" s="1696"/>
      <c r="T22" s="1696"/>
      <c r="U22" s="1772"/>
      <c r="V22" s="1696"/>
      <c r="W22" s="1772"/>
      <c r="X22" s="1696"/>
      <c r="Y22" s="1696"/>
      <c r="Z22" s="1773"/>
    </row>
    <row r="23">
      <c r="A23" s="1767"/>
      <c r="B23" s="1767"/>
      <c r="C23" s="1767"/>
      <c r="D23" s="1767"/>
      <c r="E23" s="1767"/>
      <c r="F23" s="1767"/>
      <c r="G23" s="1767"/>
      <c r="H23" s="1774"/>
      <c r="I23" s="1776"/>
      <c r="J23" s="1769"/>
      <c r="K23" s="1769"/>
      <c r="L23" s="1769"/>
      <c r="M23" s="1769"/>
      <c r="N23" s="1775"/>
      <c r="O23" s="1770"/>
      <c r="P23" s="1771"/>
      <c r="Q23" s="1766"/>
      <c r="R23" s="1766"/>
      <c r="S23" s="1696"/>
      <c r="T23" s="1696"/>
      <c r="U23" s="1772"/>
      <c r="V23" s="1696"/>
      <c r="W23" s="1772"/>
      <c r="X23" s="1696"/>
      <c r="Y23" s="1696"/>
      <c r="Z23" s="1773"/>
    </row>
    <row r="24">
      <c r="A24" s="1767"/>
      <c r="B24" s="1767"/>
      <c r="C24" s="1767"/>
      <c r="D24" s="1767"/>
      <c r="E24" s="1767"/>
      <c r="F24" s="1767"/>
      <c r="G24" s="1767"/>
      <c r="H24" s="1767"/>
      <c r="I24" s="1767"/>
      <c r="J24" s="1768"/>
      <c r="K24" s="1768"/>
      <c r="L24" s="1769"/>
      <c r="M24" s="1769"/>
      <c r="N24" s="1767"/>
      <c r="O24" s="1766"/>
      <c r="P24" s="1766"/>
      <c r="Q24" s="1766"/>
      <c r="R24" s="1766"/>
      <c r="S24" s="1696"/>
      <c r="T24" s="1696"/>
      <c r="U24" s="1772"/>
      <c r="V24" s="1696"/>
      <c r="W24" s="1772"/>
      <c r="X24" s="1696"/>
      <c r="Y24" s="1696"/>
      <c r="Z24" s="1773"/>
    </row>
    <row r="25">
      <c r="A25" s="1767"/>
      <c r="B25" s="1767"/>
      <c r="C25" s="1767"/>
      <c r="D25" s="1767"/>
      <c r="E25" s="1767"/>
      <c r="F25" s="1767"/>
      <c r="G25" s="1767"/>
      <c r="H25" s="1774"/>
      <c r="I25" s="1774"/>
      <c r="J25" s="1769"/>
      <c r="K25" s="1769"/>
      <c r="L25" s="1769"/>
      <c r="M25" s="1769"/>
      <c r="N25" s="1774"/>
      <c r="O25" s="1765"/>
      <c r="P25" s="1765"/>
      <c r="Q25" s="1766"/>
      <c r="R25" s="1766"/>
      <c r="S25" s="1696"/>
      <c r="T25" s="1696"/>
      <c r="U25" s="1772"/>
      <c r="V25" s="1696"/>
      <c r="W25" s="1772"/>
      <c r="X25" s="1696"/>
      <c r="Y25" s="1696"/>
      <c r="Z25" s="1773"/>
    </row>
    <row r="26">
      <c r="A26" s="1767"/>
      <c r="B26" s="1767"/>
      <c r="C26" s="1767"/>
      <c r="D26" s="1767"/>
      <c r="E26" s="1767"/>
      <c r="F26" s="1767"/>
      <c r="G26" s="1767"/>
      <c r="H26" s="1774"/>
      <c r="I26" s="1776"/>
      <c r="J26" s="1769"/>
      <c r="K26" s="1769"/>
      <c r="L26" s="1769"/>
      <c r="M26" s="1769"/>
      <c r="N26" s="1775"/>
      <c r="O26" s="1770"/>
      <c r="P26" s="1771"/>
      <c r="Q26" s="1766"/>
      <c r="R26" s="1766"/>
      <c r="S26" s="1696"/>
      <c r="T26" s="1696"/>
      <c r="U26" s="1772"/>
      <c r="V26" s="1696"/>
      <c r="W26" s="1772"/>
      <c r="X26" s="1696"/>
      <c r="Y26" s="1696"/>
      <c r="Z26" s="1773"/>
    </row>
    <row r="27">
      <c r="A27" s="1767"/>
      <c r="B27" s="1767"/>
      <c r="C27" s="1767"/>
      <c r="D27" s="1767"/>
      <c r="E27" s="1767"/>
      <c r="F27" s="1767"/>
      <c r="G27" s="1767"/>
      <c r="H27" s="1767"/>
      <c r="I27" s="1767"/>
      <c r="J27" s="1768"/>
      <c r="K27" s="1768"/>
      <c r="L27" s="1769"/>
      <c r="M27" s="1769"/>
      <c r="N27" s="1767"/>
      <c r="O27" s="1766"/>
      <c r="P27" s="1766"/>
      <c r="Q27" s="1766"/>
      <c r="R27" s="1766"/>
      <c r="S27" s="1696"/>
      <c r="T27" s="1696"/>
      <c r="U27" s="1772"/>
      <c r="V27" s="1696"/>
      <c r="W27" s="1772"/>
      <c r="X27" s="1696"/>
      <c r="Y27" s="1696"/>
      <c r="Z27" s="1773"/>
    </row>
    <row r="28">
      <c r="A28" s="1767"/>
      <c r="B28" s="1767"/>
      <c r="C28" s="1767"/>
      <c r="D28" s="1767"/>
      <c r="E28" s="1767"/>
      <c r="F28" s="1767"/>
      <c r="G28" s="1767"/>
      <c r="H28" s="1774"/>
      <c r="I28" s="1774"/>
      <c r="J28" s="1769"/>
      <c r="K28" s="1769"/>
      <c r="L28" s="1769"/>
      <c r="M28" s="1769"/>
      <c r="N28" s="1774"/>
      <c r="O28" s="1765"/>
      <c r="P28" s="1765"/>
      <c r="Q28" s="1766"/>
      <c r="R28" s="1766"/>
      <c r="S28" s="1696"/>
      <c r="T28" s="1696"/>
      <c r="U28" s="1772"/>
      <c r="V28" s="1696"/>
      <c r="W28" s="1772"/>
      <c r="X28" s="1696"/>
      <c r="Y28" s="1696"/>
      <c r="Z28" s="1773"/>
    </row>
    <row r="29">
      <c r="A29" s="1767"/>
      <c r="B29" s="1767"/>
      <c r="C29" s="1767"/>
      <c r="D29" s="1767"/>
      <c r="E29" s="1767"/>
      <c r="F29" s="1767"/>
      <c r="G29" s="1767"/>
      <c r="H29" s="1774"/>
      <c r="I29" s="1776"/>
      <c r="J29" s="1769"/>
      <c r="K29" s="1769"/>
      <c r="L29" s="1769"/>
      <c r="M29" s="1769"/>
      <c r="N29" s="1775"/>
      <c r="O29" s="1770"/>
      <c r="P29" s="1771"/>
      <c r="Q29" s="1766"/>
      <c r="R29" s="1766"/>
      <c r="S29" s="1696"/>
      <c r="T29" s="1696"/>
      <c r="U29" s="1772"/>
      <c r="V29" s="1696"/>
      <c r="W29" s="1772"/>
      <c r="X29" s="1696"/>
      <c r="Y29" s="1696"/>
      <c r="Z29" s="1773"/>
    </row>
    <row r="30">
      <c r="A30" s="1767"/>
      <c r="B30" s="1767"/>
      <c r="C30" s="1767"/>
      <c r="D30" s="1767"/>
      <c r="E30" s="1767"/>
      <c r="F30" s="1767"/>
      <c r="G30" s="1767"/>
      <c r="H30" s="1774"/>
      <c r="I30" s="1774"/>
      <c r="J30" s="1769"/>
      <c r="K30" s="1769"/>
      <c r="L30" s="1769"/>
      <c r="M30" s="1769"/>
      <c r="N30" s="1775"/>
      <c r="O30" s="1766"/>
      <c r="P30" s="1766"/>
      <c r="Q30" s="1766"/>
      <c r="R30" s="1766"/>
      <c r="S30" s="1696"/>
      <c r="T30" s="1696"/>
      <c r="U30" s="1772"/>
      <c r="V30" s="1696"/>
      <c r="W30" s="1772"/>
      <c r="X30" s="1696"/>
      <c r="Y30" s="1696"/>
      <c r="Z30" s="1773"/>
    </row>
    <row r="31">
      <c r="A31" s="1767"/>
      <c r="B31" s="1767"/>
      <c r="C31" s="1767"/>
      <c r="D31" s="1767"/>
      <c r="E31" s="1767"/>
      <c r="F31" s="1767"/>
      <c r="G31" s="1767"/>
      <c r="H31" s="1774"/>
      <c r="I31" s="1774"/>
      <c r="J31" s="1769"/>
      <c r="K31" s="1769"/>
      <c r="L31" s="1769"/>
      <c r="M31" s="1769"/>
      <c r="N31" s="1774"/>
      <c r="O31" s="1765"/>
      <c r="P31" s="1765"/>
      <c r="Q31" s="1766"/>
      <c r="R31" s="1766"/>
      <c r="S31" s="1696"/>
      <c r="T31" s="1696"/>
      <c r="U31" s="1772"/>
      <c r="V31" s="1696"/>
      <c r="W31" s="1772"/>
      <c r="X31" s="1696"/>
      <c r="Y31" s="1696"/>
      <c r="Z31" s="1773"/>
    </row>
    <row r="32">
      <c r="A32" s="1767"/>
      <c r="B32" s="1767"/>
      <c r="C32" s="1767"/>
      <c r="D32" s="1767"/>
      <c r="E32" s="1767"/>
      <c r="F32" s="1767"/>
      <c r="G32" s="1767"/>
      <c r="H32" s="1774"/>
      <c r="I32" s="1774"/>
      <c r="J32" s="1769"/>
      <c r="K32" s="1769"/>
      <c r="L32" s="1769"/>
      <c r="M32" s="1769"/>
      <c r="N32" s="1775"/>
      <c r="O32" s="1770"/>
      <c r="P32" s="1771"/>
      <c r="Q32" s="1766"/>
      <c r="R32" s="1766"/>
      <c r="S32" s="1696"/>
      <c r="T32" s="1696"/>
      <c r="U32" s="1772"/>
      <c r="V32" s="1696"/>
      <c r="W32" s="1772"/>
      <c r="X32" s="1696"/>
      <c r="Y32" s="1696"/>
      <c r="Z32" s="1773"/>
    </row>
    <row r="33">
      <c r="A33" s="1767"/>
      <c r="B33" s="1767"/>
      <c r="C33" s="1767"/>
      <c r="D33" s="1767"/>
      <c r="E33" s="1767"/>
      <c r="F33" s="1767"/>
      <c r="G33" s="1767"/>
      <c r="H33" s="1774"/>
      <c r="I33" s="1774"/>
      <c r="J33" s="1769"/>
      <c r="K33" s="1769"/>
      <c r="L33" s="1769"/>
      <c r="M33" s="1769"/>
      <c r="N33" s="1774"/>
      <c r="O33" s="1766"/>
      <c r="P33" s="1766"/>
      <c r="Q33" s="1766"/>
      <c r="R33" s="1766"/>
      <c r="S33" s="1696"/>
      <c r="T33" s="1696"/>
      <c r="U33" s="1772"/>
      <c r="V33" s="1696"/>
      <c r="W33" s="1772"/>
      <c r="X33" s="1696"/>
      <c r="Y33" s="1696"/>
      <c r="Z33" s="1773"/>
    </row>
    <row r="34">
      <c r="A34" s="1767"/>
      <c r="B34" s="1767"/>
      <c r="C34" s="1767"/>
      <c r="D34" s="1767"/>
      <c r="E34" s="1767"/>
      <c r="F34" s="1767"/>
      <c r="G34" s="1767"/>
      <c r="H34" s="1774"/>
      <c r="I34" s="1774"/>
      <c r="J34" s="1769"/>
      <c r="K34" s="1769"/>
      <c r="L34" s="1769"/>
      <c r="M34" s="1769"/>
      <c r="N34" s="1774"/>
      <c r="O34" s="1765"/>
      <c r="P34" s="1765"/>
      <c r="Q34" s="1766"/>
      <c r="R34" s="1766"/>
      <c r="S34" s="1696"/>
      <c r="T34" s="1696"/>
      <c r="U34" s="1772"/>
      <c r="V34" s="1696"/>
      <c r="W34" s="1772"/>
      <c r="X34" s="1696"/>
      <c r="Y34" s="1696"/>
      <c r="Z34" s="1773"/>
    </row>
    <row r="35">
      <c r="A35" s="1767"/>
      <c r="B35" s="1767"/>
      <c r="C35" s="1767"/>
      <c r="D35" s="1767"/>
      <c r="E35" s="1767"/>
      <c r="F35" s="1767"/>
      <c r="G35" s="1767"/>
      <c r="H35" s="1767"/>
      <c r="I35" s="1767"/>
      <c r="J35" s="1768"/>
      <c r="K35" s="1768"/>
      <c r="L35" s="1769"/>
      <c r="M35" s="1769"/>
      <c r="N35" s="1767"/>
      <c r="O35" s="1770"/>
      <c r="P35" s="1771"/>
      <c r="Q35" s="1766"/>
      <c r="R35" s="1766"/>
      <c r="S35" s="1696"/>
      <c r="U35" s="1772"/>
      <c r="V35" s="1696"/>
      <c r="W35" s="1772"/>
      <c r="X35" s="1696"/>
      <c r="Y35" s="1696"/>
      <c r="Z35" s="1696"/>
    </row>
    <row r="36">
      <c r="A36" s="1767"/>
      <c r="B36" s="1767"/>
      <c r="C36" s="1767"/>
      <c r="D36" s="1767"/>
      <c r="E36" s="1767"/>
      <c r="F36" s="1767"/>
      <c r="G36" s="1767"/>
      <c r="H36" s="1774"/>
      <c r="I36" s="1774"/>
      <c r="J36" s="1769"/>
      <c r="K36" s="1769"/>
      <c r="L36" s="1769"/>
      <c r="M36" s="1769"/>
      <c r="N36" s="1775"/>
      <c r="O36" s="1766"/>
      <c r="P36" s="1766"/>
      <c r="Q36" s="1766"/>
      <c r="R36" s="1766"/>
      <c r="S36" s="1696"/>
      <c r="T36" s="1696"/>
      <c r="U36" s="1772"/>
      <c r="V36" s="1696"/>
      <c r="W36" s="1772"/>
      <c r="X36" s="1696"/>
      <c r="Y36" s="1696"/>
      <c r="Z36" s="1696"/>
    </row>
    <row r="37">
      <c r="A37" s="1767"/>
      <c r="B37" s="1767"/>
      <c r="C37" s="1767"/>
      <c r="D37" s="1767"/>
      <c r="E37" s="1767"/>
      <c r="F37" s="1767"/>
      <c r="G37" s="1767"/>
      <c r="H37" s="1767"/>
      <c r="I37" s="1767"/>
      <c r="J37" s="1768"/>
      <c r="K37" s="1768"/>
      <c r="L37" s="1769"/>
      <c r="M37" s="1769"/>
      <c r="N37" s="1767"/>
      <c r="O37" s="1765"/>
      <c r="P37" s="1765"/>
      <c r="Q37" s="1766"/>
      <c r="R37" s="1766"/>
      <c r="S37" s="1696"/>
      <c r="T37" s="1696"/>
      <c r="U37" s="1772"/>
      <c r="V37" s="1696"/>
      <c r="W37" s="1772"/>
      <c r="X37" s="1696"/>
      <c r="Y37" s="1696"/>
      <c r="Z37" s="1773"/>
    </row>
    <row r="38">
      <c r="A38" s="1767"/>
      <c r="B38" s="1767"/>
      <c r="C38" s="1767"/>
      <c r="D38" s="1767"/>
      <c r="E38" s="1767"/>
      <c r="F38" s="1767"/>
      <c r="G38" s="1767"/>
      <c r="H38" s="1767"/>
      <c r="I38" s="1767"/>
      <c r="J38" s="1768"/>
      <c r="K38" s="1768"/>
      <c r="L38" s="1769"/>
      <c r="M38" s="1769"/>
      <c r="N38" s="1767"/>
      <c r="O38" s="1770"/>
      <c r="P38" s="1771"/>
      <c r="Q38" s="1766"/>
      <c r="R38" s="1766"/>
      <c r="S38" s="1696"/>
      <c r="T38" s="1696"/>
      <c r="U38" s="1772"/>
      <c r="V38" s="1696"/>
      <c r="W38" s="1772"/>
      <c r="X38" s="1696"/>
      <c r="Y38" s="1696"/>
      <c r="Z38" s="1696"/>
    </row>
    <row r="39">
      <c r="A39" s="1767"/>
      <c r="B39" s="1767"/>
      <c r="C39" s="1767"/>
      <c r="D39" s="1767"/>
      <c r="E39" s="1767"/>
      <c r="F39" s="1767"/>
      <c r="G39" s="1767"/>
      <c r="H39" s="1774"/>
      <c r="I39" s="1774"/>
      <c r="J39" s="1769"/>
      <c r="K39" s="1769"/>
      <c r="L39" s="1769"/>
      <c r="M39" s="1769"/>
      <c r="N39" s="1775"/>
      <c r="O39" s="1766"/>
      <c r="P39" s="1766"/>
      <c r="Q39" s="1766"/>
      <c r="R39" s="1766"/>
      <c r="S39" s="1696"/>
      <c r="T39" s="1696"/>
      <c r="U39" s="1772"/>
      <c r="V39" s="1696"/>
      <c r="W39" s="1772"/>
      <c r="X39" s="1696"/>
      <c r="Y39" s="1696"/>
      <c r="Z39" s="1773"/>
    </row>
    <row r="40">
      <c r="A40" s="1767"/>
      <c r="B40" s="1767"/>
      <c r="C40" s="1767"/>
      <c r="D40" s="1767"/>
      <c r="E40" s="1767"/>
      <c r="F40" s="1767"/>
      <c r="G40" s="1767"/>
      <c r="H40" s="1774"/>
      <c r="I40" s="1774"/>
      <c r="J40" s="1769"/>
      <c r="K40" s="1769"/>
      <c r="L40" s="1769"/>
      <c r="M40" s="1769"/>
      <c r="N40" s="1774"/>
      <c r="O40" s="1765"/>
      <c r="P40" s="1765"/>
      <c r="Q40" s="1766"/>
      <c r="R40" s="1766"/>
      <c r="S40" s="1696"/>
      <c r="T40" s="1696"/>
      <c r="U40" s="1772"/>
      <c r="V40" s="1696"/>
      <c r="W40" s="1772"/>
      <c r="X40" s="1696"/>
      <c r="Y40" s="1696"/>
      <c r="Z40" s="1773"/>
    </row>
    <row r="41">
      <c r="A41" s="1767"/>
      <c r="B41" s="1767"/>
      <c r="C41" s="1767"/>
      <c r="D41" s="1767"/>
      <c r="E41" s="1767"/>
      <c r="F41" s="1767"/>
      <c r="G41" s="1767"/>
      <c r="H41" s="1774"/>
      <c r="I41" s="1776"/>
      <c r="J41" s="1769"/>
      <c r="K41" s="1769"/>
      <c r="L41" s="1769"/>
      <c r="M41" s="1769"/>
      <c r="N41" s="1774"/>
      <c r="O41" s="1770"/>
      <c r="P41" s="1771"/>
      <c r="Q41" s="1766"/>
      <c r="R41" s="1766"/>
      <c r="S41" s="1696"/>
      <c r="T41" s="1696"/>
      <c r="U41" s="1772"/>
      <c r="V41" s="1696"/>
      <c r="W41" s="1772"/>
      <c r="X41" s="1696"/>
      <c r="Y41" s="1696"/>
      <c r="Z41" s="1696"/>
    </row>
    <row r="42">
      <c r="A42" s="1767"/>
      <c r="B42" s="1767"/>
      <c r="C42" s="1767"/>
      <c r="D42" s="1767"/>
      <c r="E42" s="1767"/>
      <c r="F42" s="1767"/>
      <c r="G42" s="1767"/>
      <c r="H42" s="1774"/>
      <c r="I42" s="1774"/>
      <c r="J42" s="1769"/>
      <c r="K42" s="1769"/>
      <c r="L42" s="1769"/>
      <c r="M42" s="1769"/>
      <c r="N42" s="1775"/>
      <c r="O42" s="1766"/>
      <c r="P42" s="1766"/>
      <c r="Q42" s="1766"/>
      <c r="R42" s="1766"/>
      <c r="S42" s="1696"/>
      <c r="U42" s="1772"/>
      <c r="V42" s="1696"/>
      <c r="W42" s="1772"/>
      <c r="X42" s="1696"/>
      <c r="Y42" s="1696"/>
      <c r="Z42" s="1773"/>
    </row>
    <row r="43">
      <c r="A43" s="1767"/>
      <c r="B43" s="1767"/>
      <c r="C43" s="1767"/>
      <c r="D43" s="1767"/>
      <c r="E43" s="1767"/>
      <c r="F43" s="1767"/>
      <c r="G43" s="1767"/>
      <c r="H43" s="1774"/>
      <c r="I43" s="1774"/>
      <c r="J43" s="1769"/>
      <c r="K43" s="1769"/>
      <c r="L43" s="1769"/>
      <c r="M43" s="1769"/>
      <c r="N43" s="1774"/>
      <c r="O43" s="1765"/>
      <c r="P43" s="1765"/>
      <c r="Q43" s="1766"/>
      <c r="R43" s="1766"/>
      <c r="S43" s="1696"/>
      <c r="U43" s="1772"/>
      <c r="V43" s="1696"/>
      <c r="W43" s="1772"/>
      <c r="X43" s="1696"/>
      <c r="Y43" s="1696"/>
      <c r="Z43" s="1773"/>
    </row>
    <row r="44">
      <c r="A44" s="1767"/>
      <c r="B44" s="1767"/>
      <c r="C44" s="1767"/>
      <c r="D44" s="1767"/>
      <c r="E44" s="1767"/>
      <c r="F44" s="1767"/>
      <c r="G44" s="1767"/>
      <c r="H44" s="1774"/>
      <c r="I44" s="1776"/>
      <c r="J44" s="1769"/>
      <c r="K44" s="1769"/>
      <c r="L44" s="1769"/>
      <c r="M44" s="1769"/>
      <c r="N44" s="1774"/>
      <c r="O44" s="1770"/>
      <c r="P44" s="1771"/>
      <c r="Q44" s="1766"/>
      <c r="R44" s="1766"/>
      <c r="S44" s="1696"/>
      <c r="T44" s="1696"/>
      <c r="U44" s="1772"/>
      <c r="V44" s="1696"/>
      <c r="W44" s="1772"/>
      <c r="X44" s="1696"/>
      <c r="Y44" s="1696"/>
      <c r="Z44" s="1696"/>
    </row>
    <row r="45">
      <c r="A45" s="1767"/>
      <c r="B45" s="1767"/>
      <c r="C45" s="1767"/>
      <c r="D45" s="1767"/>
      <c r="E45" s="1767"/>
      <c r="F45" s="1767"/>
      <c r="G45" s="1767"/>
      <c r="H45" s="1774"/>
      <c r="I45" s="1774"/>
      <c r="J45" s="1769"/>
      <c r="K45" s="1769"/>
      <c r="L45" s="1769"/>
      <c r="M45" s="1769"/>
      <c r="N45" s="1774"/>
      <c r="O45" s="1766"/>
      <c r="P45" s="1766"/>
      <c r="Q45" s="1766"/>
      <c r="R45" s="1766"/>
      <c r="S45" s="1696"/>
      <c r="U45" s="1772"/>
      <c r="V45" s="1696"/>
      <c r="W45" s="1772"/>
      <c r="X45" s="1696"/>
      <c r="Y45" s="1696"/>
      <c r="Z45" s="1773"/>
    </row>
    <row r="46">
      <c r="A46" s="1767"/>
      <c r="B46" s="1767"/>
      <c r="C46" s="1767"/>
      <c r="D46" s="1767"/>
      <c r="E46" s="1767"/>
      <c r="F46" s="1767"/>
      <c r="G46" s="1767"/>
      <c r="H46" s="1767"/>
      <c r="I46" s="1767"/>
      <c r="J46" s="1768"/>
      <c r="K46" s="1768"/>
      <c r="L46" s="1769"/>
      <c r="M46" s="1769"/>
      <c r="N46" s="1767"/>
      <c r="O46" s="1765"/>
      <c r="P46" s="1765"/>
      <c r="Q46" s="1766"/>
      <c r="R46" s="1766"/>
      <c r="S46" s="1696"/>
      <c r="U46" s="1772"/>
      <c r="V46" s="1696"/>
      <c r="W46" s="1772"/>
      <c r="X46" s="1696"/>
      <c r="Y46" s="1696"/>
      <c r="Z46" s="1773"/>
    </row>
    <row r="47">
      <c r="A47" s="1767"/>
      <c r="B47" s="1767"/>
      <c r="C47" s="1767"/>
      <c r="D47" s="1767"/>
      <c r="E47" s="1767"/>
      <c r="F47" s="1767"/>
      <c r="G47" s="1767"/>
      <c r="H47" s="1767"/>
      <c r="I47" s="1767"/>
      <c r="J47" s="1769"/>
      <c r="K47" s="1769"/>
      <c r="L47" s="1769"/>
      <c r="M47" s="1769"/>
      <c r="N47" s="1767"/>
      <c r="O47" s="1770"/>
      <c r="P47" s="1771"/>
      <c r="Q47" s="1766"/>
      <c r="R47" s="1766"/>
      <c r="S47" s="1696"/>
      <c r="U47" s="1772"/>
      <c r="V47" s="1696"/>
      <c r="W47" s="1772"/>
      <c r="X47" s="1696"/>
      <c r="Y47" s="1696"/>
      <c r="Z47" s="1773"/>
    </row>
    <row r="48">
      <c r="A48" s="1767"/>
      <c r="B48" s="1767"/>
      <c r="C48" s="1767"/>
      <c r="D48" s="1767"/>
      <c r="E48" s="1767"/>
      <c r="F48" s="1767"/>
      <c r="G48" s="1767"/>
      <c r="H48" s="1774"/>
      <c r="I48" s="1774"/>
      <c r="J48" s="1769"/>
      <c r="K48" s="1769"/>
      <c r="L48" s="1769"/>
      <c r="M48" s="1769"/>
      <c r="N48" s="1774"/>
      <c r="O48" s="1766"/>
      <c r="P48" s="1766"/>
      <c r="Q48" s="1766"/>
      <c r="R48" s="1766"/>
      <c r="S48" s="1696"/>
      <c r="U48" s="1772"/>
      <c r="V48" s="1696"/>
      <c r="W48" s="1772"/>
      <c r="X48" s="1696"/>
      <c r="Y48" s="1696"/>
      <c r="Z48" s="1773"/>
    </row>
    <row r="49">
      <c r="A49" s="1767"/>
      <c r="B49" s="1767"/>
      <c r="C49" s="1767"/>
      <c r="D49" s="1767"/>
      <c r="E49" s="1767"/>
      <c r="F49" s="1767"/>
      <c r="G49" s="1767"/>
      <c r="H49" s="1767"/>
      <c r="I49" s="1767"/>
      <c r="J49" s="1768"/>
      <c r="K49" s="1768"/>
      <c r="L49" s="1769"/>
      <c r="M49" s="1769"/>
      <c r="N49" s="1767"/>
      <c r="O49" s="1765"/>
      <c r="P49" s="1765"/>
      <c r="Q49" s="1766"/>
      <c r="R49" s="1766"/>
      <c r="S49" s="1696"/>
      <c r="U49" s="1772"/>
      <c r="V49" s="1696"/>
      <c r="W49" s="1772"/>
      <c r="X49" s="1696"/>
      <c r="Y49" s="1696"/>
      <c r="Z49" s="1773"/>
    </row>
    <row r="50">
      <c r="A50" s="1767"/>
      <c r="B50" s="1767"/>
      <c r="C50" s="1767"/>
      <c r="D50" s="1767"/>
      <c r="E50" s="1767"/>
      <c r="F50" s="1767"/>
      <c r="G50" s="1767"/>
      <c r="H50" s="1767"/>
      <c r="I50" s="1767"/>
      <c r="J50" s="1768"/>
      <c r="K50" s="1768"/>
      <c r="L50" s="1769"/>
      <c r="M50" s="1769"/>
      <c r="N50" s="1767"/>
      <c r="O50" s="1770"/>
      <c r="P50" s="1771"/>
      <c r="Q50" s="1766"/>
      <c r="R50" s="1766"/>
      <c r="S50" s="1696"/>
      <c r="U50" s="1772"/>
      <c r="V50" s="1696"/>
      <c r="W50" s="1772"/>
      <c r="X50" s="1696"/>
      <c r="Y50" s="1696"/>
      <c r="Z50" s="1773"/>
    </row>
    <row r="51">
      <c r="A51" s="1767"/>
      <c r="B51" s="1767"/>
      <c r="C51" s="1767"/>
      <c r="D51" s="1767"/>
      <c r="E51" s="1767"/>
      <c r="F51" s="1767"/>
      <c r="G51" s="1767"/>
      <c r="H51" s="1767"/>
      <c r="I51" s="1767"/>
      <c r="J51" s="1768"/>
      <c r="K51" s="1768"/>
      <c r="L51" s="1769"/>
      <c r="M51" s="1769"/>
      <c r="N51" s="1767"/>
      <c r="O51" s="1766"/>
      <c r="P51" s="1766"/>
      <c r="Q51" s="1766"/>
      <c r="R51" s="1766"/>
      <c r="S51" s="1696"/>
      <c r="U51" s="1772"/>
      <c r="V51" s="1696"/>
      <c r="W51" s="1772"/>
      <c r="X51" s="1696"/>
      <c r="Y51" s="1696"/>
      <c r="Z51" s="1773"/>
    </row>
    <row r="52">
      <c r="A52" s="1767"/>
      <c r="B52" s="1767"/>
      <c r="C52" s="1767"/>
      <c r="D52" s="1767"/>
      <c r="E52" s="1767"/>
      <c r="F52" s="1767"/>
      <c r="G52" s="1767"/>
      <c r="H52" s="1767"/>
      <c r="I52" s="1767"/>
      <c r="J52" s="1768"/>
      <c r="K52" s="1768"/>
      <c r="L52" s="1769"/>
      <c r="M52" s="1769"/>
      <c r="N52" s="1767"/>
      <c r="O52" s="1765"/>
      <c r="P52" s="1765"/>
      <c r="Q52" s="1766"/>
      <c r="R52" s="1766"/>
      <c r="S52" s="1696"/>
      <c r="U52" s="1772"/>
      <c r="V52" s="1696"/>
      <c r="W52" s="1772"/>
      <c r="X52" s="1696"/>
      <c r="Y52" s="1696"/>
      <c r="Z52" s="1773"/>
    </row>
    <row r="53">
      <c r="A53" s="1767"/>
      <c r="B53" s="1767"/>
      <c r="C53" s="1767"/>
      <c r="D53" s="1767"/>
      <c r="E53" s="1767"/>
      <c r="F53" s="1767"/>
      <c r="G53" s="1767"/>
      <c r="H53" s="1774"/>
      <c r="I53" s="1776"/>
      <c r="J53" s="1769"/>
      <c r="K53" s="1769"/>
      <c r="L53" s="1769"/>
      <c r="M53" s="1769"/>
      <c r="N53" s="1775"/>
      <c r="O53" s="1770"/>
      <c r="P53" s="1771"/>
      <c r="Q53" s="1766"/>
      <c r="R53" s="1766"/>
      <c r="S53" s="1696"/>
      <c r="T53" s="1696"/>
      <c r="U53" s="1772"/>
      <c r="V53" s="1696"/>
      <c r="W53" s="1772"/>
      <c r="X53" s="1696"/>
      <c r="Y53" s="1696"/>
      <c r="Z53" s="1773"/>
    </row>
    <row r="54">
      <c r="A54" s="1767"/>
      <c r="B54" s="1767"/>
      <c r="C54" s="1767"/>
      <c r="D54" s="1767"/>
      <c r="E54" s="1767"/>
      <c r="F54" s="1767"/>
      <c r="G54" s="1767"/>
      <c r="H54" s="1774"/>
      <c r="I54" s="1774"/>
      <c r="J54" s="1769"/>
      <c r="K54" s="1769"/>
      <c r="L54" s="1769"/>
      <c r="M54" s="1769"/>
      <c r="N54" s="1775"/>
      <c r="O54" s="1766"/>
      <c r="P54" s="1766"/>
      <c r="Q54" s="1766"/>
      <c r="R54" s="1766"/>
      <c r="S54" s="1696"/>
      <c r="T54" s="1696"/>
      <c r="U54" s="1772"/>
      <c r="V54" s="1696"/>
      <c r="W54" s="1772"/>
      <c r="X54" s="1696"/>
      <c r="Y54" s="1696"/>
      <c r="Z54" s="1773"/>
    </row>
    <row r="55">
      <c r="A55" s="1767"/>
      <c r="B55" s="1767"/>
      <c r="C55" s="1767"/>
      <c r="D55" s="1767"/>
      <c r="E55" s="1767"/>
      <c r="F55" s="1767"/>
      <c r="G55" s="1767"/>
      <c r="H55" s="1774"/>
      <c r="I55" s="1774"/>
      <c r="J55" s="1769"/>
      <c r="K55" s="1769"/>
      <c r="L55" s="1769"/>
      <c r="M55" s="1769"/>
      <c r="N55" s="1774"/>
      <c r="O55" s="1765"/>
      <c r="P55" s="1765"/>
      <c r="Q55" s="1766"/>
      <c r="R55" s="1766"/>
      <c r="S55" s="1696"/>
      <c r="T55" s="1696"/>
      <c r="U55" s="1772"/>
      <c r="V55" s="1696"/>
      <c r="W55" s="1772"/>
      <c r="X55" s="1696"/>
      <c r="Y55" s="1696"/>
      <c r="Z55" s="1696"/>
    </row>
    <row r="56">
      <c r="A56" s="1767"/>
      <c r="B56" s="1767"/>
      <c r="C56" s="1767"/>
      <c r="D56" s="1767"/>
      <c r="E56" s="1767"/>
      <c r="F56" s="1767"/>
      <c r="G56" s="1767"/>
      <c r="H56" s="1774"/>
      <c r="I56" s="1776"/>
      <c r="J56" s="1769"/>
      <c r="K56" s="1769"/>
      <c r="L56" s="1769"/>
      <c r="M56" s="1769"/>
      <c r="N56" s="1775"/>
      <c r="O56" s="1770"/>
      <c r="P56" s="1771"/>
      <c r="Q56" s="1766"/>
      <c r="R56" s="1766"/>
      <c r="S56" s="1696"/>
      <c r="T56" s="1696"/>
      <c r="U56" s="1772"/>
      <c r="V56" s="1696"/>
      <c r="W56" s="1772"/>
      <c r="X56" s="1696"/>
      <c r="Y56" s="1696"/>
      <c r="Z56" s="1773"/>
    </row>
    <row r="57">
      <c r="A57" s="1767"/>
      <c r="B57" s="1767"/>
      <c r="C57" s="1767"/>
      <c r="D57" s="1767"/>
      <c r="E57" s="1767"/>
      <c r="F57" s="1767"/>
      <c r="G57" s="1767"/>
      <c r="H57" s="1767"/>
      <c r="I57" s="1767"/>
      <c r="J57" s="1768"/>
      <c r="K57" s="1768"/>
      <c r="L57" s="1769"/>
      <c r="M57" s="1769"/>
      <c r="N57" s="1767"/>
      <c r="O57" s="1766"/>
      <c r="P57" s="1766"/>
      <c r="Q57" s="1766"/>
      <c r="R57" s="1766"/>
      <c r="S57" s="1696"/>
      <c r="T57" s="1696"/>
      <c r="U57" s="1772"/>
      <c r="V57" s="1696"/>
      <c r="W57" s="1772"/>
      <c r="X57" s="1696"/>
      <c r="Y57" s="1696"/>
      <c r="Z57" s="1773"/>
    </row>
    <row r="58">
      <c r="A58" s="1767"/>
      <c r="B58" s="1767"/>
      <c r="C58" s="1767"/>
      <c r="D58" s="1767"/>
      <c r="E58" s="1767"/>
      <c r="F58" s="1767"/>
      <c r="G58" s="1767"/>
      <c r="H58" s="1767"/>
      <c r="I58" s="1767"/>
      <c r="J58" s="1768"/>
      <c r="K58" s="1768"/>
      <c r="L58" s="1769"/>
      <c r="M58" s="1769"/>
      <c r="N58" s="1767"/>
      <c r="O58" s="1765"/>
      <c r="P58" s="1765"/>
      <c r="Q58" s="1766"/>
      <c r="R58" s="1766"/>
      <c r="S58" s="1696"/>
      <c r="T58" s="1696"/>
      <c r="U58" s="1772"/>
      <c r="V58" s="1696"/>
      <c r="W58" s="1772"/>
      <c r="X58" s="1696"/>
      <c r="Y58" s="1696"/>
      <c r="Z58" s="1773"/>
    </row>
    <row r="59">
      <c r="A59" s="1767"/>
      <c r="B59" s="1767"/>
      <c r="C59" s="1767"/>
      <c r="D59" s="1767"/>
      <c r="E59" s="1767"/>
      <c r="F59" s="1767"/>
      <c r="G59" s="1767"/>
      <c r="H59" s="1767"/>
      <c r="I59" s="1767"/>
      <c r="J59" s="1768"/>
      <c r="K59" s="1768"/>
      <c r="L59" s="1769"/>
      <c r="M59" s="1769"/>
      <c r="N59" s="1767"/>
      <c r="O59" s="1770"/>
      <c r="P59" s="1771"/>
      <c r="Q59" s="1766"/>
      <c r="R59" s="1766"/>
      <c r="S59" s="1696"/>
      <c r="T59" s="1696"/>
      <c r="U59" s="1772"/>
      <c r="V59" s="1696"/>
      <c r="W59" s="1772"/>
      <c r="X59" s="1696"/>
      <c r="Y59" s="1696"/>
      <c r="Z59" s="1773"/>
    </row>
    <row r="60">
      <c r="A60" s="1767"/>
      <c r="B60" s="1767"/>
      <c r="C60" s="1767"/>
      <c r="D60" s="1767"/>
      <c r="E60" s="1767"/>
      <c r="F60" s="1767"/>
      <c r="G60" s="1767"/>
      <c r="H60" s="1767"/>
      <c r="I60" s="1767"/>
      <c r="J60" s="1768"/>
      <c r="K60" s="1768"/>
      <c r="L60" s="1769"/>
      <c r="M60" s="1769"/>
      <c r="N60" s="1767"/>
      <c r="O60" s="1766"/>
      <c r="P60" s="1766"/>
      <c r="Q60" s="1766"/>
      <c r="R60" s="1766"/>
      <c r="S60" s="1696"/>
      <c r="T60" s="1696"/>
      <c r="U60" s="1772"/>
      <c r="V60" s="1696"/>
      <c r="W60" s="1772"/>
      <c r="X60" s="1696"/>
      <c r="Y60" s="1696"/>
      <c r="Z60" s="1773"/>
    </row>
    <row r="61">
      <c r="A61" s="1767"/>
      <c r="B61" s="1767"/>
      <c r="C61" s="1767"/>
      <c r="D61" s="1767"/>
      <c r="E61" s="1767"/>
      <c r="F61" s="1767"/>
      <c r="G61" s="1767"/>
      <c r="H61" s="1767"/>
      <c r="I61" s="1767"/>
      <c r="J61" s="1768"/>
      <c r="K61" s="1768"/>
      <c r="L61" s="1769"/>
      <c r="M61" s="1769"/>
      <c r="N61" s="1767"/>
      <c r="O61" s="1765"/>
      <c r="P61" s="1765"/>
      <c r="Q61" s="1766"/>
      <c r="R61" s="1766"/>
      <c r="S61" s="1696"/>
      <c r="T61" s="1696"/>
      <c r="U61" s="1772"/>
      <c r="V61" s="1696"/>
      <c r="W61" s="1772"/>
      <c r="X61" s="1696"/>
      <c r="Y61" s="1696"/>
      <c r="Z61" s="1773"/>
    </row>
    <row r="62">
      <c r="A62" s="1767"/>
      <c r="B62" s="1767"/>
      <c r="C62" s="1767"/>
      <c r="D62" s="1767"/>
      <c r="E62" s="1767"/>
      <c r="F62" s="1767"/>
      <c r="G62" s="1767"/>
      <c r="H62" s="1774"/>
      <c r="I62" s="1776"/>
      <c r="J62" s="1769"/>
      <c r="K62" s="1769"/>
      <c r="L62" s="1769"/>
      <c r="M62" s="1769"/>
      <c r="N62" s="1775"/>
      <c r="O62" s="1770"/>
      <c r="P62" s="1771"/>
      <c r="Q62" s="1766"/>
      <c r="R62" s="1766"/>
      <c r="S62" s="1696"/>
      <c r="T62" s="1696"/>
      <c r="U62" s="1772"/>
      <c r="V62" s="1696"/>
      <c r="W62" s="1772"/>
      <c r="X62" s="1696"/>
      <c r="Y62" s="1696"/>
      <c r="Z62" s="1773"/>
    </row>
    <row r="63">
      <c r="A63" s="1767"/>
      <c r="B63" s="1767"/>
      <c r="C63" s="1767"/>
      <c r="D63" s="1767"/>
      <c r="E63" s="1767"/>
      <c r="F63" s="1767"/>
      <c r="G63" s="1767"/>
      <c r="H63" s="1767"/>
      <c r="I63" s="1767"/>
      <c r="J63" s="1768"/>
      <c r="K63" s="1768"/>
      <c r="L63" s="1769"/>
      <c r="M63" s="1769"/>
      <c r="N63" s="1767"/>
      <c r="O63" s="1766"/>
      <c r="P63" s="1766"/>
      <c r="Q63" s="1766"/>
      <c r="R63" s="1766"/>
      <c r="S63" s="1696"/>
      <c r="T63" s="1696"/>
      <c r="U63" s="1772"/>
      <c r="V63" s="1696"/>
      <c r="W63" s="1772"/>
      <c r="X63" s="1696"/>
      <c r="Y63" s="1696"/>
      <c r="Z63" s="1773"/>
    </row>
    <row r="64">
      <c r="A64" s="1767"/>
      <c r="B64" s="1767"/>
      <c r="C64" s="1767"/>
      <c r="D64" s="1767"/>
      <c r="E64" s="1767"/>
      <c r="F64" s="1767"/>
      <c r="G64" s="1767"/>
      <c r="H64" s="1774"/>
      <c r="I64" s="1774"/>
      <c r="J64" s="1769"/>
      <c r="K64" s="1769"/>
      <c r="L64" s="1769"/>
      <c r="M64" s="1769"/>
      <c r="N64" s="1774"/>
      <c r="O64" s="1765"/>
      <c r="P64" s="1765"/>
      <c r="Q64" s="1766"/>
      <c r="R64" s="1766"/>
      <c r="S64" s="1696"/>
      <c r="T64" s="1696"/>
      <c r="U64" s="1772"/>
      <c r="V64" s="1696"/>
      <c r="W64" s="1772"/>
      <c r="X64" s="1696"/>
      <c r="Y64" s="1696"/>
      <c r="Z64" s="1773"/>
    </row>
    <row r="65">
      <c r="A65" s="1767"/>
      <c r="B65" s="1767"/>
      <c r="C65" s="1767"/>
      <c r="D65" s="1767"/>
      <c r="E65" s="1767"/>
      <c r="F65" s="1767"/>
      <c r="G65" s="1767"/>
      <c r="H65" s="1774"/>
      <c r="I65" s="1776"/>
      <c r="J65" s="1769"/>
      <c r="K65" s="1769"/>
      <c r="L65" s="1769"/>
      <c r="M65" s="1769"/>
      <c r="N65" s="1775"/>
      <c r="O65" s="1770"/>
      <c r="P65" s="1771"/>
      <c r="Q65" s="1766"/>
      <c r="R65" s="1766"/>
      <c r="S65" s="1696"/>
      <c r="T65" s="1696"/>
      <c r="U65" s="1772"/>
      <c r="V65" s="1696"/>
      <c r="W65" s="1772"/>
      <c r="X65" s="1696"/>
      <c r="Y65" s="1696"/>
      <c r="Z65" s="1773"/>
    </row>
    <row r="66">
      <c r="A66" s="1767"/>
      <c r="B66" s="1767"/>
      <c r="C66" s="1767"/>
      <c r="D66" s="1767"/>
      <c r="E66" s="1767"/>
      <c r="F66" s="1767"/>
      <c r="G66" s="1767"/>
      <c r="H66" s="1767"/>
      <c r="I66" s="1767"/>
      <c r="J66" s="1768"/>
      <c r="K66" s="1768"/>
      <c r="L66" s="1769"/>
      <c r="M66" s="1769"/>
      <c r="N66" s="1767"/>
      <c r="O66" s="1766"/>
      <c r="P66" s="1766"/>
      <c r="Q66" s="1766"/>
      <c r="R66" s="1766"/>
      <c r="S66" s="1696"/>
      <c r="T66" s="1696"/>
      <c r="U66" s="1772"/>
      <c r="V66" s="1696"/>
      <c r="W66" s="1772"/>
      <c r="X66" s="1696"/>
      <c r="Y66" s="1696"/>
      <c r="Z66" s="1773"/>
    </row>
    <row r="67">
      <c r="A67" s="1767"/>
      <c r="B67" s="1767"/>
      <c r="C67" s="1767"/>
      <c r="D67" s="1767"/>
      <c r="E67" s="1767"/>
      <c r="F67" s="1767"/>
      <c r="G67" s="1767"/>
      <c r="H67" s="1767"/>
      <c r="I67" s="1767"/>
      <c r="J67" s="1768"/>
      <c r="K67" s="1768"/>
      <c r="L67" s="1769"/>
      <c r="M67" s="1769"/>
      <c r="N67" s="1767"/>
      <c r="O67" s="1765"/>
      <c r="P67" s="1765"/>
      <c r="Q67" s="1766"/>
      <c r="R67" s="1766"/>
      <c r="S67" s="1696"/>
      <c r="T67" s="1696"/>
      <c r="U67" s="1772"/>
      <c r="V67" s="1696"/>
      <c r="W67" s="1772"/>
      <c r="X67" s="1696"/>
      <c r="Y67" s="1696"/>
      <c r="Z67" s="1773"/>
    </row>
    <row r="68">
      <c r="A68" s="1767"/>
      <c r="B68" s="1767"/>
      <c r="C68" s="1767"/>
      <c r="D68" s="1767"/>
      <c r="E68" s="1767"/>
      <c r="F68" s="1767"/>
      <c r="G68" s="1767"/>
      <c r="H68" s="1767"/>
      <c r="I68" s="1767"/>
      <c r="J68" s="1768"/>
      <c r="K68" s="1768"/>
      <c r="L68" s="1769"/>
      <c r="M68" s="1769"/>
      <c r="N68" s="1767"/>
      <c r="O68" s="1770"/>
      <c r="P68" s="1771"/>
      <c r="Q68" s="1766"/>
      <c r="R68" s="1766"/>
      <c r="S68" s="1696"/>
      <c r="T68" s="1696"/>
      <c r="U68" s="1772"/>
      <c r="V68" s="1696"/>
      <c r="W68" s="1772"/>
      <c r="X68" s="1696"/>
      <c r="Y68" s="1696"/>
      <c r="Z68" s="1773"/>
    </row>
    <row r="69">
      <c r="A69" s="1767"/>
      <c r="B69" s="1767"/>
      <c r="C69" s="1767"/>
      <c r="D69" s="1767"/>
      <c r="E69" s="1767"/>
      <c r="F69" s="1767"/>
      <c r="G69" s="1767"/>
      <c r="H69" s="1767"/>
      <c r="I69" s="1767"/>
      <c r="J69" s="1768"/>
      <c r="K69" s="1768"/>
      <c r="L69" s="1769"/>
      <c r="M69" s="1769"/>
      <c r="N69" s="1767"/>
      <c r="O69" s="1766"/>
      <c r="P69" s="1766"/>
      <c r="Q69" s="1766"/>
      <c r="R69" s="1766"/>
      <c r="S69" s="1696"/>
      <c r="T69" s="1696"/>
      <c r="U69" s="1772"/>
      <c r="V69" s="1696"/>
      <c r="W69" s="1772"/>
      <c r="X69" s="1696"/>
      <c r="Y69" s="1696"/>
      <c r="Z69" s="1773"/>
    </row>
    <row r="70">
      <c r="A70" s="1767"/>
      <c r="B70" s="1767"/>
      <c r="C70" s="1767"/>
      <c r="D70" s="1767"/>
      <c r="E70" s="1767"/>
      <c r="F70" s="1767"/>
      <c r="G70" s="1767"/>
      <c r="H70" s="1767"/>
      <c r="I70" s="1767"/>
      <c r="J70" s="1768"/>
      <c r="K70" s="1768"/>
      <c r="L70" s="1769"/>
      <c r="M70" s="1769"/>
      <c r="N70" s="1767"/>
      <c r="O70" s="1765"/>
      <c r="P70" s="1765"/>
      <c r="Q70" s="1766"/>
      <c r="R70" s="1766"/>
      <c r="S70" s="1696"/>
      <c r="T70" s="1696"/>
      <c r="U70" s="1772"/>
      <c r="V70" s="1696"/>
      <c r="W70" s="1772"/>
      <c r="X70" s="1696"/>
      <c r="Y70" s="1696"/>
      <c r="Z70" s="1773"/>
    </row>
    <row r="71">
      <c r="A71" s="1767"/>
      <c r="B71" s="1767"/>
      <c r="C71" s="1767"/>
      <c r="D71" s="1767"/>
      <c r="E71" s="1767"/>
      <c r="F71" s="1767"/>
      <c r="G71" s="1767"/>
      <c r="H71" s="1767"/>
      <c r="I71" s="1767"/>
      <c r="J71" s="1768"/>
      <c r="K71" s="1768"/>
      <c r="L71" s="1769"/>
      <c r="M71" s="1769"/>
      <c r="N71" s="1767"/>
      <c r="O71" s="1770"/>
      <c r="P71" s="1771"/>
      <c r="Q71" s="1766"/>
      <c r="R71" s="1766"/>
      <c r="S71" s="1696"/>
      <c r="T71" s="1696"/>
      <c r="U71" s="1772"/>
      <c r="V71" s="1696"/>
      <c r="W71" s="1772"/>
      <c r="X71" s="1696"/>
      <c r="Y71" s="1696"/>
      <c r="Z71" s="1773"/>
    </row>
    <row r="72">
      <c r="A72" s="1767"/>
      <c r="B72" s="1767"/>
      <c r="C72" s="1767"/>
      <c r="D72" s="1767"/>
      <c r="E72" s="1767"/>
      <c r="F72" s="1767"/>
      <c r="G72" s="1767"/>
      <c r="H72" s="1767"/>
      <c r="I72" s="1767"/>
      <c r="J72" s="1768"/>
      <c r="K72" s="1768"/>
      <c r="L72" s="1769"/>
      <c r="M72" s="1769"/>
      <c r="N72" s="1767"/>
      <c r="O72" s="1766"/>
      <c r="P72" s="1766"/>
      <c r="Q72" s="1766"/>
      <c r="R72" s="1766"/>
      <c r="S72" s="1696"/>
      <c r="T72" s="1696"/>
      <c r="U72" s="1772"/>
      <c r="V72" s="1696"/>
      <c r="W72" s="1772"/>
      <c r="X72" s="1696"/>
      <c r="Y72" s="1696"/>
      <c r="Z72" s="1773"/>
    </row>
    <row r="73">
      <c r="A73" s="1767"/>
      <c r="B73" s="1767"/>
      <c r="C73" s="1767"/>
      <c r="D73" s="1767"/>
      <c r="E73" s="1767"/>
      <c r="F73" s="1767"/>
      <c r="G73" s="1767"/>
      <c r="H73" s="1767"/>
      <c r="I73" s="1767"/>
      <c r="J73" s="1768"/>
      <c r="K73" s="1768"/>
      <c r="L73" s="1769"/>
      <c r="M73" s="1769"/>
      <c r="N73" s="1767"/>
      <c r="O73" s="1765"/>
      <c r="P73" s="1765"/>
      <c r="Q73" s="1766"/>
      <c r="R73" s="1766"/>
      <c r="S73" s="1696"/>
      <c r="T73" s="1696"/>
      <c r="U73" s="1772"/>
      <c r="V73" s="1696"/>
      <c r="W73" s="1772"/>
      <c r="X73" s="1696"/>
      <c r="Y73" s="1696"/>
      <c r="Z73" s="1773"/>
    </row>
    <row r="74">
      <c r="A74" s="1767"/>
      <c r="B74" s="1767"/>
      <c r="C74" s="1767"/>
      <c r="D74" s="1767"/>
      <c r="E74" s="1767"/>
      <c r="F74" s="1767"/>
      <c r="G74" s="1767"/>
      <c r="H74" s="1767"/>
      <c r="I74" s="1767"/>
      <c r="J74" s="1768"/>
      <c r="K74" s="1768"/>
      <c r="L74" s="1769"/>
      <c r="M74" s="1769"/>
      <c r="N74" s="1767"/>
      <c r="O74" s="1770"/>
      <c r="P74" s="1771"/>
      <c r="Q74" s="1766"/>
      <c r="R74" s="1766"/>
      <c r="S74" s="1696"/>
      <c r="T74" s="1696"/>
      <c r="U74" s="1772"/>
      <c r="V74" s="1696"/>
      <c r="W74" s="1772"/>
      <c r="X74" s="1696"/>
      <c r="Y74" s="1696"/>
      <c r="Z74" s="1773"/>
    </row>
    <row r="75">
      <c r="A75" s="1767"/>
      <c r="B75" s="1767"/>
      <c r="C75" s="1767"/>
      <c r="D75" s="1767"/>
      <c r="E75" s="1767"/>
      <c r="F75" s="1767"/>
      <c r="G75" s="1767"/>
      <c r="H75" s="1767"/>
      <c r="I75" s="1767"/>
      <c r="J75" s="1768"/>
      <c r="K75" s="1768"/>
      <c r="L75" s="1769"/>
      <c r="M75" s="1769"/>
      <c r="N75" s="1767"/>
      <c r="O75" s="1766"/>
      <c r="P75" s="1766"/>
      <c r="Q75" s="1766"/>
      <c r="R75" s="1766"/>
      <c r="S75" s="1696"/>
      <c r="T75" s="1696"/>
      <c r="U75" s="1772"/>
      <c r="V75" s="1696"/>
      <c r="W75" s="1772"/>
      <c r="X75" s="1696"/>
      <c r="Y75" s="1696"/>
      <c r="Z75" s="1773"/>
    </row>
    <row r="76">
      <c r="A76" s="1767"/>
      <c r="B76" s="1767"/>
      <c r="C76" s="1767"/>
      <c r="D76" s="1767"/>
      <c r="E76" s="1767"/>
      <c r="F76" s="1767"/>
      <c r="G76" s="1767"/>
      <c r="H76" s="1774"/>
      <c r="I76" s="1774"/>
      <c r="J76" s="1769"/>
      <c r="K76" s="1769"/>
      <c r="L76" s="1769"/>
      <c r="M76" s="1769"/>
      <c r="N76" s="1774"/>
      <c r="O76" s="1765"/>
      <c r="P76" s="1765"/>
      <c r="Q76" s="1766"/>
      <c r="R76" s="1766"/>
      <c r="S76" s="1696"/>
      <c r="T76" s="1696"/>
      <c r="U76" s="1772"/>
      <c r="V76" s="1696"/>
      <c r="W76" s="1772"/>
      <c r="X76" s="1696"/>
      <c r="Y76" s="1696"/>
      <c r="Z76" s="1773"/>
    </row>
    <row r="77">
      <c r="A77" s="1767"/>
      <c r="B77" s="1767"/>
      <c r="C77" s="1767"/>
      <c r="D77" s="1767"/>
      <c r="E77" s="1767"/>
      <c r="F77" s="1767"/>
      <c r="G77" s="1767"/>
      <c r="H77" s="1767"/>
      <c r="I77" s="1767"/>
      <c r="J77" s="1768"/>
      <c r="K77" s="1768"/>
      <c r="L77" s="1769"/>
      <c r="M77" s="1769"/>
      <c r="N77" s="1767"/>
      <c r="O77" s="1770"/>
      <c r="P77" s="1771"/>
      <c r="Q77" s="1766"/>
      <c r="R77" s="1766"/>
      <c r="S77" s="1696"/>
      <c r="T77" s="1696"/>
      <c r="U77" s="1772"/>
      <c r="V77" s="1696"/>
      <c r="W77" s="1772"/>
      <c r="X77" s="1696"/>
      <c r="Y77" s="1696"/>
      <c r="Z77" s="1773"/>
    </row>
    <row r="78">
      <c r="A78" s="1767"/>
      <c r="B78" s="1767"/>
      <c r="C78" s="1767"/>
      <c r="D78" s="1767"/>
      <c r="E78" s="1767"/>
      <c r="F78" s="1767"/>
      <c r="G78" s="1767"/>
      <c r="H78" s="1774"/>
      <c r="I78" s="1774"/>
      <c r="J78" s="1769"/>
      <c r="K78" s="1769"/>
      <c r="L78" s="1769"/>
      <c r="M78" s="1769"/>
      <c r="N78" s="1775"/>
      <c r="O78" s="1766"/>
      <c r="P78" s="1766"/>
      <c r="Q78" s="1766"/>
      <c r="R78" s="1766"/>
      <c r="S78" s="1696"/>
      <c r="T78" s="1696"/>
      <c r="U78" s="1772"/>
      <c r="V78" s="1696"/>
      <c r="W78" s="1772"/>
      <c r="X78" s="1696"/>
      <c r="Y78" s="1696"/>
      <c r="Z78" s="1696"/>
    </row>
    <row r="79">
      <c r="A79" s="1767"/>
      <c r="B79" s="1767"/>
      <c r="C79" s="1767"/>
      <c r="D79" s="1767"/>
      <c r="E79" s="1767"/>
      <c r="F79" s="1767"/>
      <c r="G79" s="1767"/>
      <c r="H79" s="1774"/>
      <c r="I79" s="1774"/>
      <c r="J79" s="1769"/>
      <c r="K79" s="1769"/>
      <c r="L79" s="1769"/>
      <c r="M79" s="1769"/>
      <c r="N79" s="1774"/>
      <c r="O79" s="1765"/>
      <c r="P79" s="1765"/>
      <c r="Q79" s="1766"/>
      <c r="R79" s="1766"/>
      <c r="S79" s="1696"/>
      <c r="U79" s="1772"/>
      <c r="V79" s="1696"/>
      <c r="W79" s="1772"/>
      <c r="X79" s="1696"/>
      <c r="Y79" s="1696"/>
      <c r="Z79" s="1773"/>
    </row>
    <row r="80">
      <c r="A80" s="1767"/>
      <c r="B80" s="1767"/>
      <c r="C80" s="1767"/>
      <c r="D80" s="1767"/>
      <c r="E80" s="1767"/>
      <c r="F80" s="1767"/>
      <c r="G80" s="1767"/>
      <c r="H80" s="1767"/>
      <c r="I80" s="1767"/>
      <c r="J80" s="1769"/>
      <c r="K80" s="1769"/>
      <c r="L80" s="1769"/>
      <c r="M80" s="1769"/>
      <c r="N80" s="1767"/>
      <c r="O80" s="1770"/>
      <c r="P80" s="1771"/>
      <c r="Q80" s="1766"/>
      <c r="R80" s="1766"/>
      <c r="S80" s="1696"/>
      <c r="T80" s="1696"/>
      <c r="U80" s="1772"/>
      <c r="V80" s="1696"/>
      <c r="W80" s="1772"/>
      <c r="X80" s="1696"/>
      <c r="Y80" s="1696"/>
      <c r="Z80" s="1773"/>
    </row>
    <row r="81">
      <c r="A81" s="1767"/>
      <c r="B81" s="1767"/>
      <c r="C81" s="1767"/>
      <c r="D81" s="1767"/>
      <c r="E81" s="1767"/>
      <c r="F81" s="1767"/>
      <c r="G81" s="1767"/>
      <c r="H81" s="1767"/>
      <c r="I81" s="1767"/>
      <c r="J81" s="1768"/>
      <c r="K81" s="1768"/>
      <c r="L81" s="1769"/>
      <c r="M81" s="1769"/>
      <c r="N81" s="1767"/>
      <c r="O81" s="1766"/>
      <c r="P81" s="1766"/>
      <c r="Q81" s="1766"/>
      <c r="R81" s="1766"/>
      <c r="S81" s="1696"/>
      <c r="T81" s="1696"/>
      <c r="U81" s="1772"/>
      <c r="V81" s="1696"/>
      <c r="W81" s="1772"/>
      <c r="X81" s="1696"/>
      <c r="Y81" s="1696"/>
      <c r="Z81" s="1773"/>
    </row>
    <row r="82">
      <c r="A82" s="1767"/>
      <c r="B82" s="1767"/>
      <c r="C82" s="1767"/>
      <c r="D82" s="1767"/>
      <c r="E82" s="1767"/>
      <c r="F82" s="1767"/>
      <c r="G82" s="1767"/>
      <c r="H82" s="1767"/>
      <c r="I82" s="1767"/>
      <c r="J82" s="1768"/>
      <c r="K82" s="1768"/>
      <c r="L82" s="1769"/>
      <c r="M82" s="1769"/>
      <c r="N82" s="1767"/>
      <c r="O82" s="1765"/>
      <c r="P82" s="1765"/>
      <c r="Q82" s="1766"/>
      <c r="R82" s="1766"/>
      <c r="S82" s="1696"/>
      <c r="T82" s="1696"/>
      <c r="U82" s="1772"/>
      <c r="V82" s="1696"/>
      <c r="W82" s="1772"/>
      <c r="X82" s="1696"/>
      <c r="Y82" s="1696"/>
      <c r="Z82" s="1773"/>
    </row>
    <row r="83">
      <c r="A83" s="1767"/>
      <c r="B83" s="1767"/>
      <c r="C83" s="1767"/>
      <c r="D83" s="1767"/>
      <c r="E83" s="1767"/>
      <c r="F83" s="1767"/>
      <c r="G83" s="1767"/>
      <c r="H83" s="1774"/>
      <c r="I83" s="1776"/>
      <c r="J83" s="1769"/>
      <c r="K83" s="1769"/>
      <c r="L83" s="1769"/>
      <c r="M83" s="1769"/>
      <c r="N83" s="1775"/>
      <c r="O83" s="1770"/>
      <c r="P83" s="1771"/>
      <c r="Q83" s="1766"/>
      <c r="R83" s="1766"/>
      <c r="S83" s="1696"/>
      <c r="T83" s="1696"/>
      <c r="U83" s="1772"/>
      <c r="V83" s="1696"/>
      <c r="W83" s="1772"/>
      <c r="X83" s="1696"/>
      <c r="Y83" s="1696"/>
      <c r="Z83" s="1773"/>
    </row>
    <row r="84">
      <c r="A84" s="1767"/>
      <c r="B84" s="1767"/>
      <c r="C84" s="1767"/>
      <c r="D84" s="1767"/>
      <c r="E84" s="1767"/>
      <c r="F84" s="1767"/>
      <c r="G84" s="1767"/>
      <c r="H84" s="1767"/>
      <c r="I84" s="1767"/>
      <c r="J84" s="1768"/>
      <c r="K84" s="1768"/>
      <c r="L84" s="1769"/>
      <c r="M84" s="1769"/>
      <c r="N84" s="1767"/>
      <c r="O84" s="1766"/>
      <c r="P84" s="1766"/>
      <c r="Q84" s="1766"/>
      <c r="R84" s="1766"/>
      <c r="S84" s="1696"/>
      <c r="T84" s="1696"/>
      <c r="U84" s="1772"/>
      <c r="V84" s="1696"/>
      <c r="W84" s="1772"/>
      <c r="X84" s="1696"/>
      <c r="Y84" s="1696"/>
      <c r="Z84" s="1773"/>
    </row>
    <row r="85">
      <c r="A85" s="1767"/>
      <c r="B85" s="1767"/>
      <c r="C85" s="1767"/>
      <c r="D85" s="1767"/>
      <c r="E85" s="1767"/>
      <c r="F85" s="1767"/>
      <c r="G85" s="1767"/>
      <c r="H85" s="1774"/>
      <c r="I85" s="1774"/>
      <c r="J85" s="1769"/>
      <c r="K85" s="1769"/>
      <c r="L85" s="1769"/>
      <c r="M85" s="1769"/>
      <c r="N85" s="1774"/>
      <c r="O85" s="1765"/>
      <c r="P85" s="1765"/>
      <c r="Q85" s="1766"/>
      <c r="R85" s="1766"/>
      <c r="S85" s="1696"/>
      <c r="T85" s="1696"/>
      <c r="U85" s="1772"/>
      <c r="V85" s="1696"/>
      <c r="W85" s="1772"/>
      <c r="X85" s="1696"/>
      <c r="Y85" s="1696"/>
      <c r="Z85" s="1773"/>
    </row>
    <row r="86">
      <c r="A86" s="1767"/>
      <c r="B86" s="1767"/>
      <c r="C86" s="1767"/>
      <c r="D86" s="1767"/>
      <c r="E86" s="1767"/>
      <c r="F86" s="1767"/>
      <c r="G86" s="1767"/>
      <c r="H86" s="1767"/>
      <c r="I86" s="1767"/>
      <c r="J86" s="1768"/>
      <c r="K86" s="1768"/>
      <c r="L86" s="1769"/>
      <c r="M86" s="1769"/>
      <c r="N86" s="1767"/>
      <c r="O86" s="1770"/>
      <c r="P86" s="1771"/>
      <c r="Q86" s="1766"/>
      <c r="R86" s="1766"/>
      <c r="S86" s="1696"/>
      <c r="T86" s="1696"/>
      <c r="U86" s="1772"/>
      <c r="V86" s="1696"/>
      <c r="W86" s="1772"/>
      <c r="X86" s="1696"/>
      <c r="Y86" s="1696"/>
      <c r="Z86" s="1773"/>
    </row>
    <row r="87">
      <c r="A87" s="1767"/>
      <c r="B87" s="1767"/>
      <c r="C87" s="1767"/>
      <c r="D87" s="1767"/>
      <c r="E87" s="1767"/>
      <c r="F87" s="1767"/>
      <c r="G87" s="1767"/>
      <c r="H87" s="1767"/>
      <c r="I87" s="1767"/>
      <c r="J87" s="1768"/>
      <c r="K87" s="1768"/>
      <c r="L87" s="1769"/>
      <c r="M87" s="1769"/>
      <c r="N87" s="1767"/>
      <c r="O87" s="1766"/>
      <c r="P87" s="1766"/>
      <c r="Q87" s="1766"/>
      <c r="R87" s="1766"/>
      <c r="S87" s="1696"/>
      <c r="T87" s="1696"/>
      <c r="U87" s="1772"/>
      <c r="V87" s="1696"/>
      <c r="W87" s="1772"/>
      <c r="X87" s="1696"/>
      <c r="Y87" s="1696"/>
      <c r="Z87" s="1773"/>
    </row>
    <row r="88">
      <c r="A88" s="1767"/>
      <c r="B88" s="1767"/>
      <c r="C88" s="1767"/>
      <c r="D88" s="1767"/>
      <c r="E88" s="1767"/>
      <c r="F88" s="1767"/>
      <c r="G88" s="1767"/>
      <c r="H88" s="1774"/>
      <c r="I88" s="1774"/>
      <c r="J88" s="1769"/>
      <c r="K88" s="1769"/>
      <c r="L88" s="1769"/>
      <c r="M88" s="1769"/>
      <c r="N88" s="1774"/>
      <c r="O88" s="1765"/>
      <c r="P88" s="1765"/>
      <c r="Q88" s="1766"/>
      <c r="R88" s="1766"/>
      <c r="S88" s="1696"/>
      <c r="T88" s="1696"/>
      <c r="U88" s="1772"/>
      <c r="V88" s="1696"/>
      <c r="W88" s="1772"/>
      <c r="X88" s="1696"/>
      <c r="Y88" s="1696"/>
      <c r="Z88" s="1773"/>
    </row>
    <row r="89">
      <c r="A89" s="1767"/>
      <c r="B89" s="1767"/>
      <c r="C89" s="1767"/>
      <c r="D89" s="1767"/>
      <c r="E89" s="1767"/>
      <c r="F89" s="1767"/>
      <c r="G89" s="1767"/>
      <c r="H89" s="1774"/>
      <c r="I89" s="1776"/>
      <c r="J89" s="1769"/>
      <c r="K89" s="1769"/>
      <c r="L89" s="1769"/>
      <c r="M89" s="1769"/>
      <c r="N89" s="1775"/>
      <c r="O89" s="1770"/>
      <c r="P89" s="1771"/>
      <c r="Q89" s="1766"/>
      <c r="R89" s="1766"/>
      <c r="S89" s="1696"/>
      <c r="T89" s="1696"/>
      <c r="U89" s="1772"/>
      <c r="V89" s="1696"/>
      <c r="W89" s="1772"/>
      <c r="X89" s="1696"/>
      <c r="Y89" s="1696"/>
      <c r="Z89" s="1773"/>
    </row>
    <row r="90">
      <c r="A90" s="1767"/>
      <c r="B90" s="1767"/>
      <c r="C90" s="1767"/>
      <c r="D90" s="1767"/>
      <c r="E90" s="1767"/>
      <c r="F90" s="1767"/>
      <c r="G90" s="1767"/>
      <c r="H90" s="1774"/>
      <c r="I90" s="1774"/>
      <c r="J90" s="1769"/>
      <c r="K90" s="1769"/>
      <c r="L90" s="1769"/>
      <c r="M90" s="1769"/>
      <c r="N90" s="1775"/>
      <c r="O90" s="1766"/>
      <c r="P90" s="1766"/>
      <c r="Q90" s="1766"/>
      <c r="R90" s="1766"/>
      <c r="S90" s="1696"/>
      <c r="T90" s="1696"/>
      <c r="U90" s="1772"/>
      <c r="V90" s="1696"/>
      <c r="W90" s="1772"/>
      <c r="X90" s="1696"/>
      <c r="Y90" s="1696"/>
      <c r="Z90" s="1773"/>
    </row>
    <row r="91">
      <c r="A91" s="1767"/>
      <c r="B91" s="1767"/>
      <c r="C91" s="1767"/>
      <c r="D91" s="1767"/>
      <c r="E91" s="1767"/>
      <c r="F91" s="1767"/>
      <c r="G91" s="1767"/>
      <c r="H91" s="1767"/>
      <c r="I91" s="1767"/>
      <c r="J91" s="1768"/>
      <c r="K91" s="1768"/>
      <c r="L91" s="1769"/>
      <c r="M91" s="1769"/>
      <c r="N91" s="1767"/>
      <c r="O91" s="1765"/>
      <c r="P91" s="1765"/>
      <c r="Q91" s="1766"/>
      <c r="R91" s="1766"/>
      <c r="S91" s="1696"/>
      <c r="T91" s="1696"/>
      <c r="U91" s="1772"/>
      <c r="V91" s="1696"/>
      <c r="W91" s="1772"/>
      <c r="X91" s="1696"/>
      <c r="Y91" s="1696"/>
      <c r="Z91" s="1773"/>
    </row>
    <row r="92">
      <c r="A92" s="1767"/>
      <c r="B92" s="1767"/>
      <c r="C92" s="1767"/>
      <c r="D92" s="1767"/>
      <c r="E92" s="1767"/>
      <c r="F92" s="1767"/>
      <c r="G92" s="1767"/>
      <c r="H92" s="1767"/>
      <c r="I92" s="1767"/>
      <c r="J92" s="1768"/>
      <c r="K92" s="1768"/>
      <c r="L92" s="1769"/>
      <c r="M92" s="1769"/>
      <c r="N92" s="1767"/>
      <c r="O92" s="1770"/>
      <c r="P92" s="1771"/>
      <c r="Q92" s="1766"/>
      <c r="R92" s="1766"/>
      <c r="S92" s="1696"/>
      <c r="T92" s="1696"/>
      <c r="U92" s="1772"/>
      <c r="V92" s="1696"/>
      <c r="W92" s="1772"/>
      <c r="X92" s="1696"/>
      <c r="Y92" s="1696"/>
      <c r="Z92" s="1773"/>
    </row>
    <row r="93">
      <c r="A93" s="1767"/>
      <c r="B93" s="1767"/>
      <c r="C93" s="1767"/>
      <c r="D93" s="1767"/>
      <c r="E93" s="1767"/>
      <c r="F93" s="1767"/>
      <c r="G93" s="1767"/>
      <c r="H93" s="1767"/>
      <c r="I93" s="1767"/>
      <c r="J93" s="1768"/>
      <c r="K93" s="1768"/>
      <c r="L93" s="1769"/>
      <c r="M93" s="1769"/>
      <c r="N93" s="1767"/>
      <c r="O93" s="1766"/>
      <c r="P93" s="1766"/>
      <c r="Q93" s="1766"/>
      <c r="R93" s="1766"/>
      <c r="S93" s="1696"/>
      <c r="T93" s="1696"/>
      <c r="U93" s="1772"/>
      <c r="V93" s="1696"/>
      <c r="W93" s="1772"/>
      <c r="X93" s="1696"/>
      <c r="Y93" s="1696"/>
      <c r="Z93" s="1773"/>
    </row>
    <row r="94">
      <c r="A94" s="1767"/>
      <c r="B94" s="1767"/>
      <c r="C94" s="1767"/>
      <c r="D94" s="1767"/>
      <c r="E94" s="1767"/>
      <c r="F94" s="1767"/>
      <c r="G94" s="1767"/>
      <c r="H94" s="1774"/>
      <c r="I94" s="1774"/>
      <c r="J94" s="1769"/>
      <c r="K94" s="1769"/>
      <c r="L94" s="1769"/>
      <c r="M94" s="1769"/>
      <c r="N94" s="1774"/>
      <c r="O94" s="1765"/>
      <c r="P94" s="1765"/>
      <c r="Q94" s="1766"/>
      <c r="R94" s="1766"/>
      <c r="S94" s="1696"/>
      <c r="T94" s="1696"/>
      <c r="U94" s="1772"/>
      <c r="V94" s="1696"/>
      <c r="W94" s="1772"/>
      <c r="X94" s="1696"/>
      <c r="Y94" s="1696"/>
      <c r="Z94" s="1773"/>
    </row>
    <row r="95">
      <c r="A95" s="1767"/>
      <c r="B95" s="1767"/>
      <c r="C95" s="1767"/>
      <c r="D95" s="1767"/>
      <c r="E95" s="1767"/>
      <c r="F95" s="1767"/>
      <c r="G95" s="1767"/>
      <c r="H95" s="1767"/>
      <c r="I95" s="1767"/>
      <c r="J95" s="1768"/>
      <c r="K95" s="1768"/>
      <c r="L95" s="1769"/>
      <c r="M95" s="1769"/>
      <c r="N95" s="1767"/>
      <c r="O95" s="1770"/>
      <c r="P95" s="1771"/>
      <c r="Q95" s="1766"/>
      <c r="R95" s="1766"/>
      <c r="S95" s="1696"/>
      <c r="T95" s="1696"/>
      <c r="U95" s="1772"/>
      <c r="V95" s="1696"/>
      <c r="W95" s="1772"/>
      <c r="X95" s="1696"/>
      <c r="Y95" s="1696"/>
      <c r="Z95" s="1773"/>
    </row>
    <row r="96">
      <c r="A96" s="1767"/>
      <c r="B96" s="1767"/>
      <c r="C96" s="1767"/>
      <c r="D96" s="1767"/>
      <c r="E96" s="1767"/>
      <c r="F96" s="1767"/>
      <c r="G96" s="1767"/>
      <c r="H96" s="1767"/>
      <c r="I96" s="1767"/>
      <c r="J96" s="1768"/>
      <c r="K96" s="1768"/>
      <c r="L96" s="1769"/>
      <c r="M96" s="1769"/>
      <c r="N96" s="1767"/>
      <c r="O96" s="1766"/>
      <c r="P96" s="1766"/>
      <c r="Q96" s="1766"/>
      <c r="R96" s="1766"/>
      <c r="S96" s="1696"/>
      <c r="T96" s="1696"/>
      <c r="U96" s="1772"/>
      <c r="V96" s="1696"/>
      <c r="W96" s="1772"/>
      <c r="X96" s="1696"/>
      <c r="Y96" s="1696"/>
      <c r="Z96" s="1773"/>
    </row>
    <row r="97">
      <c r="A97" s="1767"/>
      <c r="B97" s="1767"/>
      <c r="C97" s="1767"/>
      <c r="D97" s="1767"/>
      <c r="E97" s="1767"/>
      <c r="F97" s="1767"/>
      <c r="G97" s="1767"/>
      <c r="H97" s="1767"/>
      <c r="I97" s="1767"/>
      <c r="J97" s="1768"/>
      <c r="K97" s="1768"/>
      <c r="L97" s="1769"/>
      <c r="M97" s="1769"/>
      <c r="N97" s="1767"/>
      <c r="O97" s="1765"/>
      <c r="P97" s="1765"/>
      <c r="Q97" s="1766"/>
      <c r="R97" s="1766"/>
      <c r="S97" s="1696"/>
      <c r="T97" s="1696"/>
      <c r="U97" s="1772"/>
      <c r="V97" s="1696"/>
      <c r="W97" s="1772"/>
      <c r="X97" s="1696"/>
      <c r="Y97" s="1696"/>
      <c r="Z97" s="1773"/>
    </row>
    <row r="98">
      <c r="A98" s="1767"/>
      <c r="B98" s="1767"/>
      <c r="C98" s="1767"/>
      <c r="D98" s="1767"/>
      <c r="E98" s="1767"/>
      <c r="F98" s="1767"/>
      <c r="G98" s="1767"/>
      <c r="H98" s="1767"/>
      <c r="I98" s="1767"/>
      <c r="J98" s="1768"/>
      <c r="K98" s="1768"/>
      <c r="L98" s="1769"/>
      <c r="M98" s="1769"/>
      <c r="N98" s="1767"/>
      <c r="O98" s="1770"/>
      <c r="P98" s="1771"/>
      <c r="Q98" s="1766"/>
      <c r="R98" s="1766"/>
      <c r="S98" s="1696"/>
      <c r="T98" s="1696"/>
      <c r="U98" s="1772"/>
      <c r="V98" s="1696"/>
      <c r="W98" s="1772"/>
      <c r="X98" s="1696"/>
      <c r="Y98" s="1696"/>
      <c r="Z98" s="1773"/>
    </row>
    <row r="99">
      <c r="A99" s="1767"/>
      <c r="B99" s="1767"/>
      <c r="C99" s="1767"/>
      <c r="D99" s="1767"/>
      <c r="E99" s="1767"/>
      <c r="F99" s="1767"/>
      <c r="G99" s="1767"/>
      <c r="H99" s="1767"/>
      <c r="I99" s="1767"/>
      <c r="J99" s="1768"/>
      <c r="K99" s="1768"/>
      <c r="L99" s="1769"/>
      <c r="M99" s="1769"/>
      <c r="N99" s="1767"/>
      <c r="O99" s="1766"/>
      <c r="P99" s="1766"/>
      <c r="Q99" s="1766"/>
      <c r="R99" s="1766"/>
      <c r="S99" s="1696"/>
      <c r="T99" s="1696"/>
      <c r="U99" s="1772"/>
      <c r="V99" s="1696"/>
      <c r="W99" s="1772"/>
      <c r="X99" s="1696"/>
      <c r="Y99" s="1696"/>
      <c r="Z99" s="1773"/>
    </row>
    <row r="100">
      <c r="A100" s="1767"/>
      <c r="B100" s="1767"/>
      <c r="C100" s="1767"/>
      <c r="D100" s="1767"/>
      <c r="E100" s="1767"/>
      <c r="F100" s="1767"/>
      <c r="G100" s="1767"/>
      <c r="H100" s="1774"/>
      <c r="I100" s="1774"/>
      <c r="J100" s="1769"/>
      <c r="K100" s="1769"/>
      <c r="L100" s="1769"/>
      <c r="M100" s="1769"/>
      <c r="N100" s="1774"/>
      <c r="O100" s="1765"/>
      <c r="P100" s="1765"/>
      <c r="Q100" s="1766"/>
      <c r="R100" s="1766"/>
      <c r="S100" s="1696"/>
      <c r="T100" s="1696"/>
      <c r="U100" s="1772"/>
      <c r="V100" s="1696"/>
      <c r="W100" s="1772"/>
      <c r="X100" s="1696"/>
      <c r="Y100" s="1696"/>
      <c r="Z100" s="1773"/>
    </row>
    <row r="101">
      <c r="A101" s="1767"/>
      <c r="B101" s="1767"/>
      <c r="C101" s="1767"/>
      <c r="D101" s="1767"/>
      <c r="E101" s="1767"/>
      <c r="F101" s="1767"/>
      <c r="G101" s="1767"/>
      <c r="H101" s="1774"/>
      <c r="I101" s="1776"/>
      <c r="J101" s="1769"/>
      <c r="K101" s="1769"/>
      <c r="L101" s="1769"/>
      <c r="M101" s="1769"/>
      <c r="N101" s="1775"/>
      <c r="O101" s="1770"/>
      <c r="P101" s="1771"/>
      <c r="Q101" s="1766"/>
      <c r="R101" s="1766"/>
      <c r="S101" s="1696"/>
      <c r="T101" s="1696"/>
      <c r="U101" s="1772"/>
      <c r="V101" s="1696"/>
      <c r="W101" s="1772"/>
      <c r="X101" s="1696"/>
      <c r="Y101" s="1696"/>
      <c r="Z101" s="1773"/>
    </row>
    <row r="102">
      <c r="A102" s="1767"/>
      <c r="B102" s="1767"/>
      <c r="C102" s="1767"/>
      <c r="D102" s="1767"/>
      <c r="E102" s="1767"/>
      <c r="F102" s="1767"/>
      <c r="G102" s="1767"/>
      <c r="H102" s="1774"/>
      <c r="I102" s="1774"/>
      <c r="J102" s="1769"/>
      <c r="K102" s="1769"/>
      <c r="L102" s="1769"/>
      <c r="M102" s="1769"/>
      <c r="N102" s="1775"/>
      <c r="O102" s="1766"/>
      <c r="P102" s="1766"/>
      <c r="Q102" s="1766"/>
      <c r="R102" s="1766"/>
      <c r="S102" s="1696"/>
      <c r="T102" s="1696"/>
      <c r="U102" s="1772"/>
      <c r="V102" s="1696"/>
      <c r="W102" s="1772"/>
      <c r="X102" s="1696"/>
      <c r="Y102" s="1696"/>
      <c r="Z102" s="1773"/>
    </row>
    <row r="103">
      <c r="A103" s="1767"/>
      <c r="B103" s="1767"/>
      <c r="C103" s="1767"/>
      <c r="D103" s="1767"/>
      <c r="E103" s="1767"/>
      <c r="F103" s="1767"/>
      <c r="G103" s="1767"/>
      <c r="H103" s="1774"/>
      <c r="I103" s="1774"/>
      <c r="J103" s="1769"/>
      <c r="K103" s="1769"/>
      <c r="L103" s="1769"/>
      <c r="M103" s="1769"/>
      <c r="N103" s="1774"/>
      <c r="O103" s="1765"/>
      <c r="P103" s="1765"/>
      <c r="Q103" s="1766"/>
      <c r="R103" s="1766"/>
      <c r="S103" s="1696"/>
      <c r="T103" s="1696"/>
      <c r="U103" s="1772"/>
      <c r="V103" s="1696"/>
      <c r="W103" s="1772"/>
      <c r="X103" s="1696"/>
      <c r="Y103" s="1696"/>
      <c r="Z103" s="1773"/>
    </row>
    <row r="104">
      <c r="A104" s="1767"/>
      <c r="B104" s="1767"/>
      <c r="C104" s="1767"/>
      <c r="D104" s="1767"/>
      <c r="E104" s="1767"/>
      <c r="F104" s="1767"/>
      <c r="G104" s="1767"/>
      <c r="H104" s="1774"/>
      <c r="I104" s="1776"/>
      <c r="J104" s="1769"/>
      <c r="K104" s="1769"/>
      <c r="L104" s="1769"/>
      <c r="M104" s="1769"/>
      <c r="N104" s="1775"/>
      <c r="O104" s="1770"/>
      <c r="P104" s="1771"/>
      <c r="Q104" s="1766"/>
      <c r="R104" s="1766"/>
      <c r="S104" s="1696"/>
      <c r="T104" s="1696"/>
      <c r="U104" s="1772"/>
      <c r="V104" s="1696"/>
      <c r="W104" s="1772"/>
      <c r="X104" s="1696"/>
      <c r="Y104" s="1696"/>
      <c r="Z104" s="1773"/>
    </row>
    <row r="105">
      <c r="A105" s="1767"/>
      <c r="B105" s="1767"/>
      <c r="C105" s="1767"/>
      <c r="D105" s="1767"/>
      <c r="E105" s="1767"/>
      <c r="F105" s="1767"/>
      <c r="G105" s="1767"/>
      <c r="H105" s="1774"/>
      <c r="I105" s="1774"/>
      <c r="J105" s="1769"/>
      <c r="K105" s="1769"/>
      <c r="L105" s="1769"/>
      <c r="M105" s="1769"/>
      <c r="N105" s="1775"/>
      <c r="O105" s="1766"/>
      <c r="P105" s="1766"/>
      <c r="Q105" s="1766"/>
      <c r="R105" s="1766"/>
      <c r="S105" s="1696"/>
      <c r="T105" s="1696"/>
      <c r="U105" s="1772"/>
      <c r="V105" s="1696"/>
      <c r="W105" s="1772"/>
      <c r="X105" s="1696"/>
      <c r="Y105" s="1696"/>
      <c r="Z105" s="1773"/>
    </row>
    <row r="106">
      <c r="A106" s="1767"/>
      <c r="B106" s="1767"/>
      <c r="C106" s="1767"/>
      <c r="D106" s="1767"/>
      <c r="E106" s="1767"/>
      <c r="F106" s="1767"/>
      <c r="G106" s="1767"/>
      <c r="H106" s="1774"/>
      <c r="I106" s="1774"/>
      <c r="J106" s="1769"/>
      <c r="K106" s="1769"/>
      <c r="L106" s="1769"/>
      <c r="M106" s="1769"/>
      <c r="N106" s="1774"/>
      <c r="O106" s="1765"/>
      <c r="P106" s="1765"/>
      <c r="Q106" s="1766"/>
      <c r="R106" s="1766"/>
      <c r="S106" s="1696"/>
      <c r="U106" s="1772"/>
      <c r="V106" s="1696"/>
      <c r="W106" s="1772"/>
      <c r="X106" s="1696"/>
      <c r="Y106" s="1696"/>
      <c r="Z106" s="1773"/>
    </row>
    <row r="107">
      <c r="A107" s="1767"/>
      <c r="B107" s="1767"/>
      <c r="C107" s="1767"/>
      <c r="D107" s="1767"/>
      <c r="E107" s="1767"/>
      <c r="F107" s="1767"/>
      <c r="G107" s="1767"/>
      <c r="H107" s="1774"/>
      <c r="I107" s="1776"/>
      <c r="J107" s="1769"/>
      <c r="K107" s="1769"/>
      <c r="L107" s="1769"/>
      <c r="M107" s="1769"/>
      <c r="N107" s="1774"/>
      <c r="O107" s="1770"/>
      <c r="P107" s="1771"/>
      <c r="Q107" s="1766"/>
      <c r="R107" s="1766"/>
      <c r="S107" s="1696"/>
      <c r="T107" s="1696"/>
      <c r="U107" s="1772"/>
      <c r="V107" s="1696"/>
      <c r="W107" s="1772"/>
      <c r="X107" s="1696"/>
      <c r="Y107" s="1696"/>
      <c r="Z107" s="1773"/>
    </row>
    <row r="108">
      <c r="A108" s="1767"/>
      <c r="B108" s="1767"/>
      <c r="C108" s="1767"/>
      <c r="D108" s="1767"/>
      <c r="E108" s="1767"/>
      <c r="F108" s="1767"/>
      <c r="G108" s="1767"/>
      <c r="H108" s="1774"/>
      <c r="I108" s="1774"/>
      <c r="J108" s="1769"/>
      <c r="K108" s="1769"/>
      <c r="L108" s="1769"/>
      <c r="M108" s="1769"/>
      <c r="N108" s="1774"/>
      <c r="O108" s="1766"/>
      <c r="P108" s="1766"/>
      <c r="Q108" s="1766"/>
      <c r="R108" s="1766"/>
      <c r="S108" s="1696"/>
      <c r="T108" s="1696"/>
      <c r="U108" s="1772"/>
      <c r="V108" s="1696"/>
      <c r="W108" s="1772"/>
      <c r="X108" s="1696"/>
      <c r="Y108" s="1696"/>
      <c r="Z108" s="1773"/>
    </row>
    <row r="109">
      <c r="A109" s="1767"/>
      <c r="B109" s="1767"/>
      <c r="C109" s="1767"/>
      <c r="D109" s="1767"/>
      <c r="E109" s="1767"/>
      <c r="F109" s="1767"/>
      <c r="G109" s="1767"/>
      <c r="H109" s="1774"/>
      <c r="I109" s="1774"/>
      <c r="J109" s="1769"/>
      <c r="K109" s="1769"/>
      <c r="L109" s="1769"/>
      <c r="M109" s="1769"/>
      <c r="N109" s="1774"/>
      <c r="O109" s="1765"/>
      <c r="P109" s="1765"/>
      <c r="Q109" s="1766"/>
      <c r="R109" s="1766"/>
      <c r="S109" s="1696"/>
      <c r="T109" s="1696"/>
      <c r="U109" s="1772"/>
      <c r="V109" s="1696"/>
      <c r="W109" s="1772"/>
      <c r="X109" s="1696"/>
      <c r="Y109" s="1696"/>
      <c r="Z109" s="1773"/>
    </row>
    <row r="110">
      <c r="A110" s="1767"/>
      <c r="B110" s="1767"/>
      <c r="C110" s="1767"/>
      <c r="D110" s="1767"/>
      <c r="E110" s="1767"/>
      <c r="F110" s="1767"/>
      <c r="G110" s="1767"/>
      <c r="H110" s="1774"/>
      <c r="I110" s="1776"/>
      <c r="J110" s="1769"/>
      <c r="K110" s="1769"/>
      <c r="L110" s="1769"/>
      <c r="M110" s="1769"/>
      <c r="N110" s="1774"/>
      <c r="O110" s="1770"/>
      <c r="P110" s="1771"/>
      <c r="Q110" s="1766"/>
      <c r="R110" s="1766"/>
      <c r="S110" s="1696"/>
      <c r="T110" s="1696"/>
      <c r="U110" s="1772"/>
      <c r="V110" s="1696"/>
      <c r="W110" s="1772"/>
      <c r="X110" s="1696"/>
      <c r="Y110" s="1696"/>
      <c r="Z110" s="1696"/>
    </row>
    <row r="111">
      <c r="A111" s="1767"/>
      <c r="B111" s="1767"/>
      <c r="C111" s="1767"/>
      <c r="D111" s="1767"/>
      <c r="E111" s="1767"/>
      <c r="F111" s="1767"/>
      <c r="G111" s="1767"/>
      <c r="H111" s="1774"/>
      <c r="I111" s="1774"/>
      <c r="J111" s="1769"/>
      <c r="K111" s="1769"/>
      <c r="L111" s="1769"/>
      <c r="M111" s="1769"/>
      <c r="N111" s="1775"/>
      <c r="O111" s="1766"/>
      <c r="P111" s="1766"/>
      <c r="Q111" s="1766"/>
      <c r="R111" s="1766"/>
      <c r="S111" s="1696"/>
      <c r="T111" s="1696"/>
      <c r="U111" s="1772"/>
      <c r="V111" s="1696"/>
      <c r="W111" s="1772"/>
      <c r="X111" s="1696"/>
      <c r="Y111" s="1696"/>
      <c r="Z111" s="1696"/>
    </row>
    <row r="112">
      <c r="A112" s="1767"/>
      <c r="B112" s="1767"/>
      <c r="C112" s="1767"/>
      <c r="D112" s="1767"/>
      <c r="E112" s="1767"/>
      <c r="F112" s="1767"/>
      <c r="G112" s="1767"/>
      <c r="H112" s="1774"/>
      <c r="I112" s="1774"/>
      <c r="J112" s="1769"/>
      <c r="K112" s="1769"/>
      <c r="L112" s="1769"/>
      <c r="M112" s="1769"/>
      <c r="N112" s="1774"/>
      <c r="O112" s="1765"/>
      <c r="P112" s="1765"/>
      <c r="Q112" s="1766"/>
      <c r="R112" s="1766"/>
      <c r="S112" s="1696"/>
      <c r="T112" s="1696"/>
      <c r="U112" s="1772"/>
      <c r="V112" s="1696"/>
      <c r="W112" s="1772"/>
      <c r="X112" s="1696"/>
      <c r="Y112" s="1696"/>
      <c r="Z112" s="1696"/>
    </row>
    <row r="113">
      <c r="A113" s="1767"/>
      <c r="B113" s="1767"/>
      <c r="C113" s="1767"/>
      <c r="D113" s="1767"/>
      <c r="E113" s="1767"/>
      <c r="F113" s="1767"/>
      <c r="G113" s="1767"/>
      <c r="H113" s="1767"/>
      <c r="I113" s="1767"/>
      <c r="J113" s="1768"/>
      <c r="K113" s="1768"/>
      <c r="L113" s="1769"/>
      <c r="M113" s="1769"/>
      <c r="N113" s="1767"/>
      <c r="O113" s="1770"/>
      <c r="P113" s="1771"/>
      <c r="Q113" s="1766"/>
      <c r="R113" s="1766"/>
      <c r="S113" s="1696"/>
      <c r="T113" s="1696"/>
      <c r="U113" s="1772"/>
      <c r="V113" s="1696"/>
      <c r="W113" s="1772"/>
      <c r="X113" s="1696"/>
      <c r="Y113" s="1696"/>
      <c r="Z113" s="1773"/>
    </row>
    <row r="114">
      <c r="A114" s="1767"/>
      <c r="B114" s="1767"/>
      <c r="C114" s="1767"/>
      <c r="D114" s="1767"/>
      <c r="E114" s="1767"/>
      <c r="F114" s="1767"/>
      <c r="G114" s="1767"/>
      <c r="H114" s="1767"/>
      <c r="I114" s="1767"/>
      <c r="J114" s="1768"/>
      <c r="K114" s="1768"/>
      <c r="L114" s="1769"/>
      <c r="M114" s="1769"/>
      <c r="N114" s="1767"/>
      <c r="O114" s="1766"/>
      <c r="P114" s="1766"/>
      <c r="Q114" s="1766"/>
      <c r="R114" s="1766"/>
      <c r="S114" s="1696"/>
      <c r="T114" s="1696"/>
      <c r="U114" s="1772"/>
      <c r="V114" s="1696"/>
      <c r="W114" s="1772"/>
      <c r="X114" s="1696"/>
      <c r="Y114" s="1696"/>
      <c r="Z114" s="1773"/>
    </row>
    <row r="115">
      <c r="A115" s="1767"/>
      <c r="B115" s="1767"/>
      <c r="C115" s="1767"/>
      <c r="D115" s="1767"/>
      <c r="E115" s="1767"/>
      <c r="F115" s="1767"/>
      <c r="G115" s="1767"/>
      <c r="H115" s="1767"/>
      <c r="I115" s="1767"/>
      <c r="J115" s="1768"/>
      <c r="K115" s="1768"/>
      <c r="L115" s="1769"/>
      <c r="M115" s="1769"/>
      <c r="N115" s="1767"/>
      <c r="O115" s="1765"/>
      <c r="P115" s="1765"/>
      <c r="Q115" s="1766"/>
      <c r="R115" s="1766"/>
      <c r="S115" s="1696"/>
      <c r="T115" s="1696"/>
      <c r="U115" s="1772"/>
      <c r="V115" s="1696"/>
      <c r="W115" s="1772"/>
      <c r="X115" s="1696"/>
      <c r="Y115" s="1696"/>
      <c r="Z115" s="1773"/>
    </row>
    <row r="116">
      <c r="A116" s="1767"/>
      <c r="B116" s="1767"/>
      <c r="C116" s="1767"/>
      <c r="D116" s="1767"/>
      <c r="E116" s="1767"/>
      <c r="F116" s="1767"/>
      <c r="G116" s="1767"/>
      <c r="H116" s="1774"/>
      <c r="I116" s="1776"/>
      <c r="J116" s="1769"/>
      <c r="K116" s="1769"/>
      <c r="L116" s="1769"/>
      <c r="M116" s="1769"/>
      <c r="N116" s="1775"/>
      <c r="O116" s="1770"/>
      <c r="P116" s="1771"/>
      <c r="Q116" s="1766"/>
      <c r="R116" s="1766"/>
      <c r="S116" s="1696"/>
      <c r="T116" s="1696"/>
      <c r="U116" s="1772"/>
      <c r="V116" s="1696"/>
      <c r="W116" s="1772"/>
      <c r="X116" s="1696"/>
      <c r="Y116" s="1696"/>
      <c r="Z116" s="1773"/>
    </row>
    <row r="117">
      <c r="A117" s="1767"/>
      <c r="B117" s="1767"/>
      <c r="C117" s="1767"/>
      <c r="D117" s="1767"/>
      <c r="E117" s="1767"/>
      <c r="F117" s="1767"/>
      <c r="G117" s="1767"/>
      <c r="H117" s="1767"/>
      <c r="I117" s="1767"/>
      <c r="J117" s="1768"/>
      <c r="K117" s="1768"/>
      <c r="L117" s="1769"/>
      <c r="M117" s="1769"/>
      <c r="N117" s="1767"/>
      <c r="O117" s="1766"/>
      <c r="P117" s="1766"/>
      <c r="Q117" s="1766"/>
      <c r="R117" s="1766"/>
      <c r="S117" s="1696"/>
      <c r="T117" s="1696"/>
      <c r="U117" s="1772"/>
      <c r="V117" s="1696"/>
      <c r="W117" s="1772"/>
      <c r="X117" s="1696"/>
      <c r="Y117" s="1696"/>
      <c r="Z117" s="1773"/>
    </row>
    <row r="118">
      <c r="A118" s="1767"/>
      <c r="B118" s="1767"/>
      <c r="C118" s="1767"/>
      <c r="D118" s="1767"/>
      <c r="E118" s="1767"/>
      <c r="F118" s="1767"/>
      <c r="G118" s="1767"/>
      <c r="H118" s="1767"/>
      <c r="I118" s="1767"/>
      <c r="J118" s="1768"/>
      <c r="K118" s="1768"/>
      <c r="L118" s="1769"/>
      <c r="M118" s="1769"/>
      <c r="N118" s="1767"/>
      <c r="O118" s="1765"/>
      <c r="P118" s="1765"/>
      <c r="Q118" s="1766"/>
      <c r="R118" s="1766"/>
      <c r="S118" s="1696"/>
      <c r="T118" s="1696"/>
      <c r="U118" s="1772"/>
      <c r="V118" s="1696"/>
      <c r="W118" s="1772"/>
      <c r="X118" s="1696"/>
      <c r="Y118" s="1696"/>
      <c r="Z118" s="1773"/>
    </row>
    <row r="119">
      <c r="A119" s="1767"/>
      <c r="B119" s="1767"/>
      <c r="C119" s="1767"/>
      <c r="D119" s="1767"/>
      <c r="E119" s="1767"/>
      <c r="F119" s="1767"/>
      <c r="G119" s="1767"/>
      <c r="H119" s="1767"/>
      <c r="I119" s="1767"/>
      <c r="J119" s="1768"/>
      <c r="K119" s="1768"/>
      <c r="L119" s="1769"/>
      <c r="M119" s="1769"/>
      <c r="N119" s="1767"/>
      <c r="O119" s="1770"/>
      <c r="P119" s="1771"/>
      <c r="Q119" s="1766"/>
      <c r="R119" s="1766"/>
      <c r="S119" s="1696"/>
      <c r="T119" s="1696"/>
      <c r="U119" s="1772"/>
      <c r="V119" s="1696"/>
      <c r="W119" s="1772"/>
      <c r="X119" s="1696"/>
      <c r="Y119" s="1696"/>
      <c r="Z119" s="1773"/>
    </row>
    <row r="120">
      <c r="A120" s="1767"/>
      <c r="B120" s="1767"/>
      <c r="C120" s="1767"/>
      <c r="D120" s="1767"/>
      <c r="E120" s="1767"/>
      <c r="F120" s="1767"/>
      <c r="G120" s="1767"/>
      <c r="H120" s="1767"/>
      <c r="I120" s="1767"/>
      <c r="J120" s="1768"/>
      <c r="K120" s="1768"/>
      <c r="L120" s="1769"/>
      <c r="M120" s="1769"/>
      <c r="N120" s="1767"/>
      <c r="O120" s="1766"/>
      <c r="P120" s="1766"/>
      <c r="Q120" s="1766"/>
      <c r="R120" s="1766"/>
      <c r="S120" s="1696"/>
      <c r="T120" s="1696"/>
      <c r="U120" s="1772"/>
      <c r="V120" s="1696"/>
      <c r="W120" s="1772"/>
      <c r="X120" s="1696"/>
      <c r="Y120" s="1696"/>
      <c r="Z120" s="1773"/>
    </row>
    <row r="121">
      <c r="A121" s="1767"/>
      <c r="B121" s="1767"/>
      <c r="C121" s="1767"/>
      <c r="D121" s="1767"/>
      <c r="E121" s="1767"/>
      <c r="F121" s="1767"/>
      <c r="G121" s="1767"/>
      <c r="H121" s="1767"/>
      <c r="I121" s="1767"/>
      <c r="J121" s="1769"/>
      <c r="K121" s="1769"/>
      <c r="L121" s="1769"/>
      <c r="M121" s="1769"/>
      <c r="N121" s="1767"/>
      <c r="O121" s="1765"/>
      <c r="P121" s="1765"/>
      <c r="Q121" s="1766"/>
      <c r="R121" s="1766"/>
      <c r="S121" s="1696"/>
      <c r="T121" s="1696"/>
      <c r="U121" s="1772"/>
      <c r="V121" s="1696"/>
      <c r="W121" s="1772"/>
      <c r="X121" s="1696"/>
      <c r="Y121" s="1696"/>
      <c r="Z121" s="1773"/>
    </row>
    <row r="122">
      <c r="A122" s="1767"/>
      <c r="B122" s="1767"/>
      <c r="C122" s="1767"/>
      <c r="D122" s="1767"/>
      <c r="E122" s="1767"/>
      <c r="F122" s="1767"/>
      <c r="G122" s="1767"/>
      <c r="H122" s="1767"/>
      <c r="I122" s="1767"/>
      <c r="J122" s="1768"/>
      <c r="K122" s="1768"/>
      <c r="L122" s="1769"/>
      <c r="M122" s="1769"/>
      <c r="N122" s="1767"/>
      <c r="O122" s="1770"/>
      <c r="P122" s="1771"/>
      <c r="Q122" s="1766"/>
      <c r="R122" s="1766"/>
      <c r="S122" s="1696"/>
      <c r="T122" s="1696"/>
      <c r="U122" s="1772"/>
      <c r="V122" s="1696"/>
      <c r="W122" s="1772"/>
      <c r="X122" s="1696"/>
      <c r="Y122" s="1696"/>
      <c r="Z122" s="1773"/>
    </row>
    <row r="123">
      <c r="A123" s="1767"/>
      <c r="B123" s="1767"/>
      <c r="C123" s="1767"/>
      <c r="D123" s="1767"/>
      <c r="E123" s="1767"/>
      <c r="F123" s="1767"/>
      <c r="G123" s="1767"/>
      <c r="H123" s="1767"/>
      <c r="I123" s="1767"/>
      <c r="J123" s="1768"/>
      <c r="K123" s="1768"/>
      <c r="L123" s="1769"/>
      <c r="M123" s="1769"/>
      <c r="N123" s="1767"/>
      <c r="O123" s="1766"/>
      <c r="P123" s="1766"/>
      <c r="Q123" s="1766"/>
      <c r="R123" s="1766"/>
      <c r="S123" s="1696"/>
      <c r="T123" s="1696"/>
      <c r="U123" s="1772"/>
      <c r="V123" s="1696"/>
      <c r="W123" s="1772"/>
      <c r="X123" s="1696"/>
      <c r="Y123" s="1696"/>
      <c r="Z123" s="1773"/>
    </row>
    <row r="124">
      <c r="A124" s="1767"/>
      <c r="B124" s="1767"/>
      <c r="C124" s="1767"/>
      <c r="D124" s="1767"/>
      <c r="E124" s="1767"/>
      <c r="F124" s="1767"/>
      <c r="G124" s="1767"/>
      <c r="H124" s="1767"/>
      <c r="I124" s="1767"/>
      <c r="J124" s="1768"/>
      <c r="K124" s="1768"/>
      <c r="L124" s="1769"/>
      <c r="M124" s="1769"/>
      <c r="N124" s="1767"/>
      <c r="O124" s="1765"/>
      <c r="P124" s="1765"/>
      <c r="Q124" s="1766"/>
      <c r="R124" s="1766"/>
      <c r="S124" s="1696"/>
      <c r="T124" s="1696"/>
      <c r="U124" s="1772"/>
      <c r="V124" s="1696"/>
      <c r="W124" s="1772"/>
      <c r="X124" s="1696"/>
      <c r="Y124" s="1696"/>
      <c r="Z124" s="1773"/>
    </row>
    <row r="125">
      <c r="A125" s="1767"/>
      <c r="B125" s="1767"/>
      <c r="C125" s="1767"/>
      <c r="D125" s="1767"/>
      <c r="E125" s="1767"/>
      <c r="F125" s="1767"/>
      <c r="G125" s="1767"/>
      <c r="H125" s="1767"/>
      <c r="I125" s="1767"/>
      <c r="J125" s="1768"/>
      <c r="K125" s="1768"/>
      <c r="L125" s="1769"/>
      <c r="M125" s="1769"/>
      <c r="N125" s="1767"/>
      <c r="O125" s="1770"/>
      <c r="P125" s="1771"/>
      <c r="Q125" s="1766"/>
      <c r="R125" s="1766"/>
      <c r="S125" s="1696"/>
      <c r="T125" s="1696"/>
      <c r="U125" s="1772"/>
      <c r="V125" s="1696"/>
      <c r="W125" s="1772"/>
      <c r="X125" s="1696"/>
      <c r="Y125" s="1696"/>
      <c r="Z125" s="1773"/>
    </row>
    <row r="126">
      <c r="A126" s="1767"/>
      <c r="B126" s="1767"/>
      <c r="C126" s="1767"/>
      <c r="D126" s="1767"/>
      <c r="E126" s="1767"/>
      <c r="F126" s="1767"/>
      <c r="G126" s="1767"/>
      <c r="H126" s="1767"/>
      <c r="I126" s="1767"/>
      <c r="J126" s="1768"/>
      <c r="K126" s="1768"/>
      <c r="L126" s="1769"/>
      <c r="M126" s="1769"/>
      <c r="N126" s="1767"/>
      <c r="O126" s="1766"/>
      <c r="P126" s="1766"/>
      <c r="Q126" s="1766"/>
      <c r="R126" s="1766"/>
      <c r="S126" s="1696"/>
      <c r="T126" s="1696"/>
      <c r="U126" s="1772"/>
      <c r="V126" s="1696"/>
      <c r="W126" s="1772"/>
      <c r="X126" s="1696"/>
      <c r="Y126" s="1696"/>
      <c r="Z126" s="1773"/>
    </row>
    <row r="127">
      <c r="A127" s="1767"/>
      <c r="B127" s="1767"/>
      <c r="C127" s="1767"/>
      <c r="D127" s="1767"/>
      <c r="E127" s="1767"/>
      <c r="F127" s="1767"/>
      <c r="G127" s="1767"/>
      <c r="H127" s="1767"/>
      <c r="I127" s="1767"/>
      <c r="J127" s="1768"/>
      <c r="K127" s="1768"/>
      <c r="L127" s="1769"/>
      <c r="M127" s="1769"/>
      <c r="N127" s="1767"/>
      <c r="O127" s="1765"/>
      <c r="P127" s="1765"/>
      <c r="Q127" s="1766"/>
      <c r="R127" s="1766"/>
      <c r="S127" s="1696"/>
      <c r="T127" s="1696"/>
      <c r="U127" s="1772"/>
      <c r="V127" s="1696"/>
      <c r="W127" s="1772"/>
      <c r="X127" s="1696"/>
      <c r="Y127" s="1696"/>
      <c r="Z127" s="1773"/>
    </row>
    <row r="128">
      <c r="A128" s="1767"/>
      <c r="B128" s="1767"/>
      <c r="C128" s="1767"/>
      <c r="D128" s="1767"/>
      <c r="E128" s="1767"/>
      <c r="F128" s="1767"/>
      <c r="G128" s="1767"/>
      <c r="H128" s="1767"/>
      <c r="I128" s="1767"/>
      <c r="J128" s="1768"/>
      <c r="K128" s="1768"/>
      <c r="L128" s="1769"/>
      <c r="M128" s="1769"/>
      <c r="N128" s="1767"/>
      <c r="O128" s="1770"/>
      <c r="P128" s="1771"/>
      <c r="Q128" s="1766"/>
      <c r="R128" s="1766"/>
      <c r="S128" s="1696"/>
      <c r="T128" s="1696"/>
      <c r="U128" s="1772"/>
      <c r="V128" s="1696"/>
      <c r="W128" s="1772"/>
      <c r="X128" s="1696"/>
      <c r="Y128" s="1696"/>
      <c r="Z128" s="1773"/>
    </row>
    <row r="129">
      <c r="A129" s="1767"/>
      <c r="B129" s="1767"/>
      <c r="C129" s="1767"/>
      <c r="D129" s="1767"/>
      <c r="E129" s="1767"/>
      <c r="F129" s="1767"/>
      <c r="G129" s="1767"/>
      <c r="H129" s="1767"/>
      <c r="I129" s="1767"/>
      <c r="J129" s="1768"/>
      <c r="K129" s="1768"/>
      <c r="L129" s="1769"/>
      <c r="M129" s="1769"/>
      <c r="N129" s="1767"/>
      <c r="O129" s="1766"/>
      <c r="P129" s="1766"/>
      <c r="Q129" s="1766"/>
      <c r="R129" s="1766"/>
      <c r="S129" s="1696"/>
      <c r="T129" s="1696"/>
      <c r="U129" s="1772"/>
      <c r="V129" s="1696"/>
      <c r="W129" s="1772"/>
      <c r="X129" s="1696"/>
      <c r="Y129" s="1696"/>
      <c r="Z129" s="1773"/>
    </row>
    <row r="130">
      <c r="A130" s="1767"/>
      <c r="B130" s="1767"/>
      <c r="C130" s="1767"/>
      <c r="D130" s="1767"/>
      <c r="E130" s="1767"/>
      <c r="F130" s="1767"/>
      <c r="G130" s="1767"/>
      <c r="H130" s="1767"/>
      <c r="I130" s="1767"/>
      <c r="J130" s="1769"/>
      <c r="K130" s="1769"/>
      <c r="L130" s="1769"/>
      <c r="M130" s="1769"/>
      <c r="N130" s="1767"/>
      <c r="O130" s="1765"/>
      <c r="P130" s="1765"/>
      <c r="Q130" s="1766"/>
      <c r="R130" s="1766"/>
      <c r="S130" s="1696"/>
      <c r="T130" s="1696"/>
      <c r="U130" s="1772"/>
      <c r="V130" s="1696"/>
      <c r="W130" s="1772"/>
      <c r="X130" s="1696"/>
      <c r="Y130" s="1696"/>
      <c r="Z130" s="1773"/>
    </row>
    <row r="131">
      <c r="A131" s="1767"/>
      <c r="B131" s="1767"/>
      <c r="C131" s="1767"/>
      <c r="D131" s="1767"/>
      <c r="E131" s="1767"/>
      <c r="F131" s="1767"/>
      <c r="G131" s="1767"/>
      <c r="H131" s="1767"/>
      <c r="I131" s="1767"/>
      <c r="J131" s="1769"/>
      <c r="K131" s="1769"/>
      <c r="L131" s="1769"/>
      <c r="M131" s="1769"/>
      <c r="N131" s="1767"/>
      <c r="O131" s="1770"/>
      <c r="P131" s="1771"/>
      <c r="Q131" s="1766"/>
      <c r="R131" s="1766"/>
      <c r="S131" s="1696"/>
      <c r="T131" s="1696"/>
      <c r="U131" s="1772"/>
      <c r="V131" s="1696"/>
      <c r="W131" s="1772"/>
      <c r="X131" s="1696"/>
      <c r="Y131" s="1696"/>
      <c r="Z131" s="1773"/>
    </row>
    <row r="132">
      <c r="A132" s="1767"/>
      <c r="B132" s="1767"/>
      <c r="C132" s="1767"/>
      <c r="D132" s="1767"/>
      <c r="E132" s="1767"/>
      <c r="F132" s="1767"/>
      <c r="G132" s="1767"/>
      <c r="H132" s="1767"/>
      <c r="I132" s="1767"/>
      <c r="J132" s="1769"/>
      <c r="K132" s="1769"/>
      <c r="L132" s="1769"/>
      <c r="M132" s="1769"/>
      <c r="N132" s="1767"/>
      <c r="O132" s="1766"/>
      <c r="P132" s="1766"/>
      <c r="Q132" s="1766"/>
      <c r="R132" s="1766"/>
      <c r="S132" s="1696"/>
      <c r="T132" s="1696"/>
      <c r="U132" s="1772"/>
      <c r="V132" s="1696"/>
      <c r="W132" s="1772"/>
      <c r="X132" s="1696"/>
      <c r="Y132" s="1696"/>
      <c r="Z132" s="1773"/>
    </row>
    <row r="133">
      <c r="A133" s="1767"/>
      <c r="B133" s="1767"/>
      <c r="C133" s="1767"/>
      <c r="D133" s="1767"/>
      <c r="E133" s="1767"/>
      <c r="F133" s="1767"/>
      <c r="G133" s="1767"/>
      <c r="H133" s="1767"/>
      <c r="I133" s="1767"/>
      <c r="J133" s="1769"/>
      <c r="K133" s="1769"/>
      <c r="L133" s="1769"/>
      <c r="M133" s="1769"/>
      <c r="N133" s="1767"/>
      <c r="O133" s="1765"/>
      <c r="P133" s="1765"/>
      <c r="Q133" s="1766"/>
      <c r="R133" s="1766"/>
      <c r="S133" s="1696"/>
      <c r="T133" s="1696"/>
      <c r="U133" s="1772"/>
      <c r="V133" s="1696"/>
      <c r="W133" s="1772"/>
      <c r="X133" s="1696"/>
      <c r="Y133" s="1696"/>
      <c r="Z133" s="1773"/>
    </row>
    <row r="134">
      <c r="A134" s="1767"/>
      <c r="B134" s="1767"/>
      <c r="C134" s="1767"/>
      <c r="D134" s="1767"/>
      <c r="E134" s="1767"/>
      <c r="F134" s="1767"/>
      <c r="G134" s="1767"/>
      <c r="H134" s="1767"/>
      <c r="I134" s="1767"/>
      <c r="J134" s="1769"/>
      <c r="K134" s="1769"/>
      <c r="L134" s="1769"/>
      <c r="M134" s="1769"/>
      <c r="N134" s="1767"/>
      <c r="O134" s="1770"/>
      <c r="P134" s="1771"/>
      <c r="Q134" s="1766"/>
      <c r="R134" s="1766"/>
      <c r="S134" s="1696"/>
      <c r="T134" s="1696"/>
      <c r="U134" s="1772"/>
      <c r="V134" s="1696"/>
      <c r="W134" s="1772"/>
      <c r="X134" s="1696"/>
      <c r="Y134" s="1696"/>
      <c r="Z134" s="1773"/>
    </row>
    <row r="135">
      <c r="A135" s="1767"/>
      <c r="B135" s="1767"/>
      <c r="C135" s="1767"/>
      <c r="D135" s="1767"/>
      <c r="E135" s="1767"/>
      <c r="F135" s="1767"/>
      <c r="G135" s="1767"/>
      <c r="H135" s="1774"/>
      <c r="I135" s="1774"/>
      <c r="J135" s="1769"/>
      <c r="K135" s="1769"/>
      <c r="L135" s="1769"/>
      <c r="M135" s="1769"/>
      <c r="N135" s="1775"/>
      <c r="O135" s="1766"/>
      <c r="P135" s="1766"/>
      <c r="Q135" s="1766"/>
      <c r="R135" s="1766"/>
      <c r="S135" s="1696"/>
      <c r="T135" s="1696"/>
      <c r="U135" s="1772"/>
      <c r="V135" s="1696"/>
      <c r="W135" s="1772"/>
      <c r="X135" s="1696"/>
      <c r="Y135" s="1696"/>
      <c r="Z135" s="1773"/>
    </row>
    <row r="136">
      <c r="A136" s="1767"/>
      <c r="B136" s="1767"/>
      <c r="C136" s="1767"/>
      <c r="D136" s="1767"/>
      <c r="E136" s="1767"/>
      <c r="F136" s="1767"/>
      <c r="G136" s="1767"/>
      <c r="H136" s="1767"/>
      <c r="I136" s="1767"/>
      <c r="J136" s="1768"/>
      <c r="K136" s="1768"/>
      <c r="L136" s="1769"/>
      <c r="M136" s="1769"/>
      <c r="N136" s="1767"/>
      <c r="O136" s="1765"/>
      <c r="P136" s="1765"/>
      <c r="Q136" s="1766"/>
      <c r="R136" s="1766"/>
      <c r="S136" s="1696"/>
      <c r="T136" s="1696"/>
      <c r="U136" s="1772"/>
      <c r="V136" s="1696"/>
      <c r="W136" s="1772"/>
      <c r="X136" s="1696"/>
      <c r="Y136" s="1696"/>
      <c r="Z136" s="1773"/>
    </row>
    <row r="137">
      <c r="A137" s="1767"/>
      <c r="B137" s="1767"/>
      <c r="C137" s="1767"/>
      <c r="D137" s="1767"/>
      <c r="E137" s="1767"/>
      <c r="F137" s="1767"/>
      <c r="G137" s="1767"/>
      <c r="H137" s="1767"/>
      <c r="I137" s="1767"/>
      <c r="J137" s="1768"/>
      <c r="K137" s="1768"/>
      <c r="L137" s="1769"/>
      <c r="M137" s="1769"/>
      <c r="N137" s="1767"/>
      <c r="O137" s="1770"/>
      <c r="P137" s="1771"/>
      <c r="Q137" s="1766"/>
      <c r="R137" s="1766"/>
      <c r="S137" s="1696"/>
      <c r="T137" s="1696"/>
      <c r="U137" s="1772"/>
      <c r="V137" s="1696"/>
      <c r="W137" s="1772"/>
      <c r="X137" s="1696"/>
      <c r="Y137" s="1696"/>
      <c r="Z137" s="1773"/>
    </row>
    <row r="138">
      <c r="A138" s="1767"/>
      <c r="B138" s="1767"/>
      <c r="C138" s="1767"/>
      <c r="D138" s="1767"/>
      <c r="E138" s="1767"/>
      <c r="F138" s="1767"/>
      <c r="G138" s="1767"/>
      <c r="H138" s="1767"/>
      <c r="I138" s="1767"/>
      <c r="J138" s="1768"/>
      <c r="K138" s="1768"/>
      <c r="L138" s="1769"/>
      <c r="M138" s="1769"/>
      <c r="N138" s="1767"/>
      <c r="O138" s="1766"/>
      <c r="P138" s="1766"/>
      <c r="Q138" s="1766"/>
      <c r="R138" s="1766"/>
      <c r="S138" s="1696"/>
      <c r="U138" s="1772"/>
      <c r="V138" s="1696"/>
      <c r="W138" s="1772"/>
      <c r="X138" s="1696"/>
      <c r="Y138" s="1696"/>
      <c r="Z138" s="1773"/>
    </row>
    <row r="139">
      <c r="A139" s="1767"/>
      <c r="B139" s="1767"/>
      <c r="C139" s="1767"/>
      <c r="D139" s="1767"/>
      <c r="E139" s="1767"/>
      <c r="F139" s="1767"/>
      <c r="G139" s="1767"/>
      <c r="H139" s="1767"/>
      <c r="I139" s="1767"/>
      <c r="J139" s="1768"/>
      <c r="K139" s="1768"/>
      <c r="L139" s="1769"/>
      <c r="M139" s="1769"/>
      <c r="N139" s="1767"/>
      <c r="O139" s="1765"/>
      <c r="P139" s="1765"/>
      <c r="Q139" s="1766"/>
      <c r="R139" s="1766"/>
      <c r="S139" s="1696"/>
      <c r="U139" s="1772"/>
      <c r="V139" s="1696"/>
      <c r="W139" s="1772"/>
      <c r="X139" s="1696"/>
      <c r="Y139" s="1696"/>
      <c r="Z139" s="1773"/>
    </row>
    <row r="140">
      <c r="A140" s="1767"/>
      <c r="B140" s="1767"/>
      <c r="C140" s="1767"/>
      <c r="D140" s="1767"/>
      <c r="E140" s="1767"/>
      <c r="F140" s="1767"/>
      <c r="G140" s="1767"/>
      <c r="H140" s="1767"/>
      <c r="I140" s="1767"/>
      <c r="J140" s="1768"/>
      <c r="K140" s="1768"/>
      <c r="L140" s="1769"/>
      <c r="M140" s="1769"/>
      <c r="N140" s="1767"/>
      <c r="O140" s="1770"/>
      <c r="P140" s="1771"/>
      <c r="Q140" s="1766"/>
      <c r="R140" s="1766"/>
      <c r="S140" s="1696"/>
      <c r="U140" s="1772"/>
      <c r="V140" s="1696"/>
      <c r="W140" s="1772"/>
      <c r="X140" s="1696"/>
      <c r="Y140" s="1696"/>
      <c r="Z140" s="1696"/>
    </row>
    <row r="141">
      <c r="A141" s="1767"/>
      <c r="B141" s="1767"/>
      <c r="C141" s="1767"/>
      <c r="D141" s="1767"/>
      <c r="E141" s="1767"/>
      <c r="F141" s="1767"/>
      <c r="G141" s="1767"/>
      <c r="H141" s="1767"/>
      <c r="I141" s="1767"/>
      <c r="J141" s="1768"/>
      <c r="K141" s="1768"/>
      <c r="L141" s="1769"/>
      <c r="M141" s="1769"/>
      <c r="N141" s="1767"/>
      <c r="O141" s="1766"/>
      <c r="P141" s="1766"/>
      <c r="Q141" s="1766"/>
      <c r="R141" s="1766"/>
      <c r="S141" s="1696"/>
      <c r="T141" s="1696"/>
      <c r="U141" s="1772"/>
      <c r="V141" s="1696"/>
      <c r="W141" s="1772"/>
      <c r="X141" s="1696"/>
      <c r="Y141" s="1696"/>
      <c r="Z141" s="1773"/>
    </row>
    <row r="142">
      <c r="A142" s="1767"/>
      <c r="B142" s="1767"/>
      <c r="C142" s="1767"/>
      <c r="D142" s="1767"/>
      <c r="E142" s="1767"/>
      <c r="F142" s="1767"/>
      <c r="G142" s="1767"/>
      <c r="H142" s="1767"/>
      <c r="I142" s="1767"/>
      <c r="J142" s="1768"/>
      <c r="K142" s="1768"/>
      <c r="L142" s="1769"/>
      <c r="M142" s="1769"/>
      <c r="N142" s="1767"/>
      <c r="O142" s="1765"/>
      <c r="P142" s="1765"/>
      <c r="Q142" s="1766"/>
      <c r="R142" s="1766"/>
      <c r="S142" s="1696"/>
      <c r="U142" s="1772"/>
      <c r="V142" s="1696"/>
      <c r="W142" s="1772"/>
      <c r="X142" s="1696"/>
      <c r="Y142" s="1696"/>
      <c r="Z142" s="1773"/>
    </row>
    <row r="143">
      <c r="A143" s="1767"/>
      <c r="B143" s="1767"/>
      <c r="C143" s="1767"/>
      <c r="D143" s="1767"/>
      <c r="E143" s="1767"/>
      <c r="F143" s="1767"/>
      <c r="G143" s="1767"/>
      <c r="H143" s="1767"/>
      <c r="I143" s="1767"/>
      <c r="J143" s="1768"/>
      <c r="K143" s="1768"/>
      <c r="L143" s="1769"/>
      <c r="M143" s="1769"/>
      <c r="N143" s="1767"/>
      <c r="O143" s="1770"/>
      <c r="P143" s="1771"/>
      <c r="Q143" s="1766"/>
      <c r="R143" s="1766"/>
      <c r="S143" s="1696"/>
      <c r="T143" s="1696"/>
      <c r="U143" s="1772"/>
      <c r="V143" s="1696"/>
      <c r="W143" s="1772"/>
      <c r="X143" s="1696"/>
      <c r="Y143" s="1696"/>
      <c r="Z143" s="1773"/>
    </row>
    <row r="144">
      <c r="A144" s="1767"/>
      <c r="B144" s="1767"/>
      <c r="C144" s="1767"/>
      <c r="D144" s="1767"/>
      <c r="E144" s="1767"/>
      <c r="F144" s="1767"/>
      <c r="G144" s="1767"/>
      <c r="H144" s="1774"/>
      <c r="I144" s="1774"/>
      <c r="J144" s="1769"/>
      <c r="K144" s="1769"/>
      <c r="L144" s="1769"/>
      <c r="M144" s="1769"/>
      <c r="N144" s="1775"/>
      <c r="O144" s="1766"/>
      <c r="P144" s="1766"/>
      <c r="Q144" s="1766"/>
      <c r="R144" s="1766"/>
      <c r="S144" s="1696"/>
      <c r="T144" s="1696"/>
      <c r="U144" s="1772"/>
      <c r="V144" s="1696"/>
      <c r="W144" s="1772"/>
      <c r="X144" s="1696"/>
      <c r="Y144" s="1696"/>
      <c r="Z144" s="1696"/>
    </row>
    <row r="145">
      <c r="A145" s="1767"/>
      <c r="B145" s="1767"/>
      <c r="C145" s="1767"/>
      <c r="D145" s="1767"/>
      <c r="E145" s="1767"/>
      <c r="F145" s="1767"/>
      <c r="G145" s="1767"/>
      <c r="H145" s="1767"/>
      <c r="I145" s="1767"/>
      <c r="J145" s="1768"/>
      <c r="K145" s="1768"/>
      <c r="L145" s="1769"/>
      <c r="M145" s="1769"/>
      <c r="N145" s="1767"/>
      <c r="O145" s="1765"/>
      <c r="P145" s="1765"/>
      <c r="Q145" s="1766"/>
      <c r="R145" s="1766"/>
      <c r="S145" s="1696"/>
      <c r="U145" s="1772"/>
      <c r="V145" s="1696"/>
      <c r="W145" s="1772"/>
      <c r="X145" s="1696"/>
      <c r="Y145" s="1696"/>
      <c r="Z145" s="1696"/>
    </row>
    <row r="146">
      <c r="A146" s="1767"/>
      <c r="B146" s="1767"/>
      <c r="C146" s="1767"/>
      <c r="D146" s="1767"/>
      <c r="E146" s="1767"/>
      <c r="F146" s="1767"/>
      <c r="G146" s="1767"/>
      <c r="H146" s="1767"/>
      <c r="I146" s="1767"/>
      <c r="J146" s="1768"/>
      <c r="K146" s="1768"/>
      <c r="L146" s="1769"/>
      <c r="M146" s="1769"/>
      <c r="N146" s="1767"/>
      <c r="O146" s="1770"/>
      <c r="P146" s="1771"/>
      <c r="Q146" s="1766"/>
      <c r="R146" s="1766"/>
      <c r="S146" s="1696"/>
      <c r="U146" s="1772"/>
      <c r="V146" s="1696"/>
      <c r="W146" s="1772"/>
      <c r="X146" s="1696"/>
      <c r="Y146" s="1696"/>
      <c r="Z146" s="1696"/>
    </row>
    <row r="147">
      <c r="A147" s="1767"/>
      <c r="B147" s="1767"/>
      <c r="C147" s="1767"/>
      <c r="D147" s="1767"/>
      <c r="E147" s="1767"/>
      <c r="F147" s="1767"/>
      <c r="G147" s="1767"/>
      <c r="H147" s="1767"/>
      <c r="I147" s="1767"/>
      <c r="J147" s="1768"/>
      <c r="K147" s="1768"/>
      <c r="L147" s="1769"/>
      <c r="M147" s="1769"/>
      <c r="N147" s="1767"/>
      <c r="O147" s="1766"/>
      <c r="P147" s="1766"/>
      <c r="Q147" s="1766"/>
      <c r="R147" s="1766"/>
      <c r="S147" s="1696"/>
      <c r="U147" s="1772"/>
      <c r="V147" s="1696"/>
      <c r="W147" s="1772"/>
      <c r="X147" s="1696"/>
      <c r="Y147" s="1696"/>
      <c r="Z147" s="1696"/>
    </row>
    <row r="148">
      <c r="A148" s="1767"/>
      <c r="B148" s="1767"/>
      <c r="C148" s="1767"/>
      <c r="D148" s="1767"/>
      <c r="E148" s="1767"/>
      <c r="F148" s="1767"/>
      <c r="G148" s="1767"/>
      <c r="H148" s="1767"/>
      <c r="I148" s="1767"/>
      <c r="J148" s="1768"/>
      <c r="K148" s="1768"/>
      <c r="L148" s="1769"/>
      <c r="M148" s="1769"/>
      <c r="N148" s="1767"/>
      <c r="O148" s="1765"/>
      <c r="P148" s="1765"/>
      <c r="Q148" s="1766"/>
      <c r="R148" s="1766"/>
      <c r="S148" s="1696"/>
      <c r="T148" s="1696"/>
      <c r="U148" s="1772"/>
      <c r="V148" s="1696"/>
      <c r="W148" s="1772"/>
      <c r="X148" s="1696"/>
      <c r="Y148" s="1696"/>
      <c r="Z148" s="1696"/>
    </row>
    <row r="149">
      <c r="A149" s="1767"/>
      <c r="B149" s="1767"/>
      <c r="C149" s="1767"/>
      <c r="D149" s="1767"/>
      <c r="E149" s="1767"/>
      <c r="F149" s="1767"/>
      <c r="G149" s="1767"/>
      <c r="H149" s="1767"/>
      <c r="I149" s="1767"/>
      <c r="J149" s="1768"/>
      <c r="K149" s="1768"/>
      <c r="L149" s="1769"/>
      <c r="M149" s="1769"/>
      <c r="N149" s="1767"/>
      <c r="O149" s="1770"/>
      <c r="P149" s="1771"/>
      <c r="Q149" s="1766"/>
      <c r="R149" s="1766"/>
      <c r="S149" s="1696"/>
      <c r="U149" s="1772"/>
      <c r="V149" s="1696"/>
      <c r="W149" s="1772"/>
      <c r="X149" s="1696"/>
      <c r="Y149" s="1696"/>
      <c r="Z149" s="1696"/>
    </row>
    <row r="150">
      <c r="A150" s="1767"/>
      <c r="B150" s="1767"/>
      <c r="C150" s="1767"/>
      <c r="D150" s="1767"/>
      <c r="E150" s="1767"/>
      <c r="F150" s="1767"/>
      <c r="G150" s="1767"/>
      <c r="H150" s="1767"/>
      <c r="I150" s="1767"/>
      <c r="J150" s="1768"/>
      <c r="K150" s="1768"/>
      <c r="L150" s="1769"/>
      <c r="M150" s="1769"/>
      <c r="N150" s="1767"/>
      <c r="O150" s="1766"/>
      <c r="P150" s="1766"/>
      <c r="Q150" s="1766"/>
      <c r="R150" s="1766"/>
      <c r="S150" s="1696"/>
      <c r="U150" s="1772"/>
      <c r="V150" s="1696"/>
      <c r="W150" s="1772"/>
      <c r="X150" s="1696"/>
      <c r="Y150" s="1696"/>
      <c r="Z150" s="1773"/>
    </row>
    <row r="151">
      <c r="A151" s="1767"/>
      <c r="B151" s="1767"/>
      <c r="C151" s="1767"/>
      <c r="D151" s="1767"/>
      <c r="E151" s="1767"/>
      <c r="F151" s="1767"/>
      <c r="G151" s="1767"/>
      <c r="H151" s="1767"/>
      <c r="I151" s="1767"/>
      <c r="J151" s="1768"/>
      <c r="K151" s="1768"/>
      <c r="L151" s="1769"/>
      <c r="M151" s="1769"/>
      <c r="N151" s="1767"/>
      <c r="O151" s="1765"/>
      <c r="P151" s="1765"/>
      <c r="Q151" s="1766"/>
      <c r="R151" s="1766"/>
      <c r="S151" s="1696"/>
      <c r="U151" s="1772"/>
      <c r="V151" s="1696"/>
      <c r="W151" s="1772"/>
      <c r="X151" s="1696"/>
      <c r="Y151" s="1696"/>
      <c r="Z151" s="1773"/>
    </row>
    <row r="152">
      <c r="A152" s="1767"/>
      <c r="B152" s="1767"/>
      <c r="C152" s="1767"/>
      <c r="D152" s="1767"/>
      <c r="E152" s="1767"/>
      <c r="F152" s="1767"/>
      <c r="G152" s="1767"/>
      <c r="H152" s="1774"/>
      <c r="I152" s="1776"/>
      <c r="J152" s="1769"/>
      <c r="K152" s="1769"/>
      <c r="L152" s="1769"/>
      <c r="M152" s="1769"/>
      <c r="N152" s="1775"/>
      <c r="O152" s="1770"/>
      <c r="P152" s="1771"/>
      <c r="Q152" s="1766"/>
      <c r="R152" s="1766"/>
      <c r="S152" s="1696"/>
      <c r="U152" s="1772"/>
      <c r="V152" s="1696"/>
      <c r="W152" s="1772"/>
      <c r="X152" s="1696"/>
      <c r="Y152" s="1696"/>
      <c r="Z152" s="1773"/>
    </row>
    <row r="153">
      <c r="A153" s="1767"/>
      <c r="B153" s="1767"/>
      <c r="C153" s="1767"/>
      <c r="D153" s="1767"/>
      <c r="E153" s="1767"/>
      <c r="F153" s="1767"/>
      <c r="G153" s="1767"/>
      <c r="H153" s="1767"/>
      <c r="I153" s="1767"/>
      <c r="J153" s="1768"/>
      <c r="K153" s="1768"/>
      <c r="L153" s="1769"/>
      <c r="M153" s="1769"/>
      <c r="N153" s="1767"/>
      <c r="O153" s="1766"/>
      <c r="P153" s="1766"/>
      <c r="Q153" s="1766"/>
      <c r="R153" s="1766"/>
      <c r="S153" s="1696"/>
      <c r="U153" s="1772"/>
      <c r="V153" s="1696"/>
      <c r="W153" s="1772"/>
      <c r="X153" s="1696"/>
      <c r="Y153" s="1696"/>
      <c r="Z153" s="1773"/>
    </row>
    <row r="154">
      <c r="A154" s="1767"/>
      <c r="B154" s="1767"/>
      <c r="C154" s="1767"/>
      <c r="D154" s="1767"/>
      <c r="E154" s="1767"/>
      <c r="F154" s="1767"/>
      <c r="G154" s="1767"/>
      <c r="H154" s="1767"/>
      <c r="I154" s="1767"/>
      <c r="J154" s="1768"/>
      <c r="K154" s="1768"/>
      <c r="L154" s="1769"/>
      <c r="M154" s="1769"/>
      <c r="N154" s="1767"/>
      <c r="O154" s="1765"/>
      <c r="P154" s="1765"/>
      <c r="Q154" s="1766"/>
      <c r="R154" s="1766"/>
      <c r="S154" s="1696"/>
      <c r="T154" s="1696"/>
      <c r="U154" s="1772"/>
      <c r="V154" s="1696"/>
      <c r="W154" s="1772"/>
      <c r="X154" s="1696"/>
      <c r="Y154" s="1696"/>
      <c r="Z154" s="1696"/>
    </row>
    <row r="155">
      <c r="A155" s="1771"/>
      <c r="B155" s="1777"/>
      <c r="C155" s="1771"/>
      <c r="D155" s="1771"/>
      <c r="E155" s="1771"/>
      <c r="F155" s="1771"/>
      <c r="G155" s="1770"/>
      <c r="H155" s="1771"/>
      <c r="I155" s="1778"/>
      <c r="J155" s="1771"/>
      <c r="K155" s="1771"/>
      <c r="L155" s="1771"/>
      <c r="M155" s="1771"/>
      <c r="N155" s="1779"/>
      <c r="O155" s="1770"/>
      <c r="P155" s="1771"/>
      <c r="Q155" s="1766"/>
      <c r="R155" s="1766"/>
      <c r="S155" s="1696"/>
      <c r="T155" s="1696"/>
      <c r="U155" s="1772"/>
      <c r="V155" s="1696"/>
      <c r="W155" s="1772"/>
      <c r="X155" s="1696"/>
      <c r="Y155" s="1696"/>
      <c r="Z155" s="1696"/>
    </row>
    <row r="156">
      <c r="A156" s="1766"/>
      <c r="B156" s="1780"/>
      <c r="C156" s="1766"/>
      <c r="D156" s="1766"/>
      <c r="E156" s="1766"/>
      <c r="F156" s="1766"/>
      <c r="G156" s="1766"/>
      <c r="H156" s="1766"/>
      <c r="I156" s="1766"/>
      <c r="J156" s="1766"/>
      <c r="K156" s="1766"/>
      <c r="L156" s="1766"/>
      <c r="M156" s="1766"/>
      <c r="N156" s="1781"/>
      <c r="O156" s="1766"/>
      <c r="P156" s="1766"/>
      <c r="Q156" s="1766"/>
      <c r="R156" s="1766"/>
      <c r="S156" s="1696"/>
      <c r="T156" s="1696"/>
      <c r="U156" s="1772"/>
      <c r="V156" s="1696"/>
      <c r="W156" s="1772"/>
      <c r="X156" s="1696"/>
      <c r="Y156" s="1696"/>
      <c r="Z156" s="1696"/>
    </row>
    <row r="157">
      <c r="A157" s="1765"/>
      <c r="B157" s="1782"/>
      <c r="C157" s="1765"/>
      <c r="D157" s="1765"/>
      <c r="E157" s="1765"/>
      <c r="F157" s="1765"/>
      <c r="G157" s="1765"/>
      <c r="H157" s="1765"/>
      <c r="I157" s="1765"/>
      <c r="J157" s="1765"/>
      <c r="K157" s="1765"/>
      <c r="L157" s="1765"/>
      <c r="M157" s="1765"/>
      <c r="N157" s="1765"/>
      <c r="O157" s="1765"/>
      <c r="P157" s="1765"/>
      <c r="Q157" s="1766"/>
      <c r="R157" s="1766"/>
      <c r="S157" s="1696"/>
      <c r="T157" s="1696"/>
      <c r="U157" s="1772"/>
      <c r="V157" s="1696"/>
      <c r="W157" s="1772"/>
      <c r="X157" s="1696"/>
      <c r="Y157" s="1696"/>
      <c r="Z157" s="1696"/>
    </row>
    <row r="158">
      <c r="A158" s="1771"/>
      <c r="B158" s="1777"/>
      <c r="C158" s="1771"/>
      <c r="D158" s="1771"/>
      <c r="E158" s="1771"/>
      <c r="F158" s="1771"/>
      <c r="G158" s="1770"/>
      <c r="H158" s="1771"/>
      <c r="I158" s="1778"/>
      <c r="J158" s="1771"/>
      <c r="K158" s="1771"/>
      <c r="L158" s="1771"/>
      <c r="M158" s="1771"/>
      <c r="N158" s="1779"/>
      <c r="O158" s="1770"/>
      <c r="P158" s="1771"/>
      <c r="Q158" s="1766"/>
      <c r="R158" s="1766"/>
      <c r="S158" s="1696"/>
      <c r="T158" s="1696"/>
      <c r="U158" s="1772"/>
      <c r="V158" s="1696"/>
      <c r="W158" s="1772"/>
      <c r="X158" s="1696"/>
      <c r="Y158" s="1696"/>
      <c r="Z158" s="1696"/>
    </row>
    <row r="159">
      <c r="A159" s="1766"/>
      <c r="B159" s="1780"/>
      <c r="C159" s="1766"/>
      <c r="D159" s="1766"/>
      <c r="E159" s="1766"/>
      <c r="F159" s="1766"/>
      <c r="G159" s="1766"/>
      <c r="H159" s="1766"/>
      <c r="I159" s="1766"/>
      <c r="J159" s="1766"/>
      <c r="K159" s="1766"/>
      <c r="L159" s="1766"/>
      <c r="M159" s="1766"/>
      <c r="N159" s="1766"/>
      <c r="O159" s="1766"/>
      <c r="P159" s="1766"/>
      <c r="Q159" s="1766"/>
      <c r="R159" s="1766"/>
      <c r="S159" s="1696"/>
      <c r="U159" s="1772"/>
      <c r="V159" s="1696"/>
      <c r="W159" s="1772"/>
      <c r="X159" s="1696"/>
      <c r="Y159" s="1696"/>
      <c r="Z159" s="1773"/>
    </row>
    <row r="160">
      <c r="A160" s="1765"/>
      <c r="B160" s="1782"/>
      <c r="C160" s="1765"/>
      <c r="D160" s="1765"/>
      <c r="E160" s="1765"/>
      <c r="F160" s="1765"/>
      <c r="G160" s="1765"/>
      <c r="H160" s="1765"/>
      <c r="I160" s="1765"/>
      <c r="J160" s="1765"/>
      <c r="K160" s="1765"/>
      <c r="L160" s="1765"/>
      <c r="M160" s="1765"/>
      <c r="N160" s="1765"/>
      <c r="O160" s="1765"/>
      <c r="P160" s="1765"/>
      <c r="Q160" s="1766"/>
      <c r="R160" s="1766"/>
      <c r="S160" s="1696"/>
      <c r="U160" s="1772"/>
      <c r="V160" s="1696"/>
      <c r="W160" s="1772"/>
      <c r="X160" s="1696"/>
      <c r="Y160" s="1696"/>
      <c r="Z160" s="1773"/>
    </row>
    <row r="161">
      <c r="A161" s="1771"/>
      <c r="B161" s="1777"/>
      <c r="C161" s="1771"/>
      <c r="D161" s="1771"/>
      <c r="E161" s="1771"/>
      <c r="F161" s="1771"/>
      <c r="G161" s="1770"/>
      <c r="H161" s="1771"/>
      <c r="I161" s="1778"/>
      <c r="J161" s="1771"/>
      <c r="K161" s="1771"/>
      <c r="L161" s="1771"/>
      <c r="M161" s="1771"/>
      <c r="N161" s="1770"/>
      <c r="O161" s="1770"/>
      <c r="P161" s="1771"/>
      <c r="Q161" s="1766"/>
      <c r="R161" s="1766"/>
      <c r="S161" s="1696"/>
      <c r="T161" s="1696"/>
      <c r="U161" s="1772"/>
      <c r="V161" s="1696"/>
      <c r="W161" s="1772"/>
      <c r="X161" s="1696"/>
      <c r="Y161" s="1696"/>
      <c r="Z161" s="1773"/>
    </row>
    <row r="162">
      <c r="A162" s="1766"/>
      <c r="B162" s="1780"/>
      <c r="C162" s="1766"/>
      <c r="D162" s="1766"/>
      <c r="E162" s="1766"/>
      <c r="F162" s="1766"/>
      <c r="G162" s="1766"/>
      <c r="H162" s="1766"/>
      <c r="I162" s="1766"/>
      <c r="J162" s="1766"/>
      <c r="K162" s="1766"/>
      <c r="L162" s="1766"/>
      <c r="M162" s="1766"/>
      <c r="N162" s="1781"/>
      <c r="O162" s="1766"/>
      <c r="P162" s="1766"/>
      <c r="Q162" s="1766"/>
      <c r="R162" s="1766"/>
      <c r="S162" s="1696"/>
      <c r="U162" s="1772"/>
      <c r="V162" s="1696"/>
      <c r="W162" s="1772"/>
      <c r="X162" s="1696"/>
      <c r="Y162" s="1696"/>
      <c r="Z162" s="1773"/>
    </row>
    <row r="163">
      <c r="A163" s="1765"/>
      <c r="B163" s="1782"/>
      <c r="C163" s="1765"/>
      <c r="D163" s="1765"/>
      <c r="E163" s="1765"/>
      <c r="F163" s="1765"/>
      <c r="G163" s="1765"/>
      <c r="H163" s="1765"/>
      <c r="I163" s="1765"/>
      <c r="J163" s="1765"/>
      <c r="K163" s="1765"/>
      <c r="L163" s="1765"/>
      <c r="M163" s="1765"/>
      <c r="N163" s="1765"/>
      <c r="O163" s="1765"/>
      <c r="P163" s="1765"/>
      <c r="Q163" s="1766"/>
      <c r="R163" s="1766"/>
      <c r="S163" s="1696"/>
      <c r="U163" s="1772"/>
      <c r="V163" s="1696"/>
      <c r="W163" s="1772"/>
      <c r="X163" s="1696"/>
      <c r="Y163" s="1696"/>
      <c r="Z163" s="1773"/>
    </row>
    <row r="164">
      <c r="A164" s="1771"/>
      <c r="B164" s="1777"/>
      <c r="C164" s="1771"/>
      <c r="D164" s="1771"/>
      <c r="E164" s="1771"/>
      <c r="F164" s="1771"/>
      <c r="G164" s="1770"/>
      <c r="H164" s="1771"/>
      <c r="I164" s="1778"/>
      <c r="J164" s="1771"/>
      <c r="K164" s="1771"/>
      <c r="L164" s="1771"/>
      <c r="M164" s="1771"/>
      <c r="N164" s="1779"/>
      <c r="O164" s="1770"/>
      <c r="P164" s="1771"/>
      <c r="Q164" s="1766"/>
      <c r="R164" s="1766"/>
      <c r="S164" s="1696"/>
      <c r="T164" s="1696"/>
      <c r="U164" s="1772"/>
      <c r="V164" s="1696"/>
      <c r="W164" s="1772"/>
      <c r="X164" s="1696"/>
      <c r="Y164" s="1696"/>
      <c r="Z164" s="1773"/>
    </row>
    <row r="165">
      <c r="A165" s="1766"/>
      <c r="B165" s="1780"/>
      <c r="C165" s="1766"/>
      <c r="D165" s="1766"/>
      <c r="E165" s="1766"/>
      <c r="F165" s="1766"/>
      <c r="G165" s="1766"/>
      <c r="H165" s="1766"/>
      <c r="I165" s="1766"/>
      <c r="J165" s="1766"/>
      <c r="K165" s="1766"/>
      <c r="L165" s="1766"/>
      <c r="M165" s="1766"/>
      <c r="N165" s="1781"/>
      <c r="O165" s="1766"/>
      <c r="P165" s="1766"/>
      <c r="Q165" s="1766"/>
      <c r="R165" s="1766"/>
      <c r="S165" s="1696"/>
      <c r="U165" s="1772"/>
      <c r="V165" s="1696"/>
      <c r="W165" s="1772"/>
      <c r="X165" s="1696"/>
      <c r="Y165" s="1696"/>
      <c r="Z165" s="1773"/>
    </row>
    <row r="166">
      <c r="A166" s="1765"/>
      <c r="B166" s="1782"/>
      <c r="C166" s="1765"/>
      <c r="D166" s="1765"/>
      <c r="E166" s="1765"/>
      <c r="F166" s="1765"/>
      <c r="G166" s="1765"/>
      <c r="H166" s="1765"/>
      <c r="I166" s="1765"/>
      <c r="J166" s="1765"/>
      <c r="K166" s="1765"/>
      <c r="L166" s="1765"/>
      <c r="M166" s="1765"/>
      <c r="N166" s="1765"/>
      <c r="O166" s="1765"/>
      <c r="P166" s="1765"/>
      <c r="Q166" s="1766"/>
      <c r="R166" s="1766"/>
      <c r="S166" s="1696"/>
      <c r="T166" s="1696"/>
      <c r="U166" s="1772"/>
      <c r="V166" s="1696"/>
      <c r="W166" s="1772"/>
      <c r="X166" s="1696"/>
      <c r="Y166" s="1696"/>
      <c r="Z166" s="1773"/>
    </row>
    <row r="167">
      <c r="A167" s="1771"/>
      <c r="B167" s="1777"/>
      <c r="C167" s="1771"/>
      <c r="D167" s="1771"/>
      <c r="E167" s="1771"/>
      <c r="F167" s="1771"/>
      <c r="G167" s="1770"/>
      <c r="H167" s="1771"/>
      <c r="I167" s="1778"/>
      <c r="J167" s="1771"/>
      <c r="K167" s="1771"/>
      <c r="L167" s="1771"/>
      <c r="M167" s="1771"/>
      <c r="N167" s="1779"/>
      <c r="O167" s="1770"/>
      <c r="P167" s="1771"/>
      <c r="Q167" s="1766"/>
      <c r="R167" s="1766"/>
      <c r="S167" s="1696"/>
      <c r="T167" s="1696"/>
      <c r="U167" s="1772"/>
      <c r="V167" s="1696"/>
      <c r="W167" s="1772"/>
      <c r="X167" s="1696"/>
      <c r="Y167" s="1696"/>
      <c r="Z167" s="1773"/>
    </row>
    <row r="168">
      <c r="A168" s="1766"/>
      <c r="B168" s="1780"/>
      <c r="C168" s="1766"/>
      <c r="D168" s="1766"/>
      <c r="E168" s="1766"/>
      <c r="F168" s="1766"/>
      <c r="G168" s="1766"/>
      <c r="H168" s="1766"/>
      <c r="I168" s="1766"/>
      <c r="J168" s="1766"/>
      <c r="K168" s="1766"/>
      <c r="L168" s="1766"/>
      <c r="M168" s="1766"/>
      <c r="N168" s="1766"/>
      <c r="O168" s="1766"/>
      <c r="P168" s="1766"/>
      <c r="Q168" s="1766"/>
      <c r="R168" s="1766"/>
      <c r="S168" s="1696"/>
      <c r="T168" s="1696"/>
      <c r="U168" s="1772"/>
      <c r="V168" s="1696"/>
      <c r="W168" s="1772"/>
      <c r="X168" s="1696"/>
      <c r="Y168" s="1696"/>
      <c r="Z168" s="1773"/>
    </row>
    <row r="169">
      <c r="A169" s="1765"/>
      <c r="B169" s="1782"/>
      <c r="C169" s="1765"/>
      <c r="D169" s="1765"/>
      <c r="E169" s="1765"/>
      <c r="F169" s="1765"/>
      <c r="G169" s="1765"/>
      <c r="H169" s="1765"/>
      <c r="I169" s="1765"/>
      <c r="J169" s="1765"/>
      <c r="K169" s="1765"/>
      <c r="L169" s="1765"/>
      <c r="M169" s="1765"/>
      <c r="N169" s="1765"/>
      <c r="O169" s="1765"/>
      <c r="P169" s="1765"/>
      <c r="Q169" s="1766"/>
      <c r="R169" s="1766"/>
      <c r="S169" s="1696"/>
      <c r="T169" s="1696"/>
      <c r="U169" s="1772"/>
      <c r="V169" s="1696"/>
      <c r="W169" s="1772"/>
      <c r="X169" s="1696"/>
      <c r="Y169" s="1696"/>
      <c r="Z169" s="1773"/>
    </row>
    <row r="170">
      <c r="A170" s="1771"/>
      <c r="B170" s="1777"/>
      <c r="C170" s="1771"/>
      <c r="D170" s="1771"/>
      <c r="E170" s="1771"/>
      <c r="F170" s="1771"/>
      <c r="G170" s="1770"/>
      <c r="H170" s="1771"/>
      <c r="I170" s="1778"/>
      <c r="J170" s="1771"/>
      <c r="K170" s="1771"/>
      <c r="L170" s="1771"/>
      <c r="M170" s="1771"/>
      <c r="N170" s="1770"/>
      <c r="O170" s="1770"/>
      <c r="P170" s="1771"/>
      <c r="Q170" s="1766"/>
      <c r="R170" s="1766"/>
      <c r="S170" s="1696"/>
      <c r="U170" s="1772"/>
      <c r="V170" s="1696"/>
      <c r="W170" s="1772"/>
      <c r="X170" s="1696"/>
      <c r="Y170" s="1696"/>
      <c r="Z170" s="1773"/>
    </row>
    <row r="171">
      <c r="A171" s="1766"/>
      <c r="B171" s="1780"/>
      <c r="C171" s="1766"/>
      <c r="D171" s="1766"/>
      <c r="E171" s="1766"/>
      <c r="F171" s="1766"/>
      <c r="G171" s="1766"/>
      <c r="H171" s="1766"/>
      <c r="I171" s="1766"/>
      <c r="J171" s="1766"/>
      <c r="K171" s="1766"/>
      <c r="L171" s="1766"/>
      <c r="M171" s="1766"/>
      <c r="N171" s="1781"/>
      <c r="O171" s="1766"/>
      <c r="P171" s="1766"/>
      <c r="Q171" s="1766"/>
      <c r="R171" s="1766"/>
      <c r="S171" s="1696"/>
      <c r="T171" s="1696"/>
      <c r="U171" s="1772"/>
      <c r="V171" s="1696"/>
      <c r="W171" s="1772"/>
      <c r="X171" s="1696"/>
      <c r="Y171" s="1696"/>
      <c r="Z171" s="1773"/>
    </row>
    <row r="172">
      <c r="A172" s="1765"/>
      <c r="B172" s="1782"/>
      <c r="C172" s="1765"/>
      <c r="D172" s="1765"/>
      <c r="E172" s="1765"/>
      <c r="F172" s="1765"/>
      <c r="G172" s="1765"/>
      <c r="H172" s="1765"/>
      <c r="I172" s="1765"/>
      <c r="J172" s="1765"/>
      <c r="K172" s="1765"/>
      <c r="L172" s="1765"/>
      <c r="M172" s="1765"/>
      <c r="N172" s="1765"/>
      <c r="O172" s="1765"/>
      <c r="P172" s="1765"/>
      <c r="Q172" s="1766"/>
      <c r="R172" s="1766"/>
      <c r="S172" s="1696"/>
      <c r="T172" s="1696"/>
      <c r="U172" s="1772"/>
      <c r="V172" s="1696"/>
      <c r="W172" s="1772"/>
      <c r="X172" s="1696"/>
      <c r="Y172" s="1696"/>
      <c r="Z172" s="1773"/>
    </row>
    <row r="173">
      <c r="A173" s="1771"/>
      <c r="B173" s="1777"/>
      <c r="C173" s="1771"/>
      <c r="D173" s="1771"/>
      <c r="E173" s="1771"/>
      <c r="F173" s="1771"/>
      <c r="G173" s="1771"/>
      <c r="H173" s="1771"/>
      <c r="I173" s="1778"/>
      <c r="J173" s="1771"/>
      <c r="K173" s="1771"/>
      <c r="L173" s="1771"/>
      <c r="M173" s="1771"/>
      <c r="N173" s="1779"/>
      <c r="O173" s="1770"/>
      <c r="P173" s="1771"/>
      <c r="Q173" s="1766"/>
      <c r="R173" s="1766"/>
      <c r="S173" s="1696"/>
      <c r="T173" s="1696"/>
      <c r="U173" s="1772"/>
      <c r="V173" s="1696"/>
      <c r="W173" s="1772"/>
      <c r="X173" s="1696"/>
      <c r="Y173" s="1696"/>
      <c r="Z173" s="1773"/>
    </row>
    <row r="174">
      <c r="A174" s="1766"/>
      <c r="B174" s="1780"/>
      <c r="C174" s="1766"/>
      <c r="D174" s="1766"/>
      <c r="E174" s="1766"/>
      <c r="F174" s="1766"/>
      <c r="G174" s="1766"/>
      <c r="H174" s="1766"/>
      <c r="I174" s="1766"/>
      <c r="J174" s="1766"/>
      <c r="K174" s="1766"/>
      <c r="L174" s="1766"/>
      <c r="M174" s="1766"/>
      <c r="N174" s="1781"/>
      <c r="O174" s="1766"/>
      <c r="P174" s="1766"/>
      <c r="Q174" s="1766"/>
      <c r="R174" s="1766"/>
      <c r="S174" s="1696"/>
      <c r="T174" s="1696"/>
      <c r="U174" s="1772"/>
      <c r="V174" s="1696"/>
      <c r="W174" s="1772"/>
      <c r="X174" s="1696"/>
      <c r="Y174" s="1696"/>
      <c r="Z174" s="1773"/>
    </row>
    <row r="175">
      <c r="A175" s="1765"/>
      <c r="B175" s="1782"/>
      <c r="C175" s="1765"/>
      <c r="D175" s="1765"/>
      <c r="E175" s="1765"/>
      <c r="F175" s="1765"/>
      <c r="G175" s="1765"/>
      <c r="H175" s="1765"/>
      <c r="I175" s="1765"/>
      <c r="J175" s="1765"/>
      <c r="K175" s="1765"/>
      <c r="L175" s="1765"/>
      <c r="M175" s="1765"/>
      <c r="N175" s="1765"/>
      <c r="O175" s="1765"/>
      <c r="P175" s="1765"/>
      <c r="Q175" s="1766"/>
      <c r="R175" s="1766"/>
      <c r="S175" s="1696"/>
      <c r="T175" s="1696"/>
      <c r="U175" s="1772"/>
      <c r="V175" s="1696"/>
      <c r="W175" s="1772"/>
      <c r="X175" s="1696"/>
      <c r="Y175" s="1696"/>
      <c r="Z175" s="1773"/>
    </row>
    <row r="176">
      <c r="A176" s="1771"/>
      <c r="B176" s="1777"/>
      <c r="C176" s="1771"/>
      <c r="D176" s="1771"/>
      <c r="E176" s="1771"/>
      <c r="F176" s="1771"/>
      <c r="G176" s="1770"/>
      <c r="H176" s="1771"/>
      <c r="I176" s="1778"/>
      <c r="J176" s="1771"/>
      <c r="K176" s="1771"/>
      <c r="L176" s="1771"/>
      <c r="M176" s="1771"/>
      <c r="N176" s="1779"/>
      <c r="O176" s="1770"/>
      <c r="P176" s="1771"/>
      <c r="Q176" s="1766"/>
      <c r="R176" s="1766"/>
      <c r="S176" s="1696"/>
      <c r="T176" s="1696"/>
      <c r="U176" s="1772"/>
      <c r="V176" s="1696"/>
      <c r="W176" s="1772"/>
      <c r="X176" s="1696"/>
      <c r="Y176" s="1696"/>
      <c r="Z176" s="1773"/>
    </row>
    <row r="177">
      <c r="A177" s="1766"/>
      <c r="B177" s="1780"/>
      <c r="C177" s="1766"/>
      <c r="D177" s="1766"/>
      <c r="E177" s="1766"/>
      <c r="F177" s="1766"/>
      <c r="G177" s="1766"/>
      <c r="H177" s="1766"/>
      <c r="I177" s="1766"/>
      <c r="J177" s="1766"/>
      <c r="K177" s="1766"/>
      <c r="L177" s="1766"/>
      <c r="M177" s="1766"/>
      <c r="N177" s="1781"/>
      <c r="O177" s="1766"/>
      <c r="P177" s="1766"/>
      <c r="Q177" s="1766"/>
      <c r="R177" s="1766"/>
      <c r="S177" s="1696"/>
      <c r="T177" s="1696"/>
      <c r="U177" s="1772"/>
      <c r="V177" s="1696"/>
      <c r="W177" s="1772"/>
      <c r="X177" s="1696"/>
      <c r="Y177" s="1696"/>
      <c r="Z177" s="1773"/>
    </row>
    <row r="178">
      <c r="A178" s="1765"/>
      <c r="B178" s="1782"/>
      <c r="C178" s="1765"/>
      <c r="D178" s="1765"/>
      <c r="E178" s="1765"/>
      <c r="F178" s="1765"/>
      <c r="G178" s="1765"/>
      <c r="H178" s="1765"/>
      <c r="I178" s="1765"/>
      <c r="J178" s="1765"/>
      <c r="K178" s="1765"/>
      <c r="L178" s="1765"/>
      <c r="M178" s="1765"/>
      <c r="N178" s="1765"/>
      <c r="O178" s="1765"/>
      <c r="P178" s="1765"/>
      <c r="Q178" s="1766"/>
      <c r="R178" s="1766"/>
      <c r="S178" s="1696"/>
      <c r="T178" s="1696"/>
      <c r="U178" s="1772"/>
      <c r="V178" s="1696"/>
      <c r="W178" s="1772"/>
      <c r="X178" s="1696"/>
      <c r="Y178" s="1696"/>
      <c r="Z178" s="1773"/>
    </row>
    <row r="179">
      <c r="A179" s="1771"/>
      <c r="B179" s="1777"/>
      <c r="C179" s="1771"/>
      <c r="D179" s="1771"/>
      <c r="E179" s="1771"/>
      <c r="F179" s="1771"/>
      <c r="G179" s="1770"/>
      <c r="H179" s="1771"/>
      <c r="I179" s="1778"/>
      <c r="J179" s="1771"/>
      <c r="K179" s="1771"/>
      <c r="L179" s="1771"/>
      <c r="M179" s="1771"/>
      <c r="N179" s="1779"/>
      <c r="O179" s="1770"/>
      <c r="P179" s="1771"/>
      <c r="Q179" s="1766"/>
      <c r="R179" s="1766"/>
      <c r="S179" s="1696"/>
      <c r="T179" s="1696"/>
      <c r="U179" s="1772"/>
      <c r="V179" s="1696"/>
      <c r="W179" s="1772"/>
      <c r="X179" s="1696"/>
      <c r="Y179" s="1696"/>
      <c r="Z179" s="1773"/>
    </row>
    <row r="180">
      <c r="A180" s="1766"/>
      <c r="B180" s="1780"/>
      <c r="C180" s="1766"/>
      <c r="D180" s="1766"/>
      <c r="E180" s="1766"/>
      <c r="F180" s="1766"/>
      <c r="G180" s="1766"/>
      <c r="H180" s="1766"/>
      <c r="I180" s="1766"/>
      <c r="J180" s="1766"/>
      <c r="K180" s="1766"/>
      <c r="L180" s="1766"/>
      <c r="M180" s="1766"/>
      <c r="N180" s="1781"/>
      <c r="O180" s="1766"/>
      <c r="P180" s="1766"/>
      <c r="Q180" s="1766"/>
      <c r="R180" s="1766"/>
      <c r="S180" s="1696"/>
      <c r="T180" s="1696"/>
      <c r="U180" s="1772"/>
      <c r="V180" s="1696"/>
      <c r="W180" s="1772"/>
      <c r="X180" s="1696"/>
      <c r="Y180" s="1696"/>
      <c r="Z180" s="1773"/>
    </row>
    <row r="181">
      <c r="A181" s="1765"/>
      <c r="B181" s="1782"/>
      <c r="C181" s="1765"/>
      <c r="D181" s="1765"/>
      <c r="E181" s="1765"/>
      <c r="F181" s="1765"/>
      <c r="G181" s="1765"/>
      <c r="H181" s="1765"/>
      <c r="I181" s="1765"/>
      <c r="J181" s="1765"/>
      <c r="K181" s="1765"/>
      <c r="L181" s="1765"/>
      <c r="M181" s="1765"/>
      <c r="N181" s="1765"/>
      <c r="O181" s="1765"/>
      <c r="P181" s="1765"/>
      <c r="Q181" s="1766"/>
      <c r="R181" s="1766"/>
      <c r="S181" s="1696"/>
      <c r="T181" s="1696"/>
      <c r="U181" s="1772"/>
      <c r="V181" s="1696"/>
      <c r="W181" s="1772"/>
      <c r="X181" s="1696"/>
      <c r="Y181" s="1696"/>
      <c r="Z181" s="1773"/>
    </row>
    <row r="182">
      <c r="A182" s="1771"/>
      <c r="B182" s="1777"/>
      <c r="C182" s="1771"/>
      <c r="D182" s="1771"/>
      <c r="E182" s="1771"/>
      <c r="F182" s="1771"/>
      <c r="G182" s="1770"/>
      <c r="H182" s="1771"/>
      <c r="I182" s="1778"/>
      <c r="J182" s="1771"/>
      <c r="K182" s="1771"/>
      <c r="L182" s="1771"/>
      <c r="M182" s="1771"/>
      <c r="N182" s="1779"/>
      <c r="O182" s="1770"/>
      <c r="P182" s="1771"/>
      <c r="Q182" s="1766"/>
      <c r="R182" s="1766"/>
      <c r="S182" s="1696"/>
      <c r="T182" s="1696"/>
      <c r="U182" s="1772"/>
      <c r="V182" s="1696"/>
      <c r="W182" s="1772"/>
      <c r="X182" s="1696"/>
      <c r="Y182" s="1696"/>
      <c r="Z182" s="1773"/>
    </row>
    <row r="183">
      <c r="A183" s="1766"/>
      <c r="B183" s="1780"/>
      <c r="C183" s="1766"/>
      <c r="D183" s="1766"/>
      <c r="E183" s="1766"/>
      <c r="F183" s="1766"/>
      <c r="G183" s="1766"/>
      <c r="H183" s="1766"/>
      <c r="I183" s="1766"/>
      <c r="J183" s="1766"/>
      <c r="K183" s="1766"/>
      <c r="L183" s="1766"/>
      <c r="M183" s="1766"/>
      <c r="N183" s="1781"/>
      <c r="O183" s="1766"/>
      <c r="P183" s="1766"/>
      <c r="Q183" s="1766"/>
      <c r="R183" s="1766"/>
      <c r="S183" s="1696"/>
      <c r="T183" s="1696"/>
      <c r="U183" s="1772"/>
      <c r="V183" s="1696"/>
      <c r="W183" s="1772"/>
      <c r="X183" s="1696"/>
      <c r="Y183" s="1696"/>
      <c r="Z183" s="1773"/>
    </row>
    <row r="184">
      <c r="A184" s="1765"/>
      <c r="B184" s="1782"/>
      <c r="C184" s="1765"/>
      <c r="D184" s="1765"/>
      <c r="E184" s="1765"/>
      <c r="F184" s="1765"/>
      <c r="G184" s="1765"/>
      <c r="H184" s="1765"/>
      <c r="I184" s="1765"/>
      <c r="J184" s="1765"/>
      <c r="K184" s="1765"/>
      <c r="L184" s="1765"/>
      <c r="M184" s="1765"/>
      <c r="N184" s="1765"/>
      <c r="O184" s="1765"/>
      <c r="P184" s="1765"/>
      <c r="Q184" s="1766"/>
      <c r="R184" s="1766"/>
      <c r="S184" s="1696"/>
      <c r="T184" s="1696"/>
      <c r="U184" s="1772"/>
      <c r="V184" s="1696"/>
      <c r="W184" s="1772"/>
      <c r="X184" s="1696"/>
      <c r="Y184" s="1696"/>
      <c r="Z184" s="1773"/>
    </row>
    <row r="185">
      <c r="A185" s="1771"/>
      <c r="B185" s="1777"/>
      <c r="C185" s="1771"/>
      <c r="D185" s="1771"/>
      <c r="E185" s="1771"/>
      <c r="F185" s="1771"/>
      <c r="G185" s="1770"/>
      <c r="H185" s="1771"/>
      <c r="I185" s="1778"/>
      <c r="J185" s="1771"/>
      <c r="K185" s="1771"/>
      <c r="L185" s="1771"/>
      <c r="M185" s="1771"/>
      <c r="N185" s="1779"/>
      <c r="O185" s="1770"/>
      <c r="P185" s="1771"/>
      <c r="Q185" s="1766"/>
      <c r="R185" s="1766"/>
      <c r="S185" s="1696"/>
      <c r="T185" s="1696"/>
      <c r="U185" s="1772"/>
      <c r="V185" s="1696"/>
      <c r="W185" s="1772"/>
      <c r="X185" s="1696"/>
      <c r="Y185" s="1696"/>
      <c r="Z185" s="1773"/>
    </row>
    <row r="186">
      <c r="A186" s="1766"/>
      <c r="B186" s="1780"/>
      <c r="C186" s="1766"/>
      <c r="D186" s="1766"/>
      <c r="E186" s="1766"/>
      <c r="F186" s="1766"/>
      <c r="G186" s="1766"/>
      <c r="H186" s="1766"/>
      <c r="I186" s="1766"/>
      <c r="J186" s="1766"/>
      <c r="K186" s="1766"/>
      <c r="L186" s="1766"/>
      <c r="M186" s="1766"/>
      <c r="N186" s="1781"/>
      <c r="O186" s="1766"/>
      <c r="P186" s="1766"/>
      <c r="Q186" s="1766"/>
      <c r="R186" s="1766"/>
      <c r="S186" s="1696"/>
      <c r="T186" s="1696"/>
      <c r="U186" s="1772"/>
      <c r="V186" s="1696"/>
      <c r="W186" s="1772"/>
      <c r="X186" s="1696"/>
      <c r="Y186" s="1696"/>
      <c r="Z186" s="1773"/>
    </row>
    <row r="187">
      <c r="A187" s="1765"/>
      <c r="B187" s="1782"/>
      <c r="C187" s="1765"/>
      <c r="D187" s="1765"/>
      <c r="E187" s="1765"/>
      <c r="F187" s="1765"/>
      <c r="G187" s="1765"/>
      <c r="H187" s="1765"/>
      <c r="I187" s="1765"/>
      <c r="J187" s="1765"/>
      <c r="K187" s="1765"/>
      <c r="L187" s="1765"/>
      <c r="M187" s="1765"/>
      <c r="N187" s="1765"/>
      <c r="O187" s="1765"/>
      <c r="P187" s="1765"/>
      <c r="Q187" s="1766"/>
      <c r="R187" s="1766"/>
      <c r="S187" s="1696"/>
      <c r="T187" s="1696"/>
      <c r="U187" s="1772"/>
      <c r="V187" s="1696"/>
      <c r="W187" s="1772"/>
      <c r="X187" s="1696"/>
      <c r="Y187" s="1696"/>
      <c r="Z187" s="1773"/>
    </row>
    <row r="188">
      <c r="A188" s="1771"/>
      <c r="B188" s="1777"/>
      <c r="C188" s="1771"/>
      <c r="D188" s="1771"/>
      <c r="E188" s="1771"/>
      <c r="F188" s="1771"/>
      <c r="G188" s="1770"/>
      <c r="H188" s="1771"/>
      <c r="I188" s="1778"/>
      <c r="J188" s="1771"/>
      <c r="K188" s="1771"/>
      <c r="L188" s="1771"/>
      <c r="M188" s="1771"/>
      <c r="N188" s="1779"/>
      <c r="O188" s="1770"/>
      <c r="P188" s="1771"/>
      <c r="Q188" s="1766"/>
      <c r="R188" s="1766"/>
      <c r="S188" s="1696"/>
      <c r="T188" s="1696"/>
      <c r="U188" s="1772"/>
      <c r="V188" s="1696"/>
      <c r="W188" s="1772"/>
      <c r="X188" s="1696"/>
      <c r="Y188" s="1696"/>
      <c r="Z188" s="1773"/>
    </row>
    <row r="189">
      <c r="A189" s="1766"/>
      <c r="B189" s="1780"/>
      <c r="C189" s="1766"/>
      <c r="D189" s="1766"/>
      <c r="E189" s="1766"/>
      <c r="F189" s="1766"/>
      <c r="G189" s="1766"/>
      <c r="H189" s="1766"/>
      <c r="I189" s="1766"/>
      <c r="J189" s="1766"/>
      <c r="K189" s="1766"/>
      <c r="L189" s="1766"/>
      <c r="M189" s="1766"/>
      <c r="N189" s="1781"/>
      <c r="O189" s="1766"/>
      <c r="P189" s="1766"/>
      <c r="Q189" s="1766"/>
      <c r="R189" s="1766"/>
      <c r="S189" s="1696"/>
      <c r="T189" s="1696"/>
      <c r="U189" s="1772"/>
      <c r="V189" s="1696"/>
      <c r="W189" s="1772"/>
      <c r="X189" s="1696"/>
      <c r="Y189" s="1696"/>
      <c r="Z189" s="1773"/>
    </row>
    <row r="190">
      <c r="A190" s="1765"/>
      <c r="B190" s="1782"/>
      <c r="C190" s="1765"/>
      <c r="D190" s="1765"/>
      <c r="E190" s="1765"/>
      <c r="F190" s="1765"/>
      <c r="G190" s="1765"/>
      <c r="H190" s="1765"/>
      <c r="I190" s="1765"/>
      <c r="J190" s="1765"/>
      <c r="K190" s="1765"/>
      <c r="L190" s="1765"/>
      <c r="M190" s="1765"/>
      <c r="N190" s="1765"/>
      <c r="O190" s="1765"/>
      <c r="P190" s="1765"/>
      <c r="Q190" s="1766"/>
      <c r="R190" s="1766"/>
      <c r="S190" s="1696"/>
      <c r="T190" s="1696"/>
      <c r="U190" s="1772"/>
      <c r="V190" s="1696"/>
      <c r="W190" s="1772"/>
      <c r="X190" s="1696"/>
      <c r="Y190" s="1696"/>
      <c r="Z190" s="1773"/>
    </row>
    <row r="191">
      <c r="A191" s="1771"/>
      <c r="B191" s="1777"/>
      <c r="C191" s="1771"/>
      <c r="D191" s="1771"/>
      <c r="E191" s="1771"/>
      <c r="F191" s="1771"/>
      <c r="G191" s="1770"/>
      <c r="H191" s="1771"/>
      <c r="I191" s="1778"/>
      <c r="J191" s="1771"/>
      <c r="K191" s="1771"/>
      <c r="L191" s="1771"/>
      <c r="M191" s="1771"/>
      <c r="N191" s="1779"/>
      <c r="O191" s="1770"/>
      <c r="P191" s="1771"/>
      <c r="Q191" s="1766"/>
      <c r="R191" s="1766"/>
      <c r="S191" s="1696"/>
      <c r="T191" s="1696"/>
      <c r="U191" s="1772"/>
      <c r="V191" s="1696"/>
      <c r="W191" s="1772"/>
      <c r="X191" s="1696"/>
      <c r="Y191" s="1696"/>
      <c r="Z191" s="1773"/>
    </row>
    <row r="192">
      <c r="A192" s="1766"/>
      <c r="B192" s="1780"/>
      <c r="C192" s="1766"/>
      <c r="D192" s="1766"/>
      <c r="E192" s="1766"/>
      <c r="F192" s="1766"/>
      <c r="G192" s="1766"/>
      <c r="H192" s="1766"/>
      <c r="I192" s="1766"/>
      <c r="J192" s="1766"/>
      <c r="K192" s="1766"/>
      <c r="L192" s="1766"/>
      <c r="M192" s="1766"/>
      <c r="N192" s="1781"/>
      <c r="O192" s="1766"/>
      <c r="P192" s="1766"/>
      <c r="Q192" s="1766"/>
      <c r="R192" s="1766"/>
      <c r="S192" s="1696"/>
      <c r="T192" s="1696"/>
      <c r="U192" s="1772"/>
      <c r="V192" s="1696"/>
      <c r="W192" s="1772"/>
      <c r="X192" s="1696"/>
      <c r="Y192" s="1696"/>
      <c r="Z192" s="1773"/>
    </row>
    <row r="193">
      <c r="A193" s="1765"/>
      <c r="B193" s="1782"/>
      <c r="C193" s="1765"/>
      <c r="D193" s="1765"/>
      <c r="E193" s="1765"/>
      <c r="F193" s="1765"/>
      <c r="G193" s="1765"/>
      <c r="H193" s="1765"/>
      <c r="I193" s="1765"/>
      <c r="J193" s="1765"/>
      <c r="K193" s="1765"/>
      <c r="L193" s="1765"/>
      <c r="M193" s="1765"/>
      <c r="N193" s="1765"/>
      <c r="O193" s="1765"/>
      <c r="P193" s="1765"/>
      <c r="Q193" s="1766"/>
      <c r="R193" s="1766"/>
      <c r="S193" s="1696"/>
      <c r="T193" s="1696"/>
      <c r="U193" s="1772"/>
      <c r="V193" s="1696"/>
      <c r="W193" s="1772"/>
      <c r="X193" s="1696"/>
      <c r="Y193" s="1696"/>
      <c r="Z193" s="1773"/>
    </row>
    <row r="194">
      <c r="A194" s="1771"/>
      <c r="B194" s="1777"/>
      <c r="C194" s="1771"/>
      <c r="D194" s="1771"/>
      <c r="E194" s="1771"/>
      <c r="F194" s="1771"/>
      <c r="G194" s="1770"/>
      <c r="H194" s="1771"/>
      <c r="I194" s="1778"/>
      <c r="J194" s="1771"/>
      <c r="K194" s="1771"/>
      <c r="L194" s="1771"/>
      <c r="M194" s="1771"/>
      <c r="N194" s="1779"/>
      <c r="O194" s="1770"/>
      <c r="P194" s="1771"/>
      <c r="Q194" s="1766"/>
      <c r="R194" s="1766"/>
      <c r="S194" s="1696"/>
      <c r="T194" s="1696"/>
      <c r="U194" s="1772"/>
      <c r="V194" s="1696"/>
      <c r="W194" s="1772"/>
      <c r="X194" s="1696"/>
      <c r="Y194" s="1696"/>
      <c r="Z194" s="1773"/>
    </row>
    <row r="195">
      <c r="A195" s="1766"/>
      <c r="B195" s="1780"/>
      <c r="C195" s="1766"/>
      <c r="D195" s="1766"/>
      <c r="E195" s="1766"/>
      <c r="F195" s="1766"/>
      <c r="G195" s="1766"/>
      <c r="H195" s="1766"/>
      <c r="I195" s="1766"/>
      <c r="J195" s="1766"/>
      <c r="K195" s="1766"/>
      <c r="L195" s="1766"/>
      <c r="M195" s="1766"/>
      <c r="N195" s="1781"/>
      <c r="O195" s="1766"/>
      <c r="P195" s="1766"/>
      <c r="Q195" s="1766"/>
      <c r="R195" s="1766"/>
      <c r="S195" s="1696"/>
      <c r="T195" s="1696"/>
      <c r="U195" s="1772"/>
      <c r="V195" s="1696"/>
      <c r="W195" s="1772"/>
      <c r="X195" s="1696"/>
      <c r="Y195" s="1696"/>
      <c r="Z195" s="1773"/>
    </row>
    <row r="196">
      <c r="A196" s="1765"/>
      <c r="B196" s="1782"/>
      <c r="C196" s="1765"/>
      <c r="D196" s="1765"/>
      <c r="E196" s="1765"/>
      <c r="F196" s="1765"/>
      <c r="G196" s="1765"/>
      <c r="H196" s="1765"/>
      <c r="I196" s="1765"/>
      <c r="J196" s="1765"/>
      <c r="K196" s="1765"/>
      <c r="L196" s="1765"/>
      <c r="M196" s="1765"/>
      <c r="N196" s="1765"/>
      <c r="O196" s="1765"/>
      <c r="P196" s="1765"/>
      <c r="Q196" s="1766"/>
      <c r="R196" s="1766"/>
      <c r="S196" s="1696"/>
      <c r="T196" s="1696"/>
      <c r="U196" s="1772"/>
      <c r="V196" s="1696"/>
      <c r="W196" s="1772"/>
      <c r="X196" s="1696"/>
      <c r="Y196" s="1696"/>
      <c r="Z196" s="1773"/>
    </row>
    <row r="197">
      <c r="A197" s="1771"/>
      <c r="B197" s="1777"/>
      <c r="C197" s="1771"/>
      <c r="D197" s="1771"/>
      <c r="E197" s="1771"/>
      <c r="F197" s="1771"/>
      <c r="G197" s="1770"/>
      <c r="H197" s="1771"/>
      <c r="I197" s="1778"/>
      <c r="J197" s="1771"/>
      <c r="K197" s="1771"/>
      <c r="L197" s="1771"/>
      <c r="M197" s="1771"/>
      <c r="N197" s="1779"/>
      <c r="O197" s="1770"/>
      <c r="P197" s="1771"/>
      <c r="Q197" s="1766"/>
      <c r="R197" s="1766"/>
      <c r="S197" s="1696"/>
      <c r="T197" s="1696"/>
      <c r="U197" s="1772"/>
      <c r="V197" s="1696"/>
      <c r="W197" s="1772"/>
      <c r="X197" s="1696"/>
      <c r="Y197" s="1696"/>
      <c r="Z197" s="1773"/>
    </row>
    <row r="198">
      <c r="A198" s="1766"/>
      <c r="B198" s="1780"/>
      <c r="C198" s="1766"/>
      <c r="D198" s="1766"/>
      <c r="E198" s="1766"/>
      <c r="F198" s="1766"/>
      <c r="G198" s="1766"/>
      <c r="H198" s="1766"/>
      <c r="I198" s="1766"/>
      <c r="J198" s="1766"/>
      <c r="K198" s="1766"/>
      <c r="L198" s="1766"/>
      <c r="M198" s="1766"/>
      <c r="N198" s="1781"/>
      <c r="O198" s="1766"/>
      <c r="P198" s="1766"/>
      <c r="Q198" s="1766"/>
      <c r="R198" s="1766"/>
      <c r="S198" s="1696"/>
      <c r="T198" s="1696"/>
      <c r="U198" s="1772"/>
      <c r="V198" s="1696"/>
      <c r="W198" s="1772"/>
      <c r="X198" s="1696"/>
      <c r="Y198" s="1696"/>
      <c r="Z198" s="1773"/>
    </row>
    <row r="199">
      <c r="A199" s="1765"/>
      <c r="B199" s="1782"/>
      <c r="C199" s="1765"/>
      <c r="D199" s="1765"/>
      <c r="E199" s="1765"/>
      <c r="F199" s="1765"/>
      <c r="G199" s="1765"/>
      <c r="H199" s="1765"/>
      <c r="I199" s="1765"/>
      <c r="J199" s="1765"/>
      <c r="K199" s="1765"/>
      <c r="L199" s="1765"/>
      <c r="M199" s="1765"/>
      <c r="N199" s="1765"/>
      <c r="O199" s="1765"/>
      <c r="P199" s="1765"/>
      <c r="Q199" s="1766"/>
      <c r="R199" s="1766"/>
      <c r="S199" s="1696"/>
      <c r="T199" s="1696"/>
      <c r="U199" s="1772"/>
      <c r="V199" s="1696"/>
      <c r="W199" s="1772"/>
      <c r="X199" s="1696"/>
      <c r="Y199" s="1696"/>
      <c r="Z199" s="1773"/>
    </row>
    <row r="200">
      <c r="A200" s="1771"/>
      <c r="B200" s="1777"/>
      <c r="C200" s="1771"/>
      <c r="D200" s="1771"/>
      <c r="E200" s="1771"/>
      <c r="F200" s="1771"/>
      <c r="G200" s="1770"/>
      <c r="H200" s="1771"/>
      <c r="I200" s="1778"/>
      <c r="J200" s="1771"/>
      <c r="K200" s="1771"/>
      <c r="L200" s="1771"/>
      <c r="M200" s="1771"/>
      <c r="N200" s="1779"/>
      <c r="O200" s="1770"/>
      <c r="P200" s="1771"/>
      <c r="Q200" s="1766"/>
      <c r="R200" s="1766"/>
      <c r="S200" s="1696"/>
      <c r="T200" s="1696"/>
      <c r="U200" s="1772"/>
      <c r="V200" s="1696"/>
      <c r="W200" s="1772"/>
      <c r="X200" s="1696"/>
      <c r="Y200" s="1696"/>
      <c r="Z200" s="1773"/>
    </row>
    <row r="201">
      <c r="A201" s="1766"/>
      <c r="B201" s="1780"/>
      <c r="C201" s="1766"/>
      <c r="D201" s="1766"/>
      <c r="E201" s="1766"/>
      <c r="F201" s="1766"/>
      <c r="G201" s="1766"/>
      <c r="H201" s="1766"/>
      <c r="I201" s="1766"/>
      <c r="J201" s="1766"/>
      <c r="K201" s="1766"/>
      <c r="L201" s="1766"/>
      <c r="M201" s="1766"/>
      <c r="N201" s="1781"/>
      <c r="O201" s="1766"/>
      <c r="P201" s="1766"/>
      <c r="Q201" s="1766"/>
      <c r="R201" s="1766"/>
      <c r="S201" s="1696"/>
      <c r="T201" s="1696"/>
      <c r="U201" s="1772"/>
      <c r="V201" s="1696"/>
      <c r="W201" s="1772"/>
      <c r="X201" s="1696"/>
      <c r="Y201" s="1696"/>
      <c r="Z201" s="1773"/>
    </row>
    <row r="202">
      <c r="A202" s="1765"/>
      <c r="B202" s="1782"/>
      <c r="C202" s="1765"/>
      <c r="D202" s="1765"/>
      <c r="E202" s="1765"/>
      <c r="F202" s="1765"/>
      <c r="G202" s="1765"/>
      <c r="H202" s="1765"/>
      <c r="I202" s="1765"/>
      <c r="J202" s="1765"/>
      <c r="K202" s="1765"/>
      <c r="L202" s="1765"/>
      <c r="M202" s="1765"/>
      <c r="N202" s="1765"/>
      <c r="O202" s="1765"/>
      <c r="P202" s="1765"/>
      <c r="Q202" s="1766"/>
      <c r="R202" s="1766"/>
      <c r="S202" s="1696"/>
      <c r="T202" s="1696"/>
      <c r="U202" s="1772"/>
      <c r="V202" s="1696"/>
      <c r="W202" s="1772"/>
      <c r="X202" s="1696"/>
      <c r="Y202" s="1696"/>
      <c r="Z202" s="1773"/>
    </row>
    <row r="203">
      <c r="A203" s="1771"/>
      <c r="B203" s="1777"/>
      <c r="C203" s="1771"/>
      <c r="D203" s="1771"/>
      <c r="E203" s="1771"/>
      <c r="F203" s="1771"/>
      <c r="G203" s="1770"/>
      <c r="H203" s="1771"/>
      <c r="I203" s="1778"/>
      <c r="J203" s="1771"/>
      <c r="K203" s="1771"/>
      <c r="L203" s="1771"/>
      <c r="M203" s="1771"/>
      <c r="N203" s="1779"/>
      <c r="O203" s="1770"/>
      <c r="P203" s="1771"/>
      <c r="Q203" s="1766"/>
      <c r="R203" s="1766"/>
      <c r="S203" s="1696"/>
      <c r="T203" s="1696"/>
      <c r="U203" s="1772"/>
      <c r="V203" s="1696"/>
      <c r="W203" s="1772"/>
      <c r="X203" s="1696"/>
      <c r="Y203" s="1696"/>
      <c r="Z203" s="1773"/>
    </row>
    <row r="204">
      <c r="A204" s="1766"/>
      <c r="B204" s="1780"/>
      <c r="C204" s="1766"/>
      <c r="D204" s="1766"/>
      <c r="E204" s="1766"/>
      <c r="F204" s="1766"/>
      <c r="G204" s="1766"/>
      <c r="H204" s="1766"/>
      <c r="I204" s="1766"/>
      <c r="J204" s="1766"/>
      <c r="K204" s="1766"/>
      <c r="L204" s="1766"/>
      <c r="M204" s="1766"/>
      <c r="N204" s="1781"/>
      <c r="O204" s="1766"/>
      <c r="P204" s="1766"/>
      <c r="Q204" s="1766"/>
      <c r="R204" s="1766"/>
      <c r="S204" s="1696"/>
      <c r="T204" s="1696"/>
      <c r="U204" s="1772"/>
      <c r="V204" s="1696"/>
      <c r="W204" s="1772"/>
      <c r="X204" s="1696"/>
      <c r="Y204" s="1696"/>
      <c r="Z204" s="1773"/>
    </row>
    <row r="205">
      <c r="A205" s="1765"/>
      <c r="B205" s="1782"/>
      <c r="C205" s="1765"/>
      <c r="D205" s="1765"/>
      <c r="E205" s="1765"/>
      <c r="F205" s="1765"/>
      <c r="G205" s="1765"/>
      <c r="H205" s="1765"/>
      <c r="I205" s="1765"/>
      <c r="J205" s="1765"/>
      <c r="K205" s="1765"/>
      <c r="L205" s="1765"/>
      <c r="M205" s="1765"/>
      <c r="N205" s="1765"/>
      <c r="O205" s="1765"/>
      <c r="P205" s="1765"/>
      <c r="Q205" s="1766"/>
      <c r="R205" s="1766"/>
      <c r="S205" s="1696"/>
      <c r="T205" s="1696"/>
      <c r="U205" s="1772"/>
      <c r="V205" s="1696"/>
      <c r="W205" s="1772"/>
      <c r="X205" s="1696"/>
      <c r="Y205" s="1696"/>
      <c r="Z205" s="1773"/>
    </row>
    <row r="206">
      <c r="A206" s="1771"/>
      <c r="B206" s="1777"/>
      <c r="C206" s="1771"/>
      <c r="D206" s="1771"/>
      <c r="E206" s="1771"/>
      <c r="F206" s="1771"/>
      <c r="G206" s="1770"/>
      <c r="H206" s="1771"/>
      <c r="I206" s="1778"/>
      <c r="J206" s="1771"/>
      <c r="K206" s="1771"/>
      <c r="L206" s="1771"/>
      <c r="M206" s="1771"/>
      <c r="N206" s="1779"/>
      <c r="O206" s="1770"/>
      <c r="P206" s="1771"/>
      <c r="Q206" s="1766"/>
      <c r="R206" s="1766"/>
      <c r="S206" s="1696"/>
      <c r="T206" s="1696"/>
      <c r="U206" s="1772"/>
      <c r="V206" s="1696"/>
      <c r="W206" s="1772"/>
      <c r="X206" s="1696"/>
      <c r="Y206" s="1696"/>
      <c r="Z206" s="1773"/>
    </row>
    <row r="207">
      <c r="A207" s="1766"/>
      <c r="B207" s="1780"/>
      <c r="C207" s="1766"/>
      <c r="D207" s="1766"/>
      <c r="E207" s="1766"/>
      <c r="F207" s="1766"/>
      <c r="G207" s="1766"/>
      <c r="H207" s="1766"/>
      <c r="I207" s="1766"/>
      <c r="J207" s="1766"/>
      <c r="K207" s="1766"/>
      <c r="L207" s="1766"/>
      <c r="M207" s="1766"/>
      <c r="N207" s="1781"/>
      <c r="O207" s="1766"/>
      <c r="P207" s="1766"/>
      <c r="Q207" s="1766"/>
      <c r="R207" s="1766"/>
      <c r="S207" s="1696"/>
      <c r="T207" s="1696"/>
      <c r="U207" s="1772"/>
      <c r="V207" s="1696"/>
      <c r="W207" s="1772"/>
      <c r="X207" s="1696"/>
      <c r="Y207" s="1696"/>
      <c r="Z207" s="1773"/>
    </row>
    <row r="208">
      <c r="A208" s="1765"/>
      <c r="B208" s="1782"/>
      <c r="C208" s="1765"/>
      <c r="D208" s="1765"/>
      <c r="E208" s="1765"/>
      <c r="F208" s="1765"/>
      <c r="G208" s="1765"/>
      <c r="H208" s="1765"/>
      <c r="I208" s="1765"/>
      <c r="J208" s="1765"/>
      <c r="K208" s="1765"/>
      <c r="L208" s="1765"/>
      <c r="M208" s="1765"/>
      <c r="N208" s="1765"/>
      <c r="O208" s="1765"/>
      <c r="P208" s="1765"/>
      <c r="Q208" s="1766"/>
      <c r="R208" s="1766"/>
      <c r="S208" s="1696"/>
      <c r="T208" s="1696"/>
      <c r="U208" s="1772"/>
      <c r="V208" s="1696"/>
      <c r="W208" s="1772"/>
      <c r="X208" s="1696"/>
      <c r="Y208" s="1696"/>
      <c r="Z208" s="1773"/>
    </row>
    <row r="209">
      <c r="A209" s="1771"/>
      <c r="B209" s="1777"/>
      <c r="C209" s="1771"/>
      <c r="D209" s="1771"/>
      <c r="E209" s="1771"/>
      <c r="F209" s="1771"/>
      <c r="G209" s="1770"/>
      <c r="H209" s="1771"/>
      <c r="I209" s="1778"/>
      <c r="J209" s="1771"/>
      <c r="K209" s="1771"/>
      <c r="L209" s="1771"/>
      <c r="M209" s="1771"/>
      <c r="N209" s="1779"/>
      <c r="O209" s="1770"/>
      <c r="P209" s="1771"/>
      <c r="Q209" s="1766"/>
      <c r="R209" s="1766"/>
      <c r="S209" s="1696"/>
      <c r="T209" s="1696"/>
      <c r="U209" s="1772"/>
      <c r="V209" s="1696"/>
      <c r="W209" s="1772"/>
      <c r="X209" s="1696"/>
      <c r="Y209" s="1696"/>
      <c r="Z209" s="1773"/>
    </row>
    <row r="210">
      <c r="A210" s="1766"/>
      <c r="B210" s="1780"/>
      <c r="C210" s="1766"/>
      <c r="D210" s="1766"/>
      <c r="E210" s="1766"/>
      <c r="F210" s="1766"/>
      <c r="G210" s="1766"/>
      <c r="H210" s="1766"/>
      <c r="I210" s="1766"/>
      <c r="J210" s="1766"/>
      <c r="K210" s="1766"/>
      <c r="L210" s="1766"/>
      <c r="M210" s="1766"/>
      <c r="N210" s="1781"/>
      <c r="O210" s="1766"/>
      <c r="P210" s="1766"/>
      <c r="Q210" s="1766"/>
      <c r="R210" s="1766"/>
      <c r="S210" s="1696"/>
      <c r="T210" s="1696"/>
      <c r="U210" s="1772"/>
      <c r="V210" s="1696"/>
      <c r="W210" s="1772"/>
      <c r="X210" s="1696"/>
      <c r="Y210" s="1696"/>
      <c r="Z210" s="1773"/>
    </row>
    <row r="211">
      <c r="A211" s="1765"/>
      <c r="B211" s="1782"/>
      <c r="C211" s="1765"/>
      <c r="D211" s="1765"/>
      <c r="E211" s="1765"/>
      <c r="F211" s="1765"/>
      <c r="G211" s="1765"/>
      <c r="H211" s="1765"/>
      <c r="I211" s="1765"/>
      <c r="J211" s="1765"/>
      <c r="K211" s="1765"/>
      <c r="L211" s="1765"/>
      <c r="M211" s="1765"/>
      <c r="N211" s="1765"/>
      <c r="O211" s="1765"/>
      <c r="P211" s="1765"/>
      <c r="Q211" s="1766"/>
      <c r="R211" s="1766"/>
      <c r="S211" s="1696"/>
      <c r="T211" s="1696"/>
      <c r="U211" s="1772"/>
      <c r="V211" s="1696"/>
      <c r="W211" s="1772"/>
      <c r="X211" s="1696"/>
      <c r="Y211" s="1696"/>
      <c r="Z211" s="1773"/>
    </row>
    <row r="212">
      <c r="A212" s="1771"/>
      <c r="B212" s="1777"/>
      <c r="C212" s="1771"/>
      <c r="D212" s="1771"/>
      <c r="E212" s="1771"/>
      <c r="F212" s="1771"/>
      <c r="G212" s="1770"/>
      <c r="H212" s="1771"/>
      <c r="I212" s="1778"/>
      <c r="J212" s="1771"/>
      <c r="K212" s="1771"/>
      <c r="L212" s="1771"/>
      <c r="M212" s="1771"/>
      <c r="N212" s="1779"/>
      <c r="O212" s="1770"/>
      <c r="P212" s="1771"/>
      <c r="Q212" s="1766"/>
      <c r="R212" s="1766"/>
      <c r="S212" s="1696"/>
      <c r="T212" s="1696"/>
      <c r="U212" s="1772"/>
      <c r="V212" s="1696"/>
      <c r="W212" s="1772"/>
      <c r="X212" s="1696"/>
      <c r="Y212" s="1696"/>
      <c r="Z212" s="1773"/>
    </row>
    <row r="213">
      <c r="A213" s="1766"/>
      <c r="B213" s="1780"/>
      <c r="C213" s="1766"/>
      <c r="D213" s="1766"/>
      <c r="E213" s="1766"/>
      <c r="F213" s="1766"/>
      <c r="G213" s="1766"/>
      <c r="H213" s="1766"/>
      <c r="I213" s="1766"/>
      <c r="J213" s="1766"/>
      <c r="K213" s="1766"/>
      <c r="L213" s="1766"/>
      <c r="M213" s="1766"/>
      <c r="N213" s="1781"/>
      <c r="O213" s="1766"/>
      <c r="P213" s="1766"/>
      <c r="Q213" s="1766"/>
      <c r="R213" s="1766"/>
      <c r="S213" s="1696"/>
      <c r="T213" s="1696"/>
      <c r="U213" s="1772"/>
      <c r="V213" s="1696"/>
      <c r="W213" s="1772"/>
      <c r="X213" s="1696"/>
      <c r="Y213" s="1696"/>
      <c r="Z213" s="1773"/>
    </row>
    <row r="214">
      <c r="A214" s="1765"/>
      <c r="B214" s="1782"/>
      <c r="C214" s="1765"/>
      <c r="D214" s="1765"/>
      <c r="E214" s="1765"/>
      <c r="F214" s="1765"/>
      <c r="G214" s="1765"/>
      <c r="H214" s="1765"/>
      <c r="I214" s="1765"/>
      <c r="J214" s="1765"/>
      <c r="K214" s="1765"/>
      <c r="L214" s="1765"/>
      <c r="M214" s="1765"/>
      <c r="N214" s="1765"/>
      <c r="O214" s="1765"/>
      <c r="P214" s="1765"/>
      <c r="Q214" s="1766"/>
      <c r="R214" s="1766"/>
      <c r="S214" s="1696"/>
      <c r="T214" s="1696"/>
      <c r="U214" s="1772"/>
      <c r="V214" s="1696"/>
      <c r="W214" s="1772"/>
      <c r="X214" s="1696"/>
      <c r="Y214" s="1696"/>
      <c r="Z214" s="1773"/>
    </row>
    <row r="215">
      <c r="A215" s="1771"/>
      <c r="B215" s="1777"/>
      <c r="C215" s="1771"/>
      <c r="D215" s="1771"/>
      <c r="E215" s="1771"/>
      <c r="F215" s="1771"/>
      <c r="G215" s="1770"/>
      <c r="H215" s="1771"/>
      <c r="I215" s="1778"/>
      <c r="J215" s="1771"/>
      <c r="K215" s="1771"/>
      <c r="L215" s="1771"/>
      <c r="M215" s="1771"/>
      <c r="N215" s="1779"/>
      <c r="O215" s="1770"/>
      <c r="P215" s="1771"/>
      <c r="Q215" s="1766"/>
      <c r="R215" s="1766"/>
      <c r="S215" s="1696"/>
      <c r="T215" s="1696"/>
      <c r="U215" s="1772"/>
      <c r="V215" s="1696"/>
      <c r="W215" s="1772"/>
      <c r="X215" s="1696"/>
      <c r="Y215" s="1696"/>
      <c r="Z215" s="1773"/>
    </row>
    <row r="216">
      <c r="A216" s="1766"/>
      <c r="B216" s="1780"/>
      <c r="C216" s="1766"/>
      <c r="D216" s="1766"/>
      <c r="E216" s="1766"/>
      <c r="F216" s="1766"/>
      <c r="G216" s="1766"/>
      <c r="H216" s="1766"/>
      <c r="I216" s="1766"/>
      <c r="J216" s="1766"/>
      <c r="K216" s="1766"/>
      <c r="L216" s="1766"/>
      <c r="M216" s="1766"/>
      <c r="N216" s="1781"/>
      <c r="O216" s="1766"/>
      <c r="P216" s="1766"/>
      <c r="Q216" s="1766"/>
      <c r="R216" s="1766"/>
      <c r="S216" s="1696"/>
      <c r="T216" s="1696"/>
      <c r="U216" s="1772"/>
      <c r="V216" s="1696"/>
      <c r="W216" s="1772"/>
      <c r="X216" s="1696"/>
      <c r="Y216" s="1696"/>
      <c r="Z216" s="1773"/>
    </row>
    <row r="217">
      <c r="A217" s="1765"/>
      <c r="B217" s="1782"/>
      <c r="C217" s="1765"/>
      <c r="D217" s="1765"/>
      <c r="E217" s="1765"/>
      <c r="F217" s="1765"/>
      <c r="G217" s="1765"/>
      <c r="H217" s="1765"/>
      <c r="I217" s="1765"/>
      <c r="J217" s="1765"/>
      <c r="K217" s="1765"/>
      <c r="L217" s="1765"/>
      <c r="M217" s="1765"/>
      <c r="N217" s="1765"/>
      <c r="O217" s="1765"/>
      <c r="P217" s="1765"/>
      <c r="Q217" s="1766"/>
      <c r="R217" s="1766"/>
      <c r="S217" s="1696"/>
      <c r="T217" s="1696"/>
      <c r="U217" s="1772"/>
      <c r="V217" s="1696"/>
      <c r="W217" s="1772"/>
      <c r="X217" s="1696"/>
      <c r="Y217" s="1696"/>
      <c r="Z217" s="1773"/>
    </row>
    <row r="218">
      <c r="A218" s="1771"/>
      <c r="B218" s="1777"/>
      <c r="C218" s="1771"/>
      <c r="D218" s="1771"/>
      <c r="E218" s="1771"/>
      <c r="F218" s="1771"/>
      <c r="G218" s="1771"/>
      <c r="H218" s="1771"/>
      <c r="I218" s="1778"/>
      <c r="J218" s="1771"/>
      <c r="K218" s="1771"/>
      <c r="L218" s="1771"/>
      <c r="M218" s="1771"/>
      <c r="N218" s="1779"/>
      <c r="O218" s="1770"/>
      <c r="P218" s="1771"/>
      <c r="Q218" s="1766"/>
      <c r="R218" s="1766"/>
      <c r="S218" s="1696"/>
      <c r="T218" s="1696"/>
      <c r="U218" s="1772"/>
      <c r="V218" s="1696"/>
      <c r="W218" s="1772"/>
      <c r="X218" s="1696"/>
      <c r="Y218" s="1696"/>
      <c r="Z218" s="1773"/>
    </row>
    <row r="219">
      <c r="A219" s="1766"/>
      <c r="B219" s="1780"/>
      <c r="C219" s="1766"/>
      <c r="D219" s="1766"/>
      <c r="E219" s="1766"/>
      <c r="F219" s="1766"/>
      <c r="G219" s="1766"/>
      <c r="H219" s="1766"/>
      <c r="I219" s="1766"/>
      <c r="J219" s="1766"/>
      <c r="K219" s="1766"/>
      <c r="L219" s="1766"/>
      <c r="M219" s="1766"/>
      <c r="N219" s="1766"/>
      <c r="O219" s="1766"/>
      <c r="P219" s="1766"/>
      <c r="Q219" s="1766"/>
      <c r="R219" s="1766"/>
      <c r="S219" s="1696"/>
      <c r="U219" s="1772"/>
      <c r="V219" s="1696"/>
      <c r="W219" s="1772"/>
      <c r="X219" s="1696"/>
      <c r="Y219" s="1696"/>
      <c r="Z219" s="1773"/>
    </row>
    <row r="220">
      <c r="A220" s="1765"/>
      <c r="B220" s="1782"/>
      <c r="C220" s="1765"/>
      <c r="D220" s="1765"/>
      <c r="E220" s="1765"/>
      <c r="F220" s="1765"/>
      <c r="G220" s="1765"/>
      <c r="H220" s="1765"/>
      <c r="I220" s="1765"/>
      <c r="J220" s="1765"/>
      <c r="K220" s="1765"/>
      <c r="L220" s="1765"/>
      <c r="M220" s="1765"/>
      <c r="N220" s="1765"/>
      <c r="O220" s="1765"/>
      <c r="P220" s="1765"/>
      <c r="Q220" s="1766"/>
      <c r="R220" s="1766"/>
      <c r="S220" s="1696"/>
      <c r="T220" s="1696"/>
      <c r="U220" s="1772"/>
      <c r="V220" s="1696"/>
      <c r="W220" s="1772"/>
      <c r="X220" s="1696"/>
      <c r="Y220" s="1696"/>
      <c r="Z220" s="1773"/>
    </row>
    <row r="221">
      <c r="A221" s="1771"/>
      <c r="B221" s="1777"/>
      <c r="C221" s="1771"/>
      <c r="D221" s="1771"/>
      <c r="E221" s="1771"/>
      <c r="F221" s="1771"/>
      <c r="G221" s="1770"/>
      <c r="H221" s="1771"/>
      <c r="I221" s="1778"/>
      <c r="J221" s="1771"/>
      <c r="K221" s="1771"/>
      <c r="L221" s="1771"/>
      <c r="M221" s="1771"/>
      <c r="N221" s="1770"/>
      <c r="O221" s="1770"/>
      <c r="P221" s="1771"/>
      <c r="Q221" s="1766"/>
      <c r="R221" s="1766"/>
      <c r="S221" s="1696"/>
      <c r="T221" s="1696"/>
      <c r="U221" s="1772"/>
      <c r="V221" s="1696"/>
      <c r="W221" s="1772"/>
      <c r="X221" s="1696"/>
      <c r="Y221" s="1696"/>
      <c r="Z221" s="1773"/>
    </row>
    <row r="222">
      <c r="A222" s="1766"/>
      <c r="B222" s="1780"/>
      <c r="C222" s="1766"/>
      <c r="D222" s="1766"/>
      <c r="E222" s="1766"/>
      <c r="F222" s="1766"/>
      <c r="G222" s="1766"/>
      <c r="H222" s="1766"/>
      <c r="I222" s="1766"/>
      <c r="J222" s="1766"/>
      <c r="K222" s="1766"/>
      <c r="L222" s="1766"/>
      <c r="M222" s="1766"/>
      <c r="N222" s="1781"/>
      <c r="O222" s="1766"/>
      <c r="P222" s="1766"/>
      <c r="Q222" s="1766"/>
      <c r="R222" s="1766"/>
      <c r="S222" s="1696"/>
      <c r="T222" s="1696"/>
      <c r="U222" s="1772"/>
      <c r="V222" s="1696"/>
      <c r="W222" s="1772"/>
      <c r="X222" s="1696"/>
      <c r="Y222" s="1696"/>
      <c r="Z222" s="1696"/>
    </row>
    <row r="223">
      <c r="A223" s="1765"/>
      <c r="B223" s="1782"/>
      <c r="C223" s="1765"/>
      <c r="D223" s="1765"/>
      <c r="E223" s="1765"/>
      <c r="F223" s="1765"/>
      <c r="G223" s="1765"/>
      <c r="H223" s="1765"/>
      <c r="I223" s="1765"/>
      <c r="J223" s="1765"/>
      <c r="K223" s="1765"/>
      <c r="L223" s="1765"/>
      <c r="M223" s="1765"/>
      <c r="N223" s="1765"/>
      <c r="O223" s="1765"/>
      <c r="P223" s="1765"/>
      <c r="Q223" s="1766"/>
      <c r="R223" s="1766"/>
      <c r="S223" s="1696"/>
      <c r="T223" s="1696"/>
      <c r="U223" s="1772"/>
      <c r="V223" s="1696"/>
      <c r="W223" s="1772"/>
      <c r="X223" s="1696"/>
      <c r="Y223" s="1696"/>
      <c r="Z223" s="1696"/>
    </row>
    <row r="224">
      <c r="A224" s="1771"/>
      <c r="B224" s="1777"/>
      <c r="C224" s="1771"/>
      <c r="D224" s="1771"/>
      <c r="E224" s="1771"/>
      <c r="F224" s="1771"/>
      <c r="G224" s="1770"/>
      <c r="H224" s="1771"/>
      <c r="I224" s="1778"/>
      <c r="J224" s="1771"/>
      <c r="K224" s="1771"/>
      <c r="L224" s="1771"/>
      <c r="M224" s="1771"/>
      <c r="N224" s="1779"/>
      <c r="O224" s="1770"/>
      <c r="P224" s="1771"/>
      <c r="Q224" s="1766"/>
      <c r="R224" s="1766"/>
      <c r="S224" s="1696"/>
      <c r="T224" s="1696"/>
      <c r="U224" s="1772"/>
      <c r="V224" s="1696"/>
      <c r="W224" s="1772"/>
      <c r="X224" s="1696"/>
      <c r="Y224" s="1696"/>
      <c r="Z224" s="1696"/>
    </row>
    <row r="225">
      <c r="A225" s="1766"/>
      <c r="B225" s="1780"/>
      <c r="C225" s="1766"/>
      <c r="D225" s="1766"/>
      <c r="E225" s="1766"/>
      <c r="F225" s="1766"/>
      <c r="G225" s="1766"/>
      <c r="H225" s="1766"/>
      <c r="I225" s="1766"/>
      <c r="J225" s="1766"/>
      <c r="K225" s="1766"/>
      <c r="L225" s="1766"/>
      <c r="M225" s="1766"/>
      <c r="N225" s="1781"/>
      <c r="O225" s="1766"/>
      <c r="P225" s="1766"/>
      <c r="Q225" s="1766"/>
      <c r="R225" s="1766"/>
      <c r="S225" s="1696"/>
      <c r="T225" s="1696"/>
      <c r="U225" s="1772"/>
      <c r="V225" s="1696"/>
      <c r="W225" s="1772"/>
      <c r="X225" s="1696"/>
      <c r="Y225" s="1696"/>
      <c r="Z225" s="1773"/>
    </row>
    <row r="226">
      <c r="A226" s="1765"/>
      <c r="B226" s="1782"/>
      <c r="C226" s="1765"/>
      <c r="D226" s="1765"/>
      <c r="E226" s="1765"/>
      <c r="F226" s="1765"/>
      <c r="G226" s="1765"/>
      <c r="H226" s="1765"/>
      <c r="I226" s="1765"/>
      <c r="J226" s="1765"/>
      <c r="K226" s="1765"/>
      <c r="L226" s="1765"/>
      <c r="M226" s="1765"/>
      <c r="N226" s="1765"/>
      <c r="O226" s="1765"/>
      <c r="P226" s="1765"/>
      <c r="Q226" s="1766"/>
      <c r="R226" s="1766"/>
      <c r="S226" s="1696"/>
      <c r="T226" s="1696"/>
      <c r="U226" s="1772"/>
      <c r="V226" s="1696"/>
      <c r="W226" s="1772"/>
      <c r="X226" s="1696"/>
      <c r="Y226" s="1696"/>
      <c r="Z226" s="1773"/>
    </row>
    <row r="227">
      <c r="A227" s="1771"/>
      <c r="B227" s="1777"/>
      <c r="C227" s="1771"/>
      <c r="D227" s="1771"/>
      <c r="E227" s="1771"/>
      <c r="F227" s="1771"/>
      <c r="G227" s="1777"/>
      <c r="H227" s="1771"/>
      <c r="I227" s="1778"/>
      <c r="J227" s="1771"/>
      <c r="K227" s="1771"/>
      <c r="L227" s="1771"/>
      <c r="M227" s="1771"/>
      <c r="N227" s="1770"/>
      <c r="O227" s="1770"/>
      <c r="P227" s="1771"/>
      <c r="Q227" s="1766"/>
      <c r="R227" s="1766"/>
      <c r="S227" s="1696"/>
      <c r="T227" s="1696"/>
      <c r="U227" s="1772"/>
      <c r="V227" s="1696"/>
      <c r="W227" s="1772"/>
      <c r="X227" s="1696"/>
      <c r="Y227" s="1696"/>
      <c r="Z227" s="1773"/>
    </row>
    <row r="228">
      <c r="A228" s="1766"/>
      <c r="B228" s="1780"/>
      <c r="C228" s="1766"/>
      <c r="D228" s="1766"/>
      <c r="E228" s="1766"/>
      <c r="F228" s="1766"/>
      <c r="G228" s="1766"/>
      <c r="H228" s="1766"/>
      <c r="I228" s="1766"/>
      <c r="J228" s="1766"/>
      <c r="K228" s="1766"/>
      <c r="L228" s="1766"/>
      <c r="M228" s="1766"/>
      <c r="N228" s="1766"/>
      <c r="O228" s="1766"/>
      <c r="P228" s="1766"/>
      <c r="Q228" s="1766"/>
      <c r="R228" s="1766"/>
      <c r="S228" s="1696"/>
      <c r="U228" s="1772"/>
      <c r="V228" s="1696"/>
      <c r="W228" s="1772"/>
      <c r="X228" s="1696"/>
      <c r="Y228" s="1696"/>
      <c r="Z228" s="1773"/>
    </row>
    <row r="229">
      <c r="A229" s="1765"/>
      <c r="B229" s="1782"/>
      <c r="C229" s="1765"/>
      <c r="D229" s="1765"/>
      <c r="E229" s="1765"/>
      <c r="F229" s="1765"/>
      <c r="G229" s="1765"/>
      <c r="H229" s="1765"/>
      <c r="I229" s="1765"/>
      <c r="J229" s="1765"/>
      <c r="K229" s="1765"/>
      <c r="L229" s="1765"/>
      <c r="M229" s="1765"/>
      <c r="N229" s="1765"/>
      <c r="O229" s="1765"/>
      <c r="P229" s="1765"/>
      <c r="Q229" s="1766"/>
      <c r="R229" s="1766"/>
      <c r="S229" s="1696"/>
      <c r="U229" s="1772"/>
      <c r="V229" s="1696"/>
      <c r="W229" s="1772"/>
      <c r="X229" s="1696"/>
      <c r="Y229" s="1696"/>
      <c r="Z229" s="1773"/>
    </row>
    <row r="230">
      <c r="A230" s="1771"/>
      <c r="B230" s="1777"/>
      <c r="C230" s="1771"/>
      <c r="D230" s="1771"/>
      <c r="E230" s="1771"/>
      <c r="F230" s="1771"/>
      <c r="G230" s="1770"/>
      <c r="H230" s="1771"/>
      <c r="I230" s="1778"/>
      <c r="J230" s="1771"/>
      <c r="K230" s="1771"/>
      <c r="L230" s="1771"/>
      <c r="M230" s="1771"/>
      <c r="N230" s="1779"/>
      <c r="O230" s="1770"/>
      <c r="P230" s="1771"/>
      <c r="Q230" s="1766"/>
      <c r="R230" s="1766"/>
      <c r="S230" s="1696"/>
      <c r="U230" s="1772"/>
      <c r="V230" s="1696"/>
      <c r="W230" s="1772"/>
      <c r="X230" s="1696"/>
      <c r="Y230" s="1696"/>
      <c r="Z230" s="1773"/>
    </row>
    <row r="231">
      <c r="A231" s="1766"/>
      <c r="B231" s="1780"/>
      <c r="C231" s="1766"/>
      <c r="D231" s="1766"/>
      <c r="E231" s="1766"/>
      <c r="F231" s="1766"/>
      <c r="G231" s="1766"/>
      <c r="H231" s="1766"/>
      <c r="I231" s="1766"/>
      <c r="J231" s="1766"/>
      <c r="K231" s="1766"/>
      <c r="L231" s="1766"/>
      <c r="M231" s="1766"/>
      <c r="N231" s="1766"/>
      <c r="O231" s="1766"/>
      <c r="P231" s="1766"/>
      <c r="Q231" s="1766"/>
      <c r="R231" s="1766"/>
      <c r="S231" s="1696"/>
      <c r="T231" s="1696"/>
      <c r="U231" s="1772"/>
      <c r="V231" s="1696"/>
      <c r="W231" s="1772"/>
      <c r="X231" s="1696"/>
      <c r="Y231" s="1696"/>
      <c r="Z231" s="1773"/>
    </row>
    <row r="232">
      <c r="A232" s="1765"/>
      <c r="B232" s="1782"/>
      <c r="C232" s="1765"/>
      <c r="D232" s="1765"/>
      <c r="E232" s="1765"/>
      <c r="F232" s="1765"/>
      <c r="G232" s="1765"/>
      <c r="H232" s="1765"/>
      <c r="I232" s="1765"/>
      <c r="J232" s="1765"/>
      <c r="K232" s="1765"/>
      <c r="L232" s="1765"/>
      <c r="M232" s="1765"/>
      <c r="N232" s="1765"/>
      <c r="O232" s="1765"/>
      <c r="P232" s="1765"/>
      <c r="Q232" s="1766"/>
      <c r="R232" s="1766"/>
      <c r="S232" s="1696"/>
      <c r="U232" s="1772"/>
      <c r="V232" s="1696"/>
      <c r="W232" s="1772"/>
      <c r="X232" s="1696"/>
      <c r="Y232" s="1696"/>
      <c r="Z232" s="1696"/>
    </row>
    <row r="233">
      <c r="A233" s="1771"/>
      <c r="B233" s="1777"/>
      <c r="C233" s="1771"/>
      <c r="D233" s="1771"/>
      <c r="E233" s="1771"/>
      <c r="F233" s="1771"/>
      <c r="G233" s="1777"/>
      <c r="H233" s="1771"/>
      <c r="I233" s="1778"/>
      <c r="J233" s="1771"/>
      <c r="K233" s="1771"/>
      <c r="L233" s="1771"/>
      <c r="M233" s="1771"/>
      <c r="N233" s="1770"/>
      <c r="O233" s="1770"/>
      <c r="P233" s="1771"/>
      <c r="Q233" s="1766"/>
      <c r="R233" s="1766"/>
      <c r="S233" s="1696"/>
      <c r="T233" s="1696"/>
      <c r="U233" s="1772"/>
      <c r="V233" s="1696"/>
      <c r="W233" s="1772"/>
      <c r="X233" s="1696"/>
      <c r="Y233" s="1696"/>
      <c r="Z233" s="1773"/>
    </row>
    <row r="234">
      <c r="A234" s="1766"/>
      <c r="B234" s="1780"/>
      <c r="C234" s="1766"/>
      <c r="D234" s="1766"/>
      <c r="E234" s="1766"/>
      <c r="F234" s="1766"/>
      <c r="G234" s="1766"/>
      <c r="H234" s="1766"/>
      <c r="I234" s="1766"/>
      <c r="J234" s="1766"/>
      <c r="K234" s="1766"/>
      <c r="L234" s="1766"/>
      <c r="M234" s="1766"/>
      <c r="N234" s="1781"/>
      <c r="O234" s="1766"/>
      <c r="P234" s="1766"/>
      <c r="Q234" s="1766"/>
      <c r="R234" s="1766"/>
      <c r="S234" s="1696"/>
      <c r="T234" s="1696"/>
      <c r="U234" s="1772"/>
      <c r="V234" s="1696"/>
      <c r="W234" s="1772"/>
      <c r="X234" s="1696"/>
      <c r="Y234" s="1696"/>
      <c r="Z234" s="1696"/>
    </row>
    <row r="235">
      <c r="A235" s="1765"/>
      <c r="B235" s="1782"/>
      <c r="C235" s="1765"/>
      <c r="D235" s="1765"/>
      <c r="E235" s="1765"/>
      <c r="F235" s="1765"/>
      <c r="G235" s="1765"/>
      <c r="H235" s="1765"/>
      <c r="I235" s="1765"/>
      <c r="J235" s="1765"/>
      <c r="K235" s="1765"/>
      <c r="L235" s="1765"/>
      <c r="M235" s="1765"/>
      <c r="N235" s="1765"/>
      <c r="O235" s="1765"/>
      <c r="P235" s="1765"/>
      <c r="Q235" s="1766"/>
      <c r="R235" s="1766"/>
      <c r="S235" s="1696"/>
      <c r="U235" s="1772"/>
      <c r="V235" s="1696"/>
      <c r="W235" s="1772"/>
      <c r="X235" s="1696"/>
      <c r="Y235" s="1696"/>
      <c r="Z235" s="1773"/>
    </row>
    <row r="236">
      <c r="A236" s="1771"/>
      <c r="B236" s="1777"/>
      <c r="C236" s="1771"/>
      <c r="D236" s="1771"/>
      <c r="E236" s="1771"/>
      <c r="F236" s="1771"/>
      <c r="G236" s="1771"/>
      <c r="H236" s="1771"/>
      <c r="I236" s="1778"/>
      <c r="J236" s="1771"/>
      <c r="K236" s="1771"/>
      <c r="L236" s="1771"/>
      <c r="M236" s="1771"/>
      <c r="N236" s="1770"/>
      <c r="O236" s="1770"/>
      <c r="P236" s="1771"/>
      <c r="Q236" s="1766"/>
      <c r="R236" s="1766"/>
      <c r="S236" s="1696"/>
      <c r="U236" s="1772"/>
      <c r="V236" s="1696"/>
      <c r="W236" s="1772"/>
      <c r="X236" s="1696"/>
      <c r="Y236" s="1696"/>
      <c r="Z236" s="1773"/>
    </row>
    <row r="237">
      <c r="A237" s="1766"/>
      <c r="B237" s="1780"/>
      <c r="C237" s="1766"/>
      <c r="D237" s="1766"/>
      <c r="E237" s="1766"/>
      <c r="F237" s="1766"/>
      <c r="G237" s="1766"/>
      <c r="H237" s="1766"/>
      <c r="I237" s="1766"/>
      <c r="J237" s="1766"/>
      <c r="K237" s="1766"/>
      <c r="L237" s="1766"/>
      <c r="M237" s="1766"/>
      <c r="N237" s="1781"/>
      <c r="O237" s="1766"/>
      <c r="P237" s="1766"/>
      <c r="Q237" s="1766"/>
      <c r="R237" s="1766"/>
      <c r="S237" s="1696"/>
      <c r="U237" s="1772"/>
      <c r="V237" s="1696"/>
      <c r="W237" s="1772"/>
      <c r="X237" s="1696"/>
      <c r="Y237" s="1696"/>
      <c r="Z237" s="1773"/>
    </row>
    <row r="238">
      <c r="A238" s="1765"/>
      <c r="B238" s="1782"/>
      <c r="C238" s="1765"/>
      <c r="D238" s="1765"/>
      <c r="E238" s="1765"/>
      <c r="F238" s="1765"/>
      <c r="G238" s="1765"/>
      <c r="H238" s="1765"/>
      <c r="I238" s="1765"/>
      <c r="J238" s="1765"/>
      <c r="K238" s="1765"/>
      <c r="L238" s="1765"/>
      <c r="M238" s="1765"/>
      <c r="N238" s="1765"/>
      <c r="O238" s="1765"/>
      <c r="P238" s="1765"/>
      <c r="Q238" s="1766"/>
      <c r="R238" s="1766"/>
      <c r="S238" s="1696"/>
      <c r="T238" s="1696"/>
      <c r="U238" s="1772"/>
      <c r="V238" s="1696"/>
      <c r="W238" s="1772"/>
      <c r="X238" s="1696"/>
      <c r="Y238" s="1696"/>
      <c r="Z238" s="1696"/>
    </row>
    <row r="239">
      <c r="A239" s="1771"/>
      <c r="B239" s="1777"/>
      <c r="C239" s="1771"/>
      <c r="D239" s="1771"/>
      <c r="E239" s="1771"/>
      <c r="F239" s="1771"/>
      <c r="G239" s="1771"/>
      <c r="H239" s="1771"/>
      <c r="I239" s="1778"/>
      <c r="J239" s="1771"/>
      <c r="K239" s="1771"/>
      <c r="L239" s="1771"/>
      <c r="M239" s="1771"/>
      <c r="N239" s="1770"/>
      <c r="O239" s="1770"/>
      <c r="P239" s="1771"/>
      <c r="Q239" s="1766"/>
      <c r="R239" s="1766"/>
      <c r="S239" s="1696"/>
      <c r="T239" s="1696"/>
      <c r="U239" s="1772"/>
      <c r="V239" s="1696"/>
      <c r="W239" s="1772"/>
      <c r="X239" s="1696"/>
      <c r="Y239" s="1696"/>
      <c r="Z239" s="1696"/>
    </row>
    <row r="240">
      <c r="A240" s="1766"/>
      <c r="B240" s="1780"/>
      <c r="C240" s="1766"/>
      <c r="D240" s="1766"/>
      <c r="E240" s="1766"/>
      <c r="F240" s="1766"/>
      <c r="G240" s="1766"/>
      <c r="H240" s="1766"/>
      <c r="I240" s="1766"/>
      <c r="J240" s="1766"/>
      <c r="K240" s="1766"/>
      <c r="L240" s="1766"/>
      <c r="M240" s="1766"/>
      <c r="N240" s="1766"/>
      <c r="O240" s="1766"/>
      <c r="P240" s="1766"/>
      <c r="Q240" s="1766"/>
      <c r="R240" s="1766"/>
      <c r="S240" s="1696"/>
      <c r="U240" s="1772"/>
      <c r="V240" s="1696"/>
      <c r="W240" s="1772"/>
      <c r="X240" s="1696"/>
      <c r="Y240" s="1696"/>
      <c r="Z240" s="1773"/>
    </row>
    <row r="241">
      <c r="A241" s="1765"/>
      <c r="B241" s="1782"/>
      <c r="C241" s="1765"/>
      <c r="D241" s="1765"/>
      <c r="E241" s="1765"/>
      <c r="F241" s="1765"/>
      <c r="G241" s="1765"/>
      <c r="H241" s="1765"/>
      <c r="I241" s="1765"/>
      <c r="J241" s="1765"/>
      <c r="K241" s="1765"/>
      <c r="L241" s="1765"/>
      <c r="M241" s="1765"/>
      <c r="N241" s="1765"/>
      <c r="O241" s="1765"/>
      <c r="P241" s="1765"/>
      <c r="Q241" s="1766"/>
      <c r="R241" s="1766"/>
      <c r="S241" s="1696"/>
      <c r="T241" s="1696"/>
      <c r="U241" s="1772"/>
      <c r="V241" s="1696"/>
      <c r="W241" s="1772"/>
      <c r="X241" s="1696"/>
      <c r="Y241" s="1696"/>
      <c r="Z241" s="1696"/>
    </row>
    <row r="242">
      <c r="A242" s="1771"/>
      <c r="B242" s="1777"/>
      <c r="C242" s="1771"/>
      <c r="D242" s="1771"/>
      <c r="E242" s="1771"/>
      <c r="F242" s="1771"/>
      <c r="G242" s="1770"/>
      <c r="H242" s="1771"/>
      <c r="I242" s="1778"/>
      <c r="J242" s="1771"/>
      <c r="K242" s="1771"/>
      <c r="L242" s="1771"/>
      <c r="M242" s="1771"/>
      <c r="N242" s="1779"/>
      <c r="O242" s="1770"/>
      <c r="P242" s="1771"/>
      <c r="Q242" s="1766"/>
      <c r="R242" s="1766"/>
      <c r="S242" s="1696"/>
      <c r="T242" s="1696"/>
      <c r="U242" s="1772"/>
      <c r="V242" s="1696"/>
      <c r="W242" s="1772"/>
      <c r="X242" s="1696"/>
      <c r="Y242" s="1696"/>
      <c r="Z242" s="1773"/>
    </row>
    <row r="243">
      <c r="A243" s="1766"/>
      <c r="B243" s="1780"/>
      <c r="C243" s="1766"/>
      <c r="D243" s="1766"/>
      <c r="E243" s="1766"/>
      <c r="F243" s="1766"/>
      <c r="G243" s="1766"/>
      <c r="H243" s="1766"/>
      <c r="I243" s="1766"/>
      <c r="J243" s="1766"/>
      <c r="K243" s="1766"/>
      <c r="L243" s="1766"/>
      <c r="M243" s="1766"/>
      <c r="N243" s="1781"/>
      <c r="O243" s="1766"/>
      <c r="P243" s="1766"/>
      <c r="Q243" s="1766"/>
      <c r="R243" s="1766"/>
      <c r="S243" s="1696"/>
      <c r="T243" s="1696"/>
      <c r="U243" s="1772"/>
      <c r="V243" s="1696"/>
      <c r="W243" s="1772"/>
      <c r="X243" s="1696"/>
      <c r="Y243" s="1696"/>
      <c r="Z243" s="1773"/>
    </row>
    <row r="244">
      <c r="A244" s="1765"/>
      <c r="B244" s="1782"/>
      <c r="C244" s="1765"/>
      <c r="D244" s="1765"/>
      <c r="E244" s="1765"/>
      <c r="F244" s="1765"/>
      <c r="G244" s="1765"/>
      <c r="H244" s="1765"/>
      <c r="I244" s="1765"/>
      <c r="J244" s="1765"/>
      <c r="K244" s="1765"/>
      <c r="L244" s="1765"/>
      <c r="M244" s="1765"/>
      <c r="N244" s="1765"/>
      <c r="O244" s="1765"/>
      <c r="P244" s="1765"/>
      <c r="Q244" s="1766"/>
      <c r="R244" s="1766"/>
      <c r="S244" s="1696"/>
      <c r="T244" s="1696"/>
      <c r="U244" s="1772"/>
      <c r="V244" s="1696"/>
      <c r="W244" s="1772"/>
      <c r="X244" s="1696"/>
      <c r="Y244" s="1696"/>
      <c r="Z244" s="1773"/>
    </row>
    <row r="245">
      <c r="A245" s="1771"/>
      <c r="B245" s="1777"/>
      <c r="C245" s="1771"/>
      <c r="D245" s="1771"/>
      <c r="E245" s="1771"/>
      <c r="F245" s="1771"/>
      <c r="G245" s="1770"/>
      <c r="H245" s="1771"/>
      <c r="I245" s="1778"/>
      <c r="J245" s="1771"/>
      <c r="K245" s="1771"/>
      <c r="L245" s="1771"/>
      <c r="M245" s="1771"/>
      <c r="N245" s="1779"/>
      <c r="O245" s="1770"/>
      <c r="P245" s="1771"/>
      <c r="Q245" s="1766"/>
      <c r="R245" s="1766"/>
      <c r="S245" s="1696"/>
      <c r="T245" s="1696"/>
      <c r="U245" s="1772"/>
      <c r="V245" s="1696"/>
      <c r="W245" s="1772"/>
      <c r="X245" s="1696"/>
      <c r="Y245" s="1696"/>
      <c r="Z245" s="1773"/>
    </row>
    <row r="246">
      <c r="A246" s="1766"/>
      <c r="B246" s="1780"/>
      <c r="C246" s="1766"/>
      <c r="D246" s="1766"/>
      <c r="E246" s="1766"/>
      <c r="F246" s="1766"/>
      <c r="G246" s="1766"/>
      <c r="H246" s="1766"/>
      <c r="I246" s="1766"/>
      <c r="J246" s="1766"/>
      <c r="K246" s="1766"/>
      <c r="L246" s="1766"/>
      <c r="M246" s="1766"/>
      <c r="N246" s="1766"/>
      <c r="O246" s="1766"/>
      <c r="P246" s="1766"/>
      <c r="Q246" s="1766"/>
      <c r="R246" s="1766"/>
      <c r="S246" s="1696"/>
      <c r="U246" s="1772"/>
      <c r="V246" s="1696"/>
      <c r="W246" s="1772"/>
      <c r="X246" s="1696"/>
      <c r="Y246" s="1696"/>
      <c r="Z246" s="1696"/>
    </row>
    <row r="247">
      <c r="A247" s="1765"/>
      <c r="B247" s="1782"/>
      <c r="C247" s="1765"/>
      <c r="D247" s="1765"/>
      <c r="E247" s="1765"/>
      <c r="F247" s="1765"/>
      <c r="G247" s="1765"/>
      <c r="H247" s="1765"/>
      <c r="I247" s="1765"/>
      <c r="J247" s="1765"/>
      <c r="K247" s="1765"/>
      <c r="L247" s="1765"/>
      <c r="M247" s="1765"/>
      <c r="N247" s="1765"/>
      <c r="O247" s="1765"/>
      <c r="P247" s="1765"/>
      <c r="Q247" s="1766"/>
      <c r="R247" s="1766"/>
      <c r="S247" s="1696"/>
      <c r="T247" s="1696"/>
      <c r="U247" s="1772"/>
      <c r="V247" s="1696"/>
      <c r="W247" s="1772"/>
      <c r="X247" s="1696"/>
      <c r="Y247" s="1696"/>
      <c r="Z247" s="1773"/>
    </row>
    <row r="248">
      <c r="A248" s="1771"/>
      <c r="B248" s="1777"/>
      <c r="C248" s="1771"/>
      <c r="D248" s="1771"/>
      <c r="E248" s="1771"/>
      <c r="F248" s="1771"/>
      <c r="G248" s="1770"/>
      <c r="H248" s="1771"/>
      <c r="I248" s="1778"/>
      <c r="J248" s="1771"/>
      <c r="K248" s="1771"/>
      <c r="L248" s="1771"/>
      <c r="M248" s="1771"/>
      <c r="N248" s="1779"/>
      <c r="O248" s="1770"/>
      <c r="P248" s="1771"/>
      <c r="Q248" s="1766"/>
      <c r="R248" s="1766"/>
      <c r="S248" s="1696"/>
      <c r="T248" s="1696"/>
      <c r="U248" s="1772"/>
      <c r="V248" s="1696"/>
      <c r="W248" s="1772"/>
      <c r="X248" s="1696"/>
      <c r="Y248" s="1696"/>
      <c r="Z248" s="1773"/>
    </row>
    <row r="249">
      <c r="A249" s="1766"/>
      <c r="B249" s="1780"/>
      <c r="C249" s="1766"/>
      <c r="D249" s="1766"/>
      <c r="E249" s="1766"/>
      <c r="F249" s="1766"/>
      <c r="G249" s="1766"/>
      <c r="H249" s="1766"/>
      <c r="I249" s="1766"/>
      <c r="J249" s="1766"/>
      <c r="K249" s="1766"/>
      <c r="L249" s="1766"/>
      <c r="M249" s="1766"/>
      <c r="N249" s="1781"/>
      <c r="O249" s="1766"/>
      <c r="P249" s="1766"/>
      <c r="Q249" s="1766"/>
      <c r="R249" s="1766"/>
      <c r="S249" s="1696"/>
      <c r="T249" s="1696"/>
      <c r="U249" s="1772"/>
      <c r="V249" s="1696"/>
      <c r="W249" s="1772"/>
      <c r="X249" s="1696"/>
      <c r="Y249" s="1696"/>
      <c r="Z249" s="1773"/>
    </row>
    <row r="250">
      <c r="A250" s="1765"/>
      <c r="B250" s="1782"/>
      <c r="C250" s="1765"/>
      <c r="D250" s="1765"/>
      <c r="E250" s="1765"/>
      <c r="F250" s="1765"/>
      <c r="G250" s="1765"/>
      <c r="H250" s="1765"/>
      <c r="I250" s="1765"/>
      <c r="J250" s="1765"/>
      <c r="K250" s="1765"/>
      <c r="L250" s="1765"/>
      <c r="M250" s="1765"/>
      <c r="N250" s="1765"/>
      <c r="O250" s="1765"/>
      <c r="P250" s="1765"/>
      <c r="Q250" s="1766"/>
      <c r="R250" s="1766"/>
      <c r="S250" s="1696"/>
      <c r="T250" s="1696"/>
      <c r="U250" s="1772"/>
      <c r="V250" s="1696"/>
      <c r="W250" s="1772"/>
      <c r="X250" s="1696"/>
      <c r="Y250" s="1696"/>
      <c r="Z250" s="1773"/>
    </row>
    <row r="251">
      <c r="A251" s="1771"/>
      <c r="B251" s="1777"/>
      <c r="C251" s="1771"/>
      <c r="D251" s="1771"/>
      <c r="E251" s="1771"/>
      <c r="F251" s="1771"/>
      <c r="G251" s="1770"/>
      <c r="H251" s="1771"/>
      <c r="I251" s="1778"/>
      <c r="J251" s="1771"/>
      <c r="K251" s="1771"/>
      <c r="L251" s="1771"/>
      <c r="M251" s="1771"/>
      <c r="N251" s="1779"/>
      <c r="O251" s="1770"/>
      <c r="P251" s="1771"/>
      <c r="Q251" s="1766"/>
      <c r="R251" s="1766"/>
      <c r="S251" s="1696"/>
      <c r="T251" s="1696"/>
      <c r="U251" s="1772"/>
      <c r="V251" s="1696"/>
      <c r="W251" s="1772"/>
      <c r="X251" s="1696"/>
      <c r="Y251" s="1696"/>
      <c r="Z251" s="1773"/>
    </row>
    <row r="252">
      <c r="A252" s="1766"/>
      <c r="B252" s="1780"/>
      <c r="C252" s="1766"/>
      <c r="D252" s="1766"/>
      <c r="E252" s="1766"/>
      <c r="F252" s="1766"/>
      <c r="G252" s="1766"/>
      <c r="H252" s="1766"/>
      <c r="I252" s="1766"/>
      <c r="J252" s="1766"/>
      <c r="K252" s="1766"/>
      <c r="L252" s="1766"/>
      <c r="M252" s="1766"/>
      <c r="N252" s="1781"/>
      <c r="O252" s="1766"/>
      <c r="P252" s="1766"/>
      <c r="Q252" s="1766"/>
      <c r="R252" s="1766"/>
      <c r="S252" s="1696"/>
      <c r="T252" s="1696"/>
      <c r="U252" s="1772"/>
      <c r="V252" s="1696"/>
      <c r="W252" s="1772"/>
      <c r="X252" s="1696"/>
      <c r="Y252" s="1696"/>
      <c r="Z252" s="1773"/>
    </row>
    <row r="253">
      <c r="A253" s="1765"/>
      <c r="B253" s="1782"/>
      <c r="C253" s="1765"/>
      <c r="D253" s="1765"/>
      <c r="E253" s="1765"/>
      <c r="F253" s="1765"/>
      <c r="G253" s="1765"/>
      <c r="H253" s="1765"/>
      <c r="I253" s="1765"/>
      <c r="J253" s="1765"/>
      <c r="K253" s="1765"/>
      <c r="L253" s="1765"/>
      <c r="M253" s="1765"/>
      <c r="N253" s="1765"/>
      <c r="O253" s="1765"/>
      <c r="P253" s="1765"/>
      <c r="Q253" s="1766"/>
      <c r="R253" s="1766"/>
      <c r="S253" s="1696"/>
      <c r="T253" s="1696"/>
      <c r="U253" s="1772"/>
      <c r="V253" s="1696"/>
      <c r="W253" s="1772"/>
      <c r="X253" s="1696"/>
      <c r="Y253" s="1696"/>
      <c r="Z253" s="1773"/>
    </row>
    <row r="254">
      <c r="A254" s="1771"/>
      <c r="B254" s="1777"/>
      <c r="C254" s="1771"/>
      <c r="D254" s="1771"/>
      <c r="E254" s="1771"/>
      <c r="F254" s="1771"/>
      <c r="G254" s="1771"/>
      <c r="H254" s="1771"/>
      <c r="I254" s="1778"/>
      <c r="J254" s="1771"/>
      <c r="K254" s="1771"/>
      <c r="L254" s="1771"/>
      <c r="M254" s="1771"/>
      <c r="N254" s="1779"/>
      <c r="O254" s="1770"/>
      <c r="P254" s="1771"/>
      <c r="Q254" s="1766"/>
      <c r="R254" s="1766"/>
      <c r="S254" s="1696"/>
      <c r="T254" s="1696"/>
      <c r="U254" s="1772"/>
      <c r="V254" s="1696"/>
      <c r="W254" s="1772"/>
      <c r="X254" s="1696"/>
      <c r="Y254" s="1696"/>
      <c r="Z254" s="1773"/>
    </row>
    <row r="255">
      <c r="A255" s="1766"/>
      <c r="B255" s="1780"/>
      <c r="C255" s="1766"/>
      <c r="D255" s="1766"/>
      <c r="E255" s="1766"/>
      <c r="F255" s="1766"/>
      <c r="G255" s="1766"/>
      <c r="H255" s="1766"/>
      <c r="I255" s="1766"/>
      <c r="J255" s="1766"/>
      <c r="K255" s="1766"/>
      <c r="L255" s="1766"/>
      <c r="M255" s="1766"/>
      <c r="N255" s="1781"/>
      <c r="O255" s="1766"/>
      <c r="P255" s="1766"/>
      <c r="Q255" s="1766"/>
      <c r="R255" s="1766"/>
      <c r="S255" s="1696"/>
      <c r="T255" s="1696"/>
      <c r="U255" s="1772"/>
      <c r="V255" s="1696"/>
      <c r="W255" s="1772"/>
      <c r="X255" s="1696"/>
      <c r="Y255" s="1696"/>
      <c r="Z255" s="1773"/>
    </row>
    <row r="256">
      <c r="A256" s="1765"/>
      <c r="B256" s="1782"/>
      <c r="C256" s="1765"/>
      <c r="D256" s="1765"/>
      <c r="E256" s="1765"/>
      <c r="F256" s="1765"/>
      <c r="G256" s="1765"/>
      <c r="H256" s="1765"/>
      <c r="I256" s="1765"/>
      <c r="J256" s="1765"/>
      <c r="K256" s="1765"/>
      <c r="L256" s="1765"/>
      <c r="M256" s="1765"/>
      <c r="N256" s="1765"/>
      <c r="O256" s="1765"/>
      <c r="P256" s="1765"/>
      <c r="Q256" s="1766"/>
      <c r="R256" s="1766"/>
      <c r="S256" s="1696"/>
      <c r="T256" s="1696"/>
      <c r="U256" s="1772"/>
      <c r="V256" s="1696"/>
      <c r="W256" s="1772"/>
      <c r="X256" s="1696"/>
      <c r="Y256" s="1696"/>
      <c r="Z256" s="1773"/>
    </row>
    <row r="257">
      <c r="A257" s="1771"/>
      <c r="B257" s="1777"/>
      <c r="C257" s="1771"/>
      <c r="D257" s="1771"/>
      <c r="E257" s="1771"/>
      <c r="F257" s="1771"/>
      <c r="G257" s="1771"/>
      <c r="H257" s="1771"/>
      <c r="I257" s="1770"/>
      <c r="J257" s="1771"/>
      <c r="K257" s="1771"/>
      <c r="L257" s="1771"/>
      <c r="M257" s="1771"/>
      <c r="N257" s="1779"/>
      <c r="O257" s="1770"/>
      <c r="P257" s="1771"/>
      <c r="Q257" s="1766"/>
      <c r="R257" s="1766"/>
      <c r="S257" s="1696"/>
      <c r="T257" s="1696"/>
      <c r="U257" s="1772"/>
      <c r="V257" s="1696"/>
      <c r="W257" s="1772"/>
      <c r="X257" s="1696"/>
      <c r="Y257" s="1696"/>
      <c r="Z257" s="1773"/>
    </row>
    <row r="258">
      <c r="A258" s="1766"/>
      <c r="B258" s="1780"/>
      <c r="C258" s="1766"/>
      <c r="D258" s="1766"/>
      <c r="E258" s="1766"/>
      <c r="F258" s="1766"/>
      <c r="G258" s="1766"/>
      <c r="H258" s="1766"/>
      <c r="I258" s="1766"/>
      <c r="J258" s="1766"/>
      <c r="K258" s="1766"/>
      <c r="L258" s="1766"/>
      <c r="M258" s="1766"/>
      <c r="N258" s="1781"/>
      <c r="O258" s="1766"/>
      <c r="P258" s="1766"/>
      <c r="Q258" s="1766"/>
      <c r="R258" s="1766"/>
      <c r="S258" s="1696"/>
      <c r="T258" s="1696"/>
      <c r="U258" s="1772"/>
      <c r="V258" s="1696"/>
      <c r="W258" s="1772"/>
      <c r="X258" s="1696"/>
      <c r="Y258" s="1696"/>
      <c r="Z258" s="1773"/>
    </row>
    <row r="259">
      <c r="A259" s="1765"/>
      <c r="B259" s="1782"/>
      <c r="C259" s="1765"/>
      <c r="D259" s="1765"/>
      <c r="E259" s="1765"/>
      <c r="F259" s="1765"/>
      <c r="G259" s="1765"/>
      <c r="H259" s="1765"/>
      <c r="I259" s="1765"/>
      <c r="J259" s="1765"/>
      <c r="K259" s="1765"/>
      <c r="L259" s="1765"/>
      <c r="M259" s="1765"/>
      <c r="N259" s="1765"/>
      <c r="O259" s="1765"/>
      <c r="P259" s="1765"/>
      <c r="Q259" s="1766"/>
      <c r="R259" s="1766"/>
      <c r="S259" s="1696"/>
      <c r="T259" s="1696"/>
      <c r="U259" s="1772"/>
      <c r="V259" s="1696"/>
      <c r="W259" s="1772"/>
      <c r="X259" s="1696"/>
      <c r="Y259" s="1696"/>
      <c r="Z259" s="1773"/>
    </row>
    <row r="260">
      <c r="A260" s="1771"/>
      <c r="B260" s="1777"/>
      <c r="C260" s="1771"/>
      <c r="D260" s="1771"/>
      <c r="E260" s="1771"/>
      <c r="F260" s="1771"/>
      <c r="G260" s="1770"/>
      <c r="H260" s="1771"/>
      <c r="I260" s="1778"/>
      <c r="J260" s="1771"/>
      <c r="K260" s="1771"/>
      <c r="L260" s="1771"/>
      <c r="M260" s="1771"/>
      <c r="N260" s="1779"/>
      <c r="O260" s="1770"/>
      <c r="P260" s="1771"/>
      <c r="Q260" s="1766"/>
      <c r="R260" s="1766"/>
      <c r="S260" s="1696"/>
      <c r="T260" s="1696"/>
      <c r="U260" s="1772"/>
      <c r="V260" s="1696"/>
      <c r="W260" s="1772"/>
      <c r="X260" s="1696"/>
      <c r="Y260" s="1696"/>
      <c r="Z260" s="1773"/>
    </row>
    <row r="261">
      <c r="A261" s="1766"/>
      <c r="B261" s="1780"/>
      <c r="C261" s="1766"/>
      <c r="D261" s="1766"/>
      <c r="E261" s="1766"/>
      <c r="F261" s="1766"/>
      <c r="G261" s="1766"/>
      <c r="H261" s="1766"/>
      <c r="I261" s="1766"/>
      <c r="J261" s="1766"/>
      <c r="K261" s="1766"/>
      <c r="L261" s="1766"/>
      <c r="M261" s="1766"/>
      <c r="N261" s="1781"/>
      <c r="O261" s="1766"/>
      <c r="P261" s="1766"/>
      <c r="Q261" s="1766"/>
      <c r="R261" s="1766"/>
      <c r="S261" s="1696"/>
      <c r="T261" s="1696"/>
      <c r="U261" s="1772"/>
      <c r="V261" s="1696"/>
      <c r="W261" s="1772"/>
      <c r="X261" s="1696"/>
      <c r="Y261" s="1696"/>
      <c r="Z261" s="1773"/>
    </row>
    <row r="262">
      <c r="A262" s="1765"/>
      <c r="B262" s="1782"/>
      <c r="C262" s="1765"/>
      <c r="D262" s="1765"/>
      <c r="E262" s="1765"/>
      <c r="F262" s="1765"/>
      <c r="G262" s="1765"/>
      <c r="H262" s="1765"/>
      <c r="I262" s="1765"/>
      <c r="J262" s="1765"/>
      <c r="K262" s="1765"/>
      <c r="L262" s="1765"/>
      <c r="M262" s="1765"/>
      <c r="N262" s="1765"/>
      <c r="O262" s="1765"/>
      <c r="P262" s="1765"/>
      <c r="Q262" s="1766"/>
      <c r="R262" s="1766"/>
      <c r="S262" s="1696"/>
      <c r="T262" s="1696"/>
      <c r="U262" s="1772"/>
      <c r="V262" s="1696"/>
      <c r="W262" s="1772"/>
      <c r="X262" s="1696"/>
      <c r="Y262" s="1696"/>
      <c r="Z262" s="1773"/>
    </row>
    <row r="263">
      <c r="A263" s="1771"/>
      <c r="B263" s="1777"/>
      <c r="C263" s="1771"/>
      <c r="D263" s="1771"/>
      <c r="E263" s="1771"/>
      <c r="F263" s="1771"/>
      <c r="G263" s="1771"/>
      <c r="H263" s="1771"/>
      <c r="I263" s="1770"/>
      <c r="J263" s="1771"/>
      <c r="K263" s="1771"/>
      <c r="L263" s="1771"/>
      <c r="M263" s="1771"/>
      <c r="N263" s="1779"/>
      <c r="O263" s="1770"/>
      <c r="P263" s="1771"/>
      <c r="Q263" s="1766"/>
      <c r="R263" s="1766"/>
      <c r="S263" s="1696"/>
      <c r="T263" s="1696"/>
      <c r="U263" s="1772"/>
      <c r="V263" s="1696"/>
      <c r="W263" s="1772"/>
      <c r="X263" s="1696"/>
      <c r="Y263" s="1696"/>
      <c r="Z263" s="1773"/>
    </row>
    <row r="264">
      <c r="A264" s="1766"/>
      <c r="B264" s="1780"/>
      <c r="C264" s="1766"/>
      <c r="D264" s="1766"/>
      <c r="E264" s="1766"/>
      <c r="F264" s="1766"/>
      <c r="G264" s="1766"/>
      <c r="H264" s="1766"/>
      <c r="I264" s="1766"/>
      <c r="J264" s="1766"/>
      <c r="K264" s="1766"/>
      <c r="L264" s="1766"/>
      <c r="M264" s="1766"/>
      <c r="N264" s="1781"/>
      <c r="O264" s="1766"/>
      <c r="P264" s="1766"/>
      <c r="Q264" s="1766"/>
      <c r="R264" s="1766"/>
      <c r="S264" s="1696"/>
      <c r="T264" s="1696"/>
      <c r="U264" s="1772"/>
      <c r="V264" s="1696"/>
      <c r="W264" s="1772"/>
      <c r="X264" s="1696"/>
      <c r="Y264" s="1696"/>
      <c r="Z264" s="1696"/>
    </row>
    <row r="265">
      <c r="A265" s="1765"/>
      <c r="B265" s="1782"/>
      <c r="C265" s="1765"/>
      <c r="D265" s="1765"/>
      <c r="E265" s="1765"/>
      <c r="F265" s="1765"/>
      <c r="G265" s="1765"/>
      <c r="H265" s="1765"/>
      <c r="I265" s="1765"/>
      <c r="J265" s="1765"/>
      <c r="K265" s="1765"/>
      <c r="L265" s="1765"/>
      <c r="M265" s="1765"/>
      <c r="N265" s="1765"/>
      <c r="O265" s="1765"/>
      <c r="P265" s="1765"/>
      <c r="Q265" s="1766"/>
      <c r="R265" s="1766"/>
      <c r="S265" s="1696"/>
      <c r="T265" s="1696"/>
      <c r="U265" s="1772"/>
      <c r="V265" s="1696"/>
      <c r="W265" s="1772"/>
      <c r="X265" s="1696"/>
      <c r="Y265" s="1696"/>
      <c r="Z265" s="1696"/>
    </row>
    <row r="266">
      <c r="A266" s="1771"/>
      <c r="B266" s="1777"/>
      <c r="C266" s="1771"/>
      <c r="D266" s="1771"/>
      <c r="E266" s="1771"/>
      <c r="F266" s="1771"/>
      <c r="G266" s="1770"/>
      <c r="H266" s="1771"/>
      <c r="I266" s="1778"/>
      <c r="J266" s="1771"/>
      <c r="K266" s="1771"/>
      <c r="L266" s="1771"/>
      <c r="M266" s="1771"/>
      <c r="N266" s="1779"/>
      <c r="O266" s="1770"/>
      <c r="P266" s="1771"/>
      <c r="Q266" s="1766"/>
      <c r="R266" s="1766"/>
      <c r="S266" s="1696"/>
      <c r="T266" s="1696"/>
      <c r="U266" s="1772"/>
      <c r="V266" s="1696"/>
      <c r="W266" s="1772"/>
      <c r="X266" s="1696"/>
      <c r="Y266" s="1696"/>
      <c r="Z266" s="1696"/>
    </row>
    <row r="267">
      <c r="A267" s="1766"/>
      <c r="B267" s="1780"/>
      <c r="C267" s="1766"/>
      <c r="D267" s="1766"/>
      <c r="E267" s="1766"/>
      <c r="F267" s="1766"/>
      <c r="G267" s="1766"/>
      <c r="H267" s="1766"/>
      <c r="I267" s="1766"/>
      <c r="J267" s="1766"/>
      <c r="K267" s="1766"/>
      <c r="L267" s="1766"/>
      <c r="M267" s="1766"/>
      <c r="N267" s="1781"/>
      <c r="O267" s="1766"/>
      <c r="P267" s="1766"/>
      <c r="Q267" s="1766"/>
      <c r="R267" s="1766"/>
      <c r="S267" s="1696"/>
      <c r="T267" s="1696"/>
      <c r="U267" s="1772"/>
      <c r="V267" s="1696"/>
      <c r="W267" s="1772"/>
      <c r="X267" s="1696"/>
      <c r="Y267" s="1696"/>
      <c r="Z267" s="1696"/>
    </row>
    <row r="268">
      <c r="A268" s="1765"/>
      <c r="B268" s="1782"/>
      <c r="C268" s="1765"/>
      <c r="D268" s="1765"/>
      <c r="E268" s="1765"/>
      <c r="F268" s="1765"/>
      <c r="G268" s="1765"/>
      <c r="H268" s="1765"/>
      <c r="I268" s="1765"/>
      <c r="J268" s="1765"/>
      <c r="K268" s="1765"/>
      <c r="L268" s="1765"/>
      <c r="M268" s="1765"/>
      <c r="N268" s="1765"/>
      <c r="O268" s="1765"/>
      <c r="P268" s="1765"/>
      <c r="Q268" s="1766"/>
      <c r="R268" s="1766"/>
      <c r="S268" s="1696"/>
      <c r="T268" s="1696"/>
      <c r="U268" s="1772"/>
      <c r="V268" s="1696"/>
      <c r="W268" s="1772"/>
      <c r="X268" s="1696"/>
      <c r="Y268" s="1696"/>
      <c r="Z268" s="1696"/>
    </row>
    <row r="269">
      <c r="A269" s="1771"/>
      <c r="B269" s="1777"/>
      <c r="C269" s="1771"/>
      <c r="D269" s="1771"/>
      <c r="E269" s="1771"/>
      <c r="F269" s="1771"/>
      <c r="G269" s="1770"/>
      <c r="H269" s="1771"/>
      <c r="I269" s="1778"/>
      <c r="J269" s="1771"/>
      <c r="K269" s="1771"/>
      <c r="L269" s="1771"/>
      <c r="M269" s="1771"/>
      <c r="N269" s="1779"/>
      <c r="O269" s="1770"/>
      <c r="P269" s="1771"/>
      <c r="Q269" s="1766"/>
      <c r="R269" s="1766"/>
      <c r="S269" s="1696"/>
      <c r="U269" s="1772"/>
      <c r="V269" s="1696"/>
      <c r="W269" s="1772"/>
      <c r="X269" s="1696"/>
      <c r="Y269" s="1696"/>
      <c r="Z269" s="1773"/>
    </row>
    <row r="270">
      <c r="A270" s="1766"/>
      <c r="B270" s="1780"/>
      <c r="C270" s="1766"/>
      <c r="D270" s="1766"/>
      <c r="E270" s="1766"/>
      <c r="F270" s="1766"/>
      <c r="G270" s="1766"/>
      <c r="H270" s="1766"/>
      <c r="I270" s="1766"/>
      <c r="J270" s="1766"/>
      <c r="K270" s="1766"/>
      <c r="L270" s="1766"/>
      <c r="M270" s="1766"/>
      <c r="N270" s="1781"/>
      <c r="O270" s="1766"/>
      <c r="P270" s="1766"/>
      <c r="Q270" s="1766"/>
      <c r="R270" s="1766"/>
      <c r="S270" s="1696"/>
      <c r="T270" s="1696"/>
      <c r="U270" s="1772"/>
      <c r="V270" s="1696"/>
      <c r="W270" s="1772"/>
      <c r="X270" s="1696"/>
      <c r="Y270" s="1696"/>
      <c r="Z270" s="1773"/>
    </row>
    <row r="271">
      <c r="A271" s="1765"/>
      <c r="B271" s="1782"/>
      <c r="C271" s="1765"/>
      <c r="D271" s="1765"/>
      <c r="E271" s="1765"/>
      <c r="F271" s="1765"/>
      <c r="G271" s="1765"/>
      <c r="H271" s="1765"/>
      <c r="I271" s="1765"/>
      <c r="J271" s="1765"/>
      <c r="K271" s="1765"/>
      <c r="L271" s="1765"/>
      <c r="M271" s="1765"/>
      <c r="N271" s="1765"/>
      <c r="O271" s="1765"/>
      <c r="P271" s="1765"/>
      <c r="Q271" s="1766"/>
      <c r="R271" s="1766"/>
      <c r="S271" s="1696"/>
      <c r="T271" s="1696"/>
      <c r="U271" s="1772"/>
      <c r="V271" s="1696"/>
      <c r="W271" s="1772"/>
      <c r="X271" s="1696"/>
      <c r="Y271" s="1696"/>
      <c r="Z271" s="1773"/>
    </row>
    <row r="272">
      <c r="A272" s="1771"/>
      <c r="B272" s="1777"/>
      <c r="C272" s="1771"/>
      <c r="D272" s="1771"/>
      <c r="E272" s="1771"/>
      <c r="F272" s="1771"/>
      <c r="G272" s="1770"/>
      <c r="H272" s="1771"/>
      <c r="I272" s="1778"/>
      <c r="J272" s="1771"/>
      <c r="K272" s="1771"/>
      <c r="L272" s="1771"/>
      <c r="M272" s="1771"/>
      <c r="N272" s="1779"/>
      <c r="O272" s="1770"/>
      <c r="P272" s="1771"/>
      <c r="Q272" s="1766"/>
      <c r="R272" s="1766"/>
      <c r="S272" s="1696"/>
      <c r="T272" s="1696"/>
      <c r="U272" s="1772"/>
      <c r="V272" s="1696"/>
      <c r="W272" s="1772"/>
      <c r="X272" s="1696"/>
      <c r="Y272" s="1696"/>
      <c r="Z272" s="1773"/>
    </row>
    <row r="273">
      <c r="A273" s="1766"/>
      <c r="B273" s="1780"/>
      <c r="C273" s="1766"/>
      <c r="D273" s="1766"/>
      <c r="E273" s="1766"/>
      <c r="F273" s="1766"/>
      <c r="G273" s="1766"/>
      <c r="H273" s="1766"/>
      <c r="I273" s="1766"/>
      <c r="J273" s="1766"/>
      <c r="K273" s="1766"/>
      <c r="L273" s="1766"/>
      <c r="M273" s="1766"/>
      <c r="N273" s="1781"/>
      <c r="O273" s="1766"/>
      <c r="P273" s="1766"/>
      <c r="Q273" s="1766"/>
      <c r="R273" s="1766"/>
      <c r="S273" s="1696"/>
      <c r="T273" s="1696"/>
      <c r="U273" s="1772"/>
      <c r="V273" s="1696"/>
      <c r="W273" s="1772"/>
      <c r="X273" s="1696"/>
      <c r="Y273" s="1696"/>
      <c r="Z273" s="1773"/>
    </row>
    <row r="274">
      <c r="A274" s="1765"/>
      <c r="B274" s="1782"/>
      <c r="C274" s="1765"/>
      <c r="D274" s="1765"/>
      <c r="E274" s="1765"/>
      <c r="F274" s="1765"/>
      <c r="G274" s="1765"/>
      <c r="H274" s="1765"/>
      <c r="I274" s="1765"/>
      <c r="J274" s="1765"/>
      <c r="K274" s="1765"/>
      <c r="L274" s="1765"/>
      <c r="M274" s="1765"/>
      <c r="N274" s="1765"/>
      <c r="O274" s="1765"/>
      <c r="P274" s="1765"/>
      <c r="Q274" s="1766"/>
      <c r="R274" s="1766"/>
      <c r="S274" s="1696"/>
      <c r="T274" s="1696"/>
      <c r="U274" s="1772"/>
      <c r="V274" s="1696"/>
      <c r="W274" s="1772"/>
      <c r="X274" s="1696"/>
      <c r="Y274" s="1696"/>
      <c r="Z274" s="1773"/>
    </row>
    <row r="275">
      <c r="A275" s="1771"/>
      <c r="B275" s="1777"/>
      <c r="C275" s="1771"/>
      <c r="D275" s="1771"/>
      <c r="E275" s="1771"/>
      <c r="F275" s="1771"/>
      <c r="G275" s="1771"/>
      <c r="H275" s="1771"/>
      <c r="I275" s="1778"/>
      <c r="J275" s="1771"/>
      <c r="K275" s="1771"/>
      <c r="L275" s="1771"/>
      <c r="M275" s="1771"/>
      <c r="N275" s="1779"/>
      <c r="O275" s="1770"/>
      <c r="P275" s="1771"/>
      <c r="Q275" s="1766"/>
      <c r="R275" s="1766"/>
      <c r="S275" s="1696"/>
      <c r="T275" s="1696"/>
      <c r="U275" s="1772"/>
      <c r="V275" s="1696"/>
      <c r="W275" s="1772"/>
      <c r="X275" s="1696"/>
      <c r="Y275" s="1696"/>
      <c r="Z275" s="1773"/>
    </row>
    <row r="276">
      <c r="A276" s="1766"/>
      <c r="B276" s="1780"/>
      <c r="C276" s="1766"/>
      <c r="D276" s="1766"/>
      <c r="E276" s="1766"/>
      <c r="F276" s="1766"/>
      <c r="G276" s="1766"/>
      <c r="H276" s="1766"/>
      <c r="I276" s="1766"/>
      <c r="J276" s="1766"/>
      <c r="K276" s="1766"/>
      <c r="L276" s="1766"/>
      <c r="M276" s="1766"/>
      <c r="N276" s="1781"/>
      <c r="O276" s="1766"/>
      <c r="P276" s="1766"/>
      <c r="Q276" s="1766"/>
      <c r="R276" s="1766"/>
      <c r="S276" s="1696"/>
      <c r="T276" s="1696"/>
      <c r="U276" s="1772"/>
      <c r="V276" s="1696"/>
      <c r="W276" s="1772"/>
      <c r="X276" s="1696"/>
      <c r="Y276" s="1696"/>
      <c r="Z276" s="1773"/>
    </row>
    <row r="277">
      <c r="A277" s="1765"/>
      <c r="B277" s="1782"/>
      <c r="C277" s="1765"/>
      <c r="D277" s="1765"/>
      <c r="E277" s="1765"/>
      <c r="F277" s="1765"/>
      <c r="G277" s="1765"/>
      <c r="H277" s="1765"/>
      <c r="I277" s="1765"/>
      <c r="J277" s="1765"/>
      <c r="K277" s="1765"/>
      <c r="L277" s="1765"/>
      <c r="M277" s="1765"/>
      <c r="N277" s="1765"/>
      <c r="O277" s="1765"/>
      <c r="P277" s="1765"/>
      <c r="Q277" s="1766"/>
      <c r="R277" s="1766"/>
      <c r="S277" s="1696"/>
      <c r="T277" s="1696"/>
      <c r="U277" s="1772"/>
      <c r="V277" s="1696"/>
      <c r="W277" s="1772"/>
      <c r="X277" s="1696"/>
      <c r="Y277" s="1696"/>
      <c r="Z277" s="1773"/>
    </row>
    <row r="278">
      <c r="A278" s="1771"/>
      <c r="B278" s="1777"/>
      <c r="C278" s="1771"/>
      <c r="D278" s="1771"/>
      <c r="E278" s="1771"/>
      <c r="F278" s="1771"/>
      <c r="G278" s="1777"/>
      <c r="H278" s="1771"/>
      <c r="I278" s="1770"/>
      <c r="J278" s="1771"/>
      <c r="K278" s="1771"/>
      <c r="L278" s="1771"/>
      <c r="M278" s="1771"/>
      <c r="N278" s="1779"/>
      <c r="O278" s="1770"/>
      <c r="P278" s="1771"/>
      <c r="Q278" s="1766"/>
      <c r="R278" s="1766"/>
      <c r="S278" s="1696"/>
      <c r="T278" s="1696"/>
      <c r="U278" s="1772"/>
      <c r="V278" s="1696"/>
      <c r="W278" s="1772"/>
      <c r="X278" s="1696"/>
      <c r="Y278" s="1696"/>
      <c r="Z278" s="1773"/>
    </row>
    <row r="279">
      <c r="A279" s="1766"/>
      <c r="B279" s="1780"/>
      <c r="C279" s="1766"/>
      <c r="D279" s="1766"/>
      <c r="E279" s="1766"/>
      <c r="F279" s="1766"/>
      <c r="G279" s="1766"/>
      <c r="H279" s="1766"/>
      <c r="I279" s="1766"/>
      <c r="J279" s="1766"/>
      <c r="K279" s="1766"/>
      <c r="L279" s="1766"/>
      <c r="M279" s="1766"/>
      <c r="N279" s="1781"/>
      <c r="O279" s="1766"/>
      <c r="P279" s="1766"/>
      <c r="Q279" s="1766"/>
      <c r="R279" s="1766"/>
      <c r="S279" s="1696"/>
      <c r="T279" s="1696"/>
      <c r="U279" s="1772"/>
      <c r="V279" s="1696"/>
      <c r="W279" s="1772"/>
      <c r="X279" s="1696"/>
      <c r="Y279" s="1696"/>
      <c r="Z279" s="1773"/>
    </row>
    <row r="280">
      <c r="A280" s="1765"/>
      <c r="B280" s="1782"/>
      <c r="C280" s="1765"/>
      <c r="D280" s="1765"/>
      <c r="E280" s="1765"/>
      <c r="F280" s="1765"/>
      <c r="G280" s="1765"/>
      <c r="H280" s="1765"/>
      <c r="I280" s="1765"/>
      <c r="J280" s="1765"/>
      <c r="K280" s="1765"/>
      <c r="L280" s="1765"/>
      <c r="M280" s="1765"/>
      <c r="N280" s="1765"/>
      <c r="O280" s="1765"/>
      <c r="P280" s="1765"/>
      <c r="Q280" s="1766"/>
      <c r="R280" s="1766"/>
      <c r="S280" s="1696"/>
      <c r="T280" s="1696"/>
      <c r="U280" s="1772"/>
      <c r="V280" s="1696"/>
      <c r="W280" s="1772"/>
      <c r="X280" s="1696"/>
      <c r="Y280" s="1696"/>
      <c r="Z280" s="1773"/>
    </row>
    <row r="281">
      <c r="A281" s="1771"/>
      <c r="B281" s="1777"/>
      <c r="C281" s="1771"/>
      <c r="D281" s="1771"/>
      <c r="E281" s="1771"/>
      <c r="F281" s="1771"/>
      <c r="G281" s="1771"/>
      <c r="H281" s="1771"/>
      <c r="I281" s="1770"/>
      <c r="J281" s="1771"/>
      <c r="K281" s="1771"/>
      <c r="L281" s="1771"/>
      <c r="M281" s="1771"/>
      <c r="N281" s="1779"/>
      <c r="O281" s="1770"/>
      <c r="P281" s="1771"/>
      <c r="Q281" s="1766"/>
      <c r="R281" s="1766"/>
      <c r="S281" s="1696"/>
      <c r="T281" s="1696"/>
      <c r="U281" s="1772"/>
      <c r="V281" s="1696"/>
      <c r="W281" s="1772"/>
      <c r="X281" s="1696"/>
      <c r="Y281" s="1696"/>
      <c r="Z281" s="1773"/>
    </row>
    <row r="282">
      <c r="A282" s="1766"/>
      <c r="B282" s="1780"/>
      <c r="C282" s="1766"/>
      <c r="D282" s="1766"/>
      <c r="E282" s="1766"/>
      <c r="F282" s="1766"/>
      <c r="G282" s="1766"/>
      <c r="H282" s="1766"/>
      <c r="I282" s="1766"/>
      <c r="J282" s="1766"/>
      <c r="K282" s="1766"/>
      <c r="L282" s="1766"/>
      <c r="M282" s="1766"/>
      <c r="N282" s="1781"/>
      <c r="O282" s="1766"/>
      <c r="P282" s="1766"/>
      <c r="Q282" s="1766"/>
      <c r="R282" s="1766"/>
      <c r="S282" s="1696"/>
      <c r="T282" s="1696"/>
      <c r="U282" s="1772"/>
      <c r="V282" s="1696"/>
      <c r="W282" s="1772"/>
      <c r="X282" s="1696"/>
      <c r="Y282" s="1696"/>
      <c r="Z282" s="1773"/>
    </row>
    <row r="283">
      <c r="A283" s="1765"/>
      <c r="B283" s="1782"/>
      <c r="C283" s="1765"/>
      <c r="D283" s="1765"/>
      <c r="E283" s="1765"/>
      <c r="F283" s="1765"/>
      <c r="G283" s="1765"/>
      <c r="H283" s="1765"/>
      <c r="I283" s="1765"/>
      <c r="J283" s="1765"/>
      <c r="K283" s="1765"/>
      <c r="L283" s="1765"/>
      <c r="M283" s="1765"/>
      <c r="N283" s="1765"/>
      <c r="O283" s="1765"/>
      <c r="P283" s="1765"/>
      <c r="Q283" s="1766"/>
      <c r="R283" s="1766"/>
      <c r="S283" s="1696"/>
      <c r="T283" s="1696"/>
      <c r="U283" s="1772"/>
      <c r="V283" s="1696"/>
      <c r="W283" s="1772"/>
      <c r="X283" s="1696"/>
      <c r="Y283" s="1696"/>
      <c r="Z283" s="1773"/>
    </row>
    <row r="284">
      <c r="A284" s="1771"/>
      <c r="B284" s="1777"/>
      <c r="C284" s="1771"/>
      <c r="D284" s="1771"/>
      <c r="E284" s="1771"/>
      <c r="F284" s="1771"/>
      <c r="G284" s="1777"/>
      <c r="H284" s="1771"/>
      <c r="I284" s="1770"/>
      <c r="J284" s="1771"/>
      <c r="K284" s="1771"/>
      <c r="L284" s="1771"/>
      <c r="M284" s="1771"/>
      <c r="N284" s="1779"/>
      <c r="O284" s="1770"/>
      <c r="P284" s="1771"/>
      <c r="Q284" s="1766"/>
      <c r="R284" s="1766"/>
      <c r="S284" s="1696"/>
      <c r="T284" s="1696"/>
      <c r="U284" s="1772"/>
      <c r="V284" s="1696"/>
      <c r="W284" s="1772"/>
      <c r="X284" s="1696"/>
      <c r="Y284" s="1696"/>
      <c r="Z284" s="1773"/>
    </row>
    <row r="285">
      <c r="A285" s="1766"/>
      <c r="B285" s="1780"/>
      <c r="C285" s="1766"/>
      <c r="D285" s="1766"/>
      <c r="E285" s="1766"/>
      <c r="F285" s="1766"/>
      <c r="G285" s="1766"/>
      <c r="H285" s="1766"/>
      <c r="I285" s="1766"/>
      <c r="J285" s="1766"/>
      <c r="K285" s="1766"/>
      <c r="L285" s="1766"/>
      <c r="M285" s="1766"/>
      <c r="N285" s="1781"/>
      <c r="O285" s="1766"/>
      <c r="P285" s="1766"/>
      <c r="Q285" s="1766"/>
      <c r="R285" s="1766"/>
      <c r="S285" s="1696"/>
      <c r="T285" s="1696"/>
      <c r="U285" s="1772"/>
      <c r="V285" s="1696"/>
      <c r="W285" s="1772"/>
      <c r="X285" s="1696"/>
      <c r="Y285" s="1696"/>
      <c r="Z285" s="1773"/>
    </row>
    <row r="286">
      <c r="A286" s="1765"/>
      <c r="B286" s="1782"/>
      <c r="C286" s="1765"/>
      <c r="D286" s="1765"/>
      <c r="E286" s="1765"/>
      <c r="F286" s="1765"/>
      <c r="G286" s="1765"/>
      <c r="H286" s="1765"/>
      <c r="I286" s="1765"/>
      <c r="J286" s="1765"/>
      <c r="K286" s="1765"/>
      <c r="L286" s="1765"/>
      <c r="M286" s="1765"/>
      <c r="N286" s="1765"/>
      <c r="O286" s="1765"/>
      <c r="P286" s="1765"/>
      <c r="Q286" s="1766"/>
      <c r="R286" s="1766"/>
      <c r="S286" s="1696"/>
      <c r="T286" s="1696"/>
      <c r="U286" s="1772"/>
      <c r="V286" s="1696"/>
      <c r="W286" s="1772"/>
      <c r="X286" s="1696"/>
      <c r="Y286" s="1696"/>
      <c r="Z286" s="1773"/>
    </row>
    <row r="287">
      <c r="A287" s="1771"/>
      <c r="B287" s="1777"/>
      <c r="C287" s="1771"/>
      <c r="D287" s="1771"/>
      <c r="E287" s="1771"/>
      <c r="F287" s="1771"/>
      <c r="G287" s="1777"/>
      <c r="H287" s="1771"/>
      <c r="I287" s="1770"/>
      <c r="J287" s="1771"/>
      <c r="K287" s="1771"/>
      <c r="L287" s="1771"/>
      <c r="M287" s="1771"/>
      <c r="N287" s="1779"/>
      <c r="O287" s="1770"/>
      <c r="P287" s="1771"/>
      <c r="Q287" s="1766"/>
      <c r="R287" s="1766"/>
      <c r="S287" s="1696"/>
      <c r="T287" s="1696"/>
      <c r="U287" s="1772"/>
      <c r="V287" s="1696"/>
      <c r="W287" s="1772"/>
      <c r="X287" s="1696"/>
      <c r="Y287" s="1696"/>
      <c r="Z287" s="1773"/>
    </row>
    <row r="288">
      <c r="A288" s="1766"/>
      <c r="B288" s="1780"/>
      <c r="C288" s="1766"/>
      <c r="D288" s="1766"/>
      <c r="E288" s="1766"/>
      <c r="F288" s="1766"/>
      <c r="G288" s="1766"/>
      <c r="H288" s="1766"/>
      <c r="I288" s="1766"/>
      <c r="J288" s="1766"/>
      <c r="K288" s="1766"/>
      <c r="L288" s="1766"/>
      <c r="M288" s="1766"/>
      <c r="N288" s="1781"/>
      <c r="O288" s="1766"/>
      <c r="P288" s="1766"/>
      <c r="Q288" s="1766"/>
      <c r="R288" s="1766"/>
      <c r="S288" s="1696"/>
      <c r="T288" s="1696"/>
      <c r="U288" s="1772"/>
      <c r="V288" s="1696"/>
      <c r="W288" s="1772"/>
      <c r="X288" s="1696"/>
      <c r="Y288" s="1696"/>
      <c r="Z288" s="1773"/>
    </row>
    <row r="289">
      <c r="A289" s="1765"/>
      <c r="B289" s="1782"/>
      <c r="C289" s="1765"/>
      <c r="D289" s="1765"/>
      <c r="E289" s="1765"/>
      <c r="F289" s="1765"/>
      <c r="G289" s="1765"/>
      <c r="H289" s="1765"/>
      <c r="I289" s="1765"/>
      <c r="J289" s="1765"/>
      <c r="K289" s="1765"/>
      <c r="L289" s="1765"/>
      <c r="M289" s="1765"/>
      <c r="N289" s="1765"/>
      <c r="O289" s="1765"/>
      <c r="P289" s="1765"/>
      <c r="Q289" s="1766"/>
      <c r="R289" s="1766"/>
      <c r="S289" s="1696"/>
      <c r="T289" s="1696"/>
      <c r="U289" s="1772"/>
      <c r="V289" s="1696"/>
      <c r="W289" s="1772"/>
      <c r="X289" s="1696"/>
      <c r="Y289" s="1696"/>
      <c r="Z289" s="1773"/>
    </row>
    <row r="290">
      <c r="A290" s="1771"/>
      <c r="B290" s="1777"/>
      <c r="C290" s="1771"/>
      <c r="D290" s="1771"/>
      <c r="E290" s="1771"/>
      <c r="F290" s="1771"/>
      <c r="G290" s="1771"/>
      <c r="H290" s="1771"/>
      <c r="I290" s="1770"/>
      <c r="J290" s="1771"/>
      <c r="K290" s="1771"/>
      <c r="L290" s="1771"/>
      <c r="M290" s="1771"/>
      <c r="N290" s="1779"/>
      <c r="O290" s="1770"/>
      <c r="P290" s="1771"/>
      <c r="Q290" s="1766"/>
      <c r="R290" s="1766"/>
      <c r="S290" s="1696"/>
      <c r="T290" s="1696"/>
      <c r="U290" s="1772"/>
      <c r="V290" s="1696"/>
      <c r="W290" s="1772"/>
      <c r="X290" s="1696"/>
      <c r="Y290" s="1696"/>
      <c r="Z290" s="1773"/>
    </row>
    <row r="291">
      <c r="A291" s="1766"/>
      <c r="B291" s="1780"/>
      <c r="C291" s="1766"/>
      <c r="D291" s="1766"/>
      <c r="E291" s="1766"/>
      <c r="F291" s="1766"/>
      <c r="G291" s="1766"/>
      <c r="H291" s="1766"/>
      <c r="I291" s="1766"/>
      <c r="J291" s="1766"/>
      <c r="K291" s="1766"/>
      <c r="L291" s="1766"/>
      <c r="M291" s="1766"/>
      <c r="N291" s="1781"/>
      <c r="O291" s="1766"/>
      <c r="P291" s="1766"/>
      <c r="Q291" s="1766"/>
      <c r="R291" s="1766"/>
      <c r="S291" s="1696"/>
      <c r="T291" s="1696"/>
      <c r="U291" s="1772"/>
      <c r="V291" s="1696"/>
      <c r="W291" s="1772"/>
      <c r="X291" s="1696"/>
      <c r="Y291" s="1696"/>
      <c r="Z291" s="1773"/>
    </row>
    <row r="292">
      <c r="A292" s="1765"/>
      <c r="B292" s="1782"/>
      <c r="C292" s="1765"/>
      <c r="D292" s="1765"/>
      <c r="E292" s="1765"/>
      <c r="F292" s="1765"/>
      <c r="G292" s="1765"/>
      <c r="H292" s="1765"/>
      <c r="I292" s="1765"/>
      <c r="J292" s="1765"/>
      <c r="K292" s="1765"/>
      <c r="L292" s="1765"/>
      <c r="M292" s="1765"/>
      <c r="N292" s="1765"/>
      <c r="O292" s="1765"/>
      <c r="P292" s="1765"/>
      <c r="Q292" s="1766"/>
      <c r="R292" s="1766"/>
      <c r="S292" s="1696"/>
      <c r="T292" s="1696"/>
      <c r="U292" s="1772"/>
      <c r="V292" s="1696"/>
      <c r="W292" s="1772"/>
      <c r="X292" s="1696"/>
      <c r="Y292" s="1696"/>
      <c r="Z292" s="1773"/>
    </row>
    <row r="293">
      <c r="A293" s="1771"/>
      <c r="B293" s="1777"/>
      <c r="C293" s="1771"/>
      <c r="D293" s="1771"/>
      <c r="E293" s="1771"/>
      <c r="F293" s="1771"/>
      <c r="G293" s="1771"/>
      <c r="H293" s="1771"/>
      <c r="I293" s="1770"/>
      <c r="J293" s="1771"/>
      <c r="K293" s="1771"/>
      <c r="L293" s="1771"/>
      <c r="M293" s="1771"/>
      <c r="N293" s="1779"/>
      <c r="O293" s="1770"/>
      <c r="P293" s="1771"/>
      <c r="Q293" s="1766"/>
      <c r="R293" s="1766"/>
      <c r="S293" s="1696"/>
      <c r="T293" s="1696"/>
      <c r="U293" s="1772"/>
      <c r="V293" s="1696"/>
      <c r="W293" s="1772"/>
      <c r="X293" s="1696"/>
      <c r="Y293" s="1696"/>
      <c r="Z293" s="1773"/>
    </row>
    <row r="294">
      <c r="A294" s="1766"/>
      <c r="B294" s="1780"/>
      <c r="C294" s="1766"/>
      <c r="D294" s="1766"/>
      <c r="E294" s="1766"/>
      <c r="F294" s="1766"/>
      <c r="G294" s="1766"/>
      <c r="H294" s="1766"/>
      <c r="I294" s="1766"/>
      <c r="J294" s="1766"/>
      <c r="K294" s="1766"/>
      <c r="L294" s="1766"/>
      <c r="M294" s="1766"/>
      <c r="N294" s="1781"/>
      <c r="O294" s="1766"/>
      <c r="P294" s="1766"/>
      <c r="Q294" s="1766"/>
      <c r="R294" s="1766"/>
      <c r="S294" s="1696"/>
      <c r="T294" s="1696"/>
      <c r="U294" s="1772"/>
      <c r="V294" s="1696"/>
      <c r="W294" s="1772"/>
      <c r="X294" s="1696"/>
      <c r="Y294" s="1696"/>
      <c r="Z294" s="1773"/>
    </row>
    <row r="295">
      <c r="A295" s="1765"/>
      <c r="B295" s="1782"/>
      <c r="C295" s="1765"/>
      <c r="D295" s="1765"/>
      <c r="E295" s="1765"/>
      <c r="F295" s="1765"/>
      <c r="G295" s="1765"/>
      <c r="H295" s="1765"/>
      <c r="I295" s="1765"/>
      <c r="J295" s="1765"/>
      <c r="K295" s="1765"/>
      <c r="L295" s="1765"/>
      <c r="M295" s="1765"/>
      <c r="N295" s="1765"/>
      <c r="O295" s="1765"/>
      <c r="P295" s="1765"/>
      <c r="Q295" s="1766"/>
      <c r="R295" s="1766"/>
      <c r="S295" s="1696"/>
      <c r="T295" s="1696"/>
      <c r="U295" s="1772"/>
      <c r="V295" s="1696"/>
      <c r="W295" s="1772"/>
      <c r="X295" s="1696"/>
      <c r="Y295" s="1696"/>
      <c r="Z295" s="1773"/>
    </row>
    <row r="296">
      <c r="A296" s="1771"/>
      <c r="B296" s="1777"/>
      <c r="C296" s="1771"/>
      <c r="D296" s="1771"/>
      <c r="E296" s="1771"/>
      <c r="F296" s="1771"/>
      <c r="G296" s="1771"/>
      <c r="H296" s="1771"/>
      <c r="I296" s="1778"/>
      <c r="J296" s="1771"/>
      <c r="K296" s="1771"/>
      <c r="L296" s="1771"/>
      <c r="M296" s="1771"/>
      <c r="N296" s="1779"/>
      <c r="O296" s="1770"/>
      <c r="P296" s="1771"/>
      <c r="Q296" s="1766"/>
      <c r="R296" s="1766"/>
      <c r="S296" s="1696"/>
      <c r="T296" s="1696"/>
      <c r="U296" s="1772"/>
      <c r="V296" s="1696"/>
      <c r="W296" s="1772"/>
      <c r="X296" s="1696"/>
      <c r="Y296" s="1696"/>
      <c r="Z296" s="1773"/>
    </row>
    <row r="297">
      <c r="A297" s="1766"/>
      <c r="B297" s="1780"/>
      <c r="C297" s="1766"/>
      <c r="D297" s="1766"/>
      <c r="E297" s="1766"/>
      <c r="F297" s="1766"/>
      <c r="G297" s="1766"/>
      <c r="H297" s="1766"/>
      <c r="I297" s="1766"/>
      <c r="J297" s="1766"/>
      <c r="K297" s="1766"/>
      <c r="L297" s="1766"/>
      <c r="M297" s="1766"/>
      <c r="N297" s="1781"/>
      <c r="O297" s="1766"/>
      <c r="P297" s="1766"/>
      <c r="Q297" s="1766"/>
      <c r="R297" s="1766"/>
      <c r="S297" s="1696"/>
      <c r="T297" s="1696"/>
      <c r="U297" s="1772"/>
      <c r="V297" s="1696"/>
      <c r="W297" s="1772"/>
      <c r="X297" s="1696"/>
      <c r="Y297" s="1696"/>
      <c r="Z297" s="1773"/>
    </row>
    <row r="298">
      <c r="A298" s="1765"/>
      <c r="B298" s="1782"/>
      <c r="C298" s="1765"/>
      <c r="D298" s="1765"/>
      <c r="E298" s="1765"/>
      <c r="F298" s="1765"/>
      <c r="G298" s="1765"/>
      <c r="H298" s="1765"/>
      <c r="I298" s="1765"/>
      <c r="J298" s="1765"/>
      <c r="K298" s="1765"/>
      <c r="L298" s="1765"/>
      <c r="M298" s="1765"/>
      <c r="N298" s="1765"/>
      <c r="O298" s="1765"/>
      <c r="P298" s="1765"/>
      <c r="Q298" s="1766"/>
      <c r="R298" s="1766"/>
      <c r="S298" s="1696"/>
      <c r="T298" s="1696"/>
      <c r="U298" s="1772"/>
      <c r="V298" s="1696"/>
      <c r="W298" s="1772"/>
      <c r="X298" s="1696"/>
      <c r="Y298" s="1696"/>
      <c r="Z298" s="1773"/>
    </row>
    <row r="299">
      <c r="A299" s="1771"/>
      <c r="B299" s="1777"/>
      <c r="C299" s="1771"/>
      <c r="D299" s="1771"/>
      <c r="E299" s="1771"/>
      <c r="F299" s="1771"/>
      <c r="G299" s="1770"/>
      <c r="H299" s="1771"/>
      <c r="I299" s="1778"/>
      <c r="J299" s="1771"/>
      <c r="K299" s="1771"/>
      <c r="L299" s="1771"/>
      <c r="M299" s="1771"/>
      <c r="N299" s="1779"/>
      <c r="O299" s="1770"/>
      <c r="P299" s="1771"/>
      <c r="Q299" s="1766"/>
      <c r="R299" s="1766"/>
      <c r="S299" s="1696"/>
      <c r="T299" s="1696"/>
      <c r="U299" s="1772"/>
      <c r="V299" s="1696"/>
      <c r="W299" s="1772"/>
      <c r="X299" s="1696"/>
      <c r="Y299" s="1696"/>
      <c r="Z299" s="1773"/>
    </row>
    <row r="300">
      <c r="A300" s="1766"/>
      <c r="B300" s="1780"/>
      <c r="C300" s="1766"/>
      <c r="D300" s="1766"/>
      <c r="E300" s="1766"/>
      <c r="F300" s="1766"/>
      <c r="G300" s="1766"/>
      <c r="H300" s="1766"/>
      <c r="I300" s="1766"/>
      <c r="J300" s="1766"/>
      <c r="K300" s="1766"/>
      <c r="L300" s="1766"/>
      <c r="M300" s="1766"/>
      <c r="N300" s="1781"/>
      <c r="O300" s="1766"/>
      <c r="P300" s="1766"/>
      <c r="Q300" s="1766"/>
      <c r="R300" s="1766"/>
      <c r="S300" s="1696"/>
      <c r="T300" s="1696"/>
      <c r="U300" s="1772"/>
      <c r="V300" s="1696"/>
      <c r="W300" s="1772"/>
      <c r="X300" s="1696"/>
      <c r="Y300" s="1696"/>
      <c r="Z300" s="1773"/>
    </row>
    <row r="301">
      <c r="A301" s="1765"/>
      <c r="B301" s="1782"/>
      <c r="C301" s="1765"/>
      <c r="D301" s="1765"/>
      <c r="E301" s="1765"/>
      <c r="F301" s="1765"/>
      <c r="G301" s="1765"/>
      <c r="H301" s="1765"/>
      <c r="I301" s="1765"/>
      <c r="J301" s="1765"/>
      <c r="K301" s="1765"/>
      <c r="L301" s="1765"/>
      <c r="M301" s="1765"/>
      <c r="N301" s="1765"/>
      <c r="O301" s="1765"/>
      <c r="P301" s="1765"/>
      <c r="Q301" s="1766"/>
      <c r="R301" s="1766"/>
      <c r="S301" s="1696"/>
      <c r="T301" s="1696"/>
      <c r="U301" s="1772"/>
      <c r="V301" s="1696"/>
      <c r="W301" s="1772"/>
      <c r="X301" s="1696"/>
      <c r="Y301" s="1696"/>
      <c r="Z301" s="1773"/>
    </row>
    <row r="302">
      <c r="A302" s="1771"/>
      <c r="B302" s="1777"/>
      <c r="C302" s="1771"/>
      <c r="D302" s="1771"/>
      <c r="E302" s="1771"/>
      <c r="F302" s="1771"/>
      <c r="G302" s="1777"/>
      <c r="H302" s="1771"/>
      <c r="I302" s="1770"/>
      <c r="J302" s="1771"/>
      <c r="K302" s="1771"/>
      <c r="L302" s="1771"/>
      <c r="M302" s="1771"/>
      <c r="N302" s="1779"/>
      <c r="O302" s="1770"/>
      <c r="P302" s="1771"/>
      <c r="Q302" s="1766"/>
      <c r="R302" s="1766"/>
      <c r="S302" s="1696"/>
      <c r="T302" s="1696"/>
      <c r="U302" s="1772"/>
      <c r="V302" s="1696"/>
      <c r="W302" s="1772"/>
      <c r="X302" s="1696"/>
      <c r="Y302" s="1696"/>
      <c r="Z302" s="1773"/>
    </row>
    <row r="303">
      <c r="A303" s="1766"/>
      <c r="B303" s="1780"/>
      <c r="C303" s="1766"/>
      <c r="D303" s="1766"/>
      <c r="E303" s="1766"/>
      <c r="F303" s="1766"/>
      <c r="G303" s="1766"/>
      <c r="H303" s="1766"/>
      <c r="I303" s="1766"/>
      <c r="J303" s="1766"/>
      <c r="K303" s="1766"/>
      <c r="L303" s="1766"/>
      <c r="M303" s="1766"/>
      <c r="N303" s="1781"/>
      <c r="O303" s="1766"/>
      <c r="P303" s="1766"/>
      <c r="Q303" s="1766"/>
      <c r="R303" s="1766"/>
      <c r="S303" s="1696"/>
      <c r="T303" s="1696"/>
      <c r="U303" s="1772"/>
      <c r="V303" s="1696"/>
      <c r="W303" s="1772"/>
      <c r="X303" s="1696"/>
      <c r="Y303" s="1696"/>
      <c r="Z303" s="1773"/>
    </row>
    <row r="304">
      <c r="A304" s="1765"/>
      <c r="B304" s="1782"/>
      <c r="C304" s="1765"/>
      <c r="D304" s="1765"/>
      <c r="E304" s="1765"/>
      <c r="F304" s="1765"/>
      <c r="G304" s="1765"/>
      <c r="H304" s="1765"/>
      <c r="I304" s="1765"/>
      <c r="J304" s="1765"/>
      <c r="K304" s="1765"/>
      <c r="L304" s="1765"/>
      <c r="M304" s="1765"/>
      <c r="N304" s="1765"/>
      <c r="O304" s="1765"/>
      <c r="P304" s="1765"/>
      <c r="Q304" s="1766"/>
      <c r="R304" s="1766"/>
      <c r="S304" s="1696"/>
      <c r="T304" s="1696"/>
      <c r="U304" s="1772"/>
      <c r="V304" s="1696"/>
      <c r="W304" s="1772"/>
      <c r="X304" s="1696"/>
      <c r="Y304" s="1696"/>
      <c r="Z304" s="1773"/>
    </row>
    <row r="305">
      <c r="A305" s="1771"/>
      <c r="B305" s="1777"/>
      <c r="C305" s="1771"/>
      <c r="D305" s="1771"/>
      <c r="E305" s="1771"/>
      <c r="F305" s="1771"/>
      <c r="G305" s="1771"/>
      <c r="H305" s="1771"/>
      <c r="I305" s="1778"/>
      <c r="J305" s="1771"/>
      <c r="K305" s="1771"/>
      <c r="L305" s="1771"/>
      <c r="M305" s="1771"/>
      <c r="N305" s="1779"/>
      <c r="O305" s="1770"/>
      <c r="P305" s="1771"/>
      <c r="Q305" s="1766"/>
      <c r="R305" s="1766"/>
      <c r="S305" s="1696"/>
      <c r="T305" s="1696"/>
      <c r="U305" s="1772"/>
      <c r="V305" s="1696"/>
      <c r="W305" s="1772"/>
      <c r="X305" s="1696"/>
      <c r="Y305" s="1696"/>
      <c r="Z305" s="1773"/>
    </row>
    <row r="306">
      <c r="A306" s="1766"/>
      <c r="B306" s="1780"/>
      <c r="C306" s="1766"/>
      <c r="D306" s="1766"/>
      <c r="E306" s="1766"/>
      <c r="F306" s="1766"/>
      <c r="G306" s="1766"/>
      <c r="H306" s="1766"/>
      <c r="I306" s="1766"/>
      <c r="J306" s="1766"/>
      <c r="K306" s="1766"/>
      <c r="L306" s="1766"/>
      <c r="M306" s="1766"/>
      <c r="N306" s="1781"/>
      <c r="O306" s="1766"/>
      <c r="P306" s="1766"/>
      <c r="Q306" s="1766"/>
      <c r="R306" s="1766"/>
      <c r="S306" s="1696"/>
      <c r="T306" s="1696"/>
      <c r="U306" s="1772"/>
      <c r="V306" s="1696"/>
      <c r="W306" s="1772"/>
      <c r="X306" s="1696"/>
      <c r="Y306" s="1696"/>
      <c r="Z306" s="1773"/>
    </row>
    <row r="307">
      <c r="A307" s="1765"/>
      <c r="B307" s="1782"/>
      <c r="C307" s="1765"/>
      <c r="D307" s="1765"/>
      <c r="E307" s="1765"/>
      <c r="F307" s="1765"/>
      <c r="G307" s="1765"/>
      <c r="H307" s="1765"/>
      <c r="I307" s="1765"/>
      <c r="J307" s="1765"/>
      <c r="K307" s="1765"/>
      <c r="L307" s="1765"/>
      <c r="M307" s="1765"/>
      <c r="N307" s="1765"/>
      <c r="O307" s="1765"/>
      <c r="P307" s="1765"/>
      <c r="Q307" s="1766"/>
      <c r="R307" s="1766"/>
      <c r="S307" s="1696"/>
      <c r="T307" s="1696"/>
      <c r="U307" s="1772"/>
      <c r="V307" s="1696"/>
      <c r="W307" s="1772"/>
      <c r="X307" s="1696"/>
      <c r="Y307" s="1696"/>
      <c r="Z307" s="1773"/>
    </row>
    <row r="308">
      <c r="A308" s="1771"/>
      <c r="B308" s="1777"/>
      <c r="C308" s="1771"/>
      <c r="D308" s="1771"/>
      <c r="E308" s="1771"/>
      <c r="F308" s="1771"/>
      <c r="G308" s="1770"/>
      <c r="H308" s="1771"/>
      <c r="I308" s="1770"/>
      <c r="J308" s="1771"/>
      <c r="K308" s="1771"/>
      <c r="L308" s="1771"/>
      <c r="M308" s="1771"/>
      <c r="N308" s="1779"/>
      <c r="O308" s="1770"/>
      <c r="P308" s="1771"/>
      <c r="Q308" s="1766"/>
      <c r="R308" s="1766"/>
      <c r="S308" s="1696"/>
      <c r="T308" s="1696"/>
      <c r="U308" s="1772"/>
      <c r="V308" s="1696"/>
      <c r="W308" s="1772"/>
      <c r="X308" s="1696"/>
      <c r="Y308" s="1696"/>
      <c r="Z308" s="1773"/>
    </row>
    <row r="309">
      <c r="A309" s="1766"/>
      <c r="B309" s="1780"/>
      <c r="C309" s="1766"/>
      <c r="D309" s="1766"/>
      <c r="E309" s="1766"/>
      <c r="F309" s="1766"/>
      <c r="G309" s="1766"/>
      <c r="H309" s="1766"/>
      <c r="I309" s="1766"/>
      <c r="J309" s="1766"/>
      <c r="K309" s="1766"/>
      <c r="L309" s="1766"/>
      <c r="M309" s="1766"/>
      <c r="N309" s="1781"/>
      <c r="O309" s="1766"/>
      <c r="P309" s="1766"/>
      <c r="Q309" s="1766"/>
      <c r="R309" s="1766"/>
      <c r="S309" s="1696"/>
      <c r="T309" s="1696"/>
      <c r="U309" s="1772"/>
      <c r="V309" s="1696"/>
      <c r="W309" s="1772"/>
      <c r="X309" s="1696"/>
      <c r="Y309" s="1696"/>
      <c r="Z309" s="1773"/>
    </row>
    <row r="310">
      <c r="A310" s="1765"/>
      <c r="B310" s="1782"/>
      <c r="C310" s="1765"/>
      <c r="D310" s="1765"/>
      <c r="E310" s="1765"/>
      <c r="F310" s="1765"/>
      <c r="G310" s="1765"/>
      <c r="H310" s="1765"/>
      <c r="I310" s="1765"/>
      <c r="J310" s="1765"/>
      <c r="K310" s="1765"/>
      <c r="L310" s="1765"/>
      <c r="M310" s="1765"/>
      <c r="N310" s="1765"/>
      <c r="O310" s="1765"/>
      <c r="P310" s="1765"/>
      <c r="Q310" s="1766"/>
      <c r="R310" s="1766"/>
      <c r="S310" s="1696"/>
      <c r="T310" s="1696"/>
      <c r="U310" s="1772"/>
      <c r="V310" s="1696"/>
      <c r="W310" s="1772"/>
      <c r="X310" s="1696"/>
      <c r="Y310" s="1696"/>
      <c r="Z310" s="1773"/>
    </row>
    <row r="311">
      <c r="A311" s="1771"/>
      <c r="B311" s="1777"/>
      <c r="C311" s="1771"/>
      <c r="D311" s="1771"/>
      <c r="E311" s="1771"/>
      <c r="F311" s="1771"/>
      <c r="G311" s="1771"/>
      <c r="H311" s="1771"/>
      <c r="I311" s="1770"/>
      <c r="J311" s="1771"/>
      <c r="K311" s="1771"/>
      <c r="L311" s="1771"/>
      <c r="M311" s="1771"/>
      <c r="N311" s="1779"/>
      <c r="O311" s="1770"/>
      <c r="P311" s="1771"/>
      <c r="Q311" s="1766"/>
      <c r="R311" s="1766"/>
      <c r="S311" s="1696"/>
      <c r="T311" s="1696"/>
      <c r="U311" s="1772"/>
      <c r="V311" s="1696"/>
      <c r="W311" s="1772"/>
      <c r="X311" s="1696"/>
      <c r="Y311" s="1696"/>
      <c r="Z311" s="1773"/>
    </row>
    <row r="312">
      <c r="A312" s="1766"/>
      <c r="B312" s="1780"/>
      <c r="C312" s="1766"/>
      <c r="D312" s="1766"/>
      <c r="E312" s="1766"/>
      <c r="F312" s="1766"/>
      <c r="G312" s="1766"/>
      <c r="H312" s="1766"/>
      <c r="I312" s="1766"/>
      <c r="J312" s="1766"/>
      <c r="K312" s="1766"/>
      <c r="L312" s="1766"/>
      <c r="M312" s="1766"/>
      <c r="N312" s="1781"/>
      <c r="O312" s="1766"/>
      <c r="P312" s="1766"/>
      <c r="Q312" s="1766"/>
      <c r="R312" s="1766"/>
      <c r="S312" s="1696"/>
      <c r="T312" s="1696"/>
      <c r="U312" s="1772"/>
      <c r="V312" s="1696"/>
      <c r="W312" s="1772"/>
      <c r="X312" s="1696"/>
      <c r="Y312" s="1696"/>
      <c r="Z312" s="1773"/>
    </row>
    <row r="313">
      <c r="A313" s="1765"/>
      <c r="B313" s="1782"/>
      <c r="C313" s="1765"/>
      <c r="D313" s="1765"/>
      <c r="E313" s="1765"/>
      <c r="F313" s="1765"/>
      <c r="G313" s="1765"/>
      <c r="H313" s="1765"/>
      <c r="I313" s="1765"/>
      <c r="J313" s="1765"/>
      <c r="K313" s="1765"/>
      <c r="L313" s="1765"/>
      <c r="M313" s="1765"/>
      <c r="N313" s="1765"/>
      <c r="O313" s="1765"/>
      <c r="P313" s="1765"/>
      <c r="Q313" s="1766"/>
      <c r="R313" s="1766"/>
      <c r="S313" s="1696"/>
      <c r="T313" s="1696"/>
      <c r="U313" s="1772"/>
      <c r="V313" s="1696"/>
      <c r="W313" s="1772"/>
      <c r="X313" s="1696"/>
      <c r="Y313" s="1696"/>
      <c r="Z313" s="1773"/>
    </row>
    <row r="314">
      <c r="A314" s="1771"/>
      <c r="B314" s="1777"/>
      <c r="C314" s="1771"/>
      <c r="D314" s="1771"/>
      <c r="E314" s="1771"/>
      <c r="F314" s="1771"/>
      <c r="G314" s="1770"/>
      <c r="H314" s="1771"/>
      <c r="I314" s="1778"/>
      <c r="J314" s="1771"/>
      <c r="K314" s="1771"/>
      <c r="L314" s="1771"/>
      <c r="M314" s="1771"/>
      <c r="N314" s="1779"/>
      <c r="O314" s="1770"/>
      <c r="P314" s="1771"/>
      <c r="Q314" s="1766"/>
      <c r="R314" s="1766"/>
      <c r="S314" s="1696"/>
      <c r="T314" s="1696"/>
      <c r="U314" s="1772"/>
      <c r="V314" s="1696"/>
      <c r="W314" s="1772"/>
      <c r="X314" s="1696"/>
      <c r="Y314" s="1696"/>
      <c r="Z314" s="1773"/>
    </row>
    <row r="315">
      <c r="A315" s="1766"/>
      <c r="B315" s="1780"/>
      <c r="C315" s="1766"/>
      <c r="D315" s="1766"/>
      <c r="E315" s="1766"/>
      <c r="F315" s="1766"/>
      <c r="G315" s="1766"/>
      <c r="H315" s="1766"/>
      <c r="I315" s="1766"/>
      <c r="J315" s="1766"/>
      <c r="K315" s="1766"/>
      <c r="L315" s="1766"/>
      <c r="M315" s="1766"/>
      <c r="N315" s="1781"/>
      <c r="O315" s="1766"/>
      <c r="P315" s="1766"/>
      <c r="Q315" s="1766"/>
      <c r="R315" s="1766"/>
      <c r="S315" s="1696"/>
      <c r="T315" s="1696"/>
      <c r="U315" s="1772"/>
      <c r="V315" s="1696"/>
      <c r="W315" s="1772"/>
      <c r="X315" s="1696"/>
      <c r="Y315" s="1696"/>
      <c r="Z315" s="1773"/>
    </row>
    <row r="316">
      <c r="A316" s="1765"/>
      <c r="B316" s="1782"/>
      <c r="C316" s="1765"/>
      <c r="D316" s="1765"/>
      <c r="E316" s="1765"/>
      <c r="F316" s="1765"/>
      <c r="G316" s="1765"/>
      <c r="H316" s="1765"/>
      <c r="I316" s="1765"/>
      <c r="J316" s="1765"/>
      <c r="K316" s="1765"/>
      <c r="L316" s="1765"/>
      <c r="M316" s="1765"/>
      <c r="N316" s="1765"/>
      <c r="O316" s="1765"/>
      <c r="P316" s="1765"/>
      <c r="Q316" s="1766"/>
      <c r="R316" s="1766"/>
      <c r="S316" s="1696"/>
      <c r="T316" s="1696"/>
      <c r="U316" s="1772"/>
      <c r="V316" s="1696"/>
      <c r="W316" s="1772"/>
      <c r="X316" s="1696"/>
      <c r="Y316" s="1696"/>
      <c r="Z316" s="1773"/>
    </row>
    <row r="317">
      <c r="A317" s="1771"/>
      <c r="B317" s="1777"/>
      <c r="C317" s="1771"/>
      <c r="D317" s="1771"/>
      <c r="E317" s="1771"/>
      <c r="F317" s="1771"/>
      <c r="G317" s="1770"/>
      <c r="H317" s="1771"/>
      <c r="I317" s="1778"/>
      <c r="J317" s="1771"/>
      <c r="K317" s="1771"/>
      <c r="L317" s="1771"/>
      <c r="M317" s="1771"/>
      <c r="N317" s="1779"/>
      <c r="O317" s="1770"/>
      <c r="P317" s="1771"/>
      <c r="Q317" s="1766"/>
      <c r="R317" s="1766"/>
      <c r="S317" s="1696"/>
      <c r="T317" s="1696"/>
      <c r="U317" s="1772"/>
      <c r="V317" s="1696"/>
      <c r="W317" s="1772"/>
      <c r="X317" s="1696"/>
      <c r="Y317" s="1696"/>
      <c r="Z317" s="1773"/>
    </row>
    <row r="318">
      <c r="A318" s="1766"/>
      <c r="B318" s="1780"/>
      <c r="C318" s="1766"/>
      <c r="D318" s="1766"/>
      <c r="E318" s="1766"/>
      <c r="F318" s="1766"/>
      <c r="G318" s="1766"/>
      <c r="H318" s="1766"/>
      <c r="I318" s="1766"/>
      <c r="J318" s="1766"/>
      <c r="K318" s="1766"/>
      <c r="L318" s="1766"/>
      <c r="M318" s="1766"/>
      <c r="N318" s="1781"/>
      <c r="O318" s="1766"/>
      <c r="P318" s="1766"/>
      <c r="Q318" s="1766"/>
      <c r="R318" s="1766"/>
      <c r="S318" s="1696"/>
      <c r="T318" s="1696"/>
      <c r="U318" s="1772"/>
      <c r="V318" s="1696"/>
      <c r="W318" s="1772"/>
      <c r="X318" s="1696"/>
      <c r="Y318" s="1696"/>
      <c r="Z318" s="1773"/>
    </row>
    <row r="319">
      <c r="A319" s="1765"/>
      <c r="B319" s="1782"/>
      <c r="C319" s="1765"/>
      <c r="D319" s="1765"/>
      <c r="E319" s="1765"/>
      <c r="F319" s="1765"/>
      <c r="G319" s="1765"/>
      <c r="H319" s="1765"/>
      <c r="I319" s="1765"/>
      <c r="J319" s="1765"/>
      <c r="K319" s="1765"/>
      <c r="L319" s="1765"/>
      <c r="M319" s="1765"/>
      <c r="N319" s="1765"/>
      <c r="O319" s="1765"/>
      <c r="P319" s="1765"/>
      <c r="Q319" s="1766"/>
      <c r="R319" s="1766"/>
      <c r="S319" s="1696"/>
      <c r="T319" s="1696"/>
      <c r="U319" s="1772"/>
      <c r="V319" s="1696"/>
      <c r="W319" s="1772"/>
      <c r="X319" s="1696"/>
      <c r="Y319" s="1696"/>
      <c r="Z319" s="1773"/>
    </row>
    <row r="320">
      <c r="A320" s="1771"/>
      <c r="B320" s="1777"/>
      <c r="C320" s="1771"/>
      <c r="D320" s="1771"/>
      <c r="E320" s="1771"/>
      <c r="F320" s="1771"/>
      <c r="G320" s="1770"/>
      <c r="H320" s="1771"/>
      <c r="I320" s="1778"/>
      <c r="J320" s="1771"/>
      <c r="K320" s="1771"/>
      <c r="L320" s="1771"/>
      <c r="M320" s="1771"/>
      <c r="N320" s="1779"/>
      <c r="O320" s="1770"/>
      <c r="P320" s="1771"/>
      <c r="Q320" s="1766"/>
      <c r="R320" s="1766"/>
      <c r="S320" s="1696"/>
      <c r="T320" s="1696"/>
      <c r="U320" s="1772"/>
      <c r="V320" s="1696"/>
      <c r="W320" s="1772"/>
      <c r="X320" s="1696"/>
      <c r="Y320" s="1696"/>
      <c r="Z320" s="1773"/>
    </row>
    <row r="321">
      <c r="A321" s="1766"/>
      <c r="B321" s="1780"/>
      <c r="C321" s="1766"/>
      <c r="D321" s="1766"/>
      <c r="E321" s="1766"/>
      <c r="F321" s="1766"/>
      <c r="G321" s="1766"/>
      <c r="H321" s="1766"/>
      <c r="I321" s="1766"/>
      <c r="J321" s="1766"/>
      <c r="K321" s="1766"/>
      <c r="L321" s="1766"/>
      <c r="M321" s="1766"/>
      <c r="N321" s="1781"/>
      <c r="O321" s="1766"/>
      <c r="P321" s="1766"/>
      <c r="Q321" s="1766"/>
      <c r="R321" s="1766"/>
      <c r="S321" s="1696"/>
      <c r="T321" s="1696"/>
      <c r="U321" s="1772"/>
      <c r="V321" s="1696"/>
      <c r="W321" s="1772"/>
      <c r="X321" s="1696"/>
      <c r="Y321" s="1696"/>
      <c r="Z321" s="1773"/>
    </row>
    <row r="322">
      <c r="A322" s="1765"/>
      <c r="B322" s="1782"/>
      <c r="C322" s="1765"/>
      <c r="D322" s="1765"/>
      <c r="E322" s="1765"/>
      <c r="F322" s="1765"/>
      <c r="G322" s="1765"/>
      <c r="H322" s="1765"/>
      <c r="I322" s="1765"/>
      <c r="J322" s="1765"/>
      <c r="K322" s="1765"/>
      <c r="L322" s="1765"/>
      <c r="M322" s="1765"/>
      <c r="N322" s="1765"/>
      <c r="O322" s="1765"/>
      <c r="P322" s="1765"/>
      <c r="Q322" s="1766"/>
      <c r="R322" s="1766"/>
      <c r="S322" s="1696"/>
      <c r="T322" s="1696"/>
      <c r="U322" s="1772"/>
      <c r="V322" s="1696"/>
      <c r="W322" s="1772"/>
      <c r="X322" s="1696"/>
      <c r="Y322" s="1696"/>
      <c r="Z322" s="1773"/>
    </row>
    <row r="323">
      <c r="A323" s="1771"/>
      <c r="B323" s="1777"/>
      <c r="C323" s="1771"/>
      <c r="D323" s="1771"/>
      <c r="E323" s="1771"/>
      <c r="F323" s="1771"/>
      <c r="G323" s="1770"/>
      <c r="H323" s="1771"/>
      <c r="I323" s="1778"/>
      <c r="J323" s="1771"/>
      <c r="K323" s="1771"/>
      <c r="L323" s="1771"/>
      <c r="M323" s="1771"/>
      <c r="N323" s="1779"/>
      <c r="O323" s="1770"/>
      <c r="P323" s="1771"/>
      <c r="Q323" s="1766"/>
      <c r="R323" s="1766"/>
      <c r="S323" s="1696"/>
      <c r="T323" s="1696"/>
      <c r="U323" s="1772"/>
      <c r="V323" s="1696"/>
      <c r="W323" s="1772"/>
      <c r="X323" s="1696"/>
      <c r="Y323" s="1696"/>
      <c r="Z323" s="1773"/>
    </row>
    <row r="324">
      <c r="A324" s="1766"/>
      <c r="B324" s="1780"/>
      <c r="C324" s="1766"/>
      <c r="D324" s="1766"/>
      <c r="E324" s="1766"/>
      <c r="F324" s="1766"/>
      <c r="G324" s="1766"/>
      <c r="H324" s="1766"/>
      <c r="I324" s="1766"/>
      <c r="J324" s="1766"/>
      <c r="K324" s="1766"/>
      <c r="L324" s="1766"/>
      <c r="M324" s="1766"/>
      <c r="N324" s="1781"/>
      <c r="O324" s="1766"/>
      <c r="P324" s="1766"/>
      <c r="Q324" s="1766"/>
      <c r="R324" s="1766"/>
      <c r="S324" s="1696"/>
      <c r="T324" s="1696"/>
      <c r="U324" s="1772"/>
      <c r="V324" s="1696"/>
      <c r="W324" s="1772"/>
      <c r="X324" s="1696"/>
      <c r="Y324" s="1696"/>
      <c r="Z324" s="1773"/>
    </row>
    <row r="325">
      <c r="A325" s="1765"/>
      <c r="B325" s="1782"/>
      <c r="C325" s="1765"/>
      <c r="D325" s="1765"/>
      <c r="E325" s="1765"/>
      <c r="F325" s="1765"/>
      <c r="G325" s="1765"/>
      <c r="H325" s="1765"/>
      <c r="I325" s="1765"/>
      <c r="J325" s="1765"/>
      <c r="K325" s="1765"/>
      <c r="L325" s="1765"/>
      <c r="M325" s="1765"/>
      <c r="N325" s="1765"/>
      <c r="O325" s="1765"/>
      <c r="P325" s="1765"/>
      <c r="Q325" s="1766"/>
      <c r="R325" s="1766"/>
      <c r="S325" s="1696"/>
      <c r="U325" s="1772"/>
      <c r="V325" s="1696"/>
      <c r="W325" s="1772"/>
      <c r="X325" s="1696"/>
      <c r="Y325" s="1696"/>
      <c r="Z325" s="1773"/>
    </row>
    <row r="326">
      <c r="A326" s="1771"/>
      <c r="B326" s="1777"/>
      <c r="C326" s="1771"/>
      <c r="D326" s="1771"/>
      <c r="E326" s="1771"/>
      <c r="F326" s="1771"/>
      <c r="G326" s="1770"/>
      <c r="H326" s="1771"/>
      <c r="I326" s="1778"/>
      <c r="J326" s="1771"/>
      <c r="K326" s="1771"/>
      <c r="L326" s="1771"/>
      <c r="M326" s="1771"/>
      <c r="N326" s="1779"/>
      <c r="O326" s="1770"/>
      <c r="P326" s="1771"/>
      <c r="Q326" s="1766"/>
      <c r="R326" s="1766"/>
      <c r="S326" s="1696"/>
      <c r="T326" s="1696"/>
      <c r="U326" s="1772"/>
      <c r="V326" s="1696"/>
      <c r="W326" s="1772"/>
      <c r="X326" s="1696"/>
      <c r="Y326" s="1696"/>
      <c r="Z326" s="1696"/>
    </row>
    <row r="327">
      <c r="A327" s="1766"/>
      <c r="B327" s="1780"/>
      <c r="C327" s="1766"/>
      <c r="D327" s="1766"/>
      <c r="E327" s="1766"/>
      <c r="F327" s="1766"/>
      <c r="G327" s="1766"/>
      <c r="H327" s="1766"/>
      <c r="I327" s="1766"/>
      <c r="J327" s="1766"/>
      <c r="K327" s="1766"/>
      <c r="L327" s="1766"/>
      <c r="M327" s="1766"/>
      <c r="N327" s="1781"/>
      <c r="O327" s="1766"/>
      <c r="P327" s="1766"/>
      <c r="Q327" s="1766"/>
      <c r="R327" s="1766"/>
      <c r="S327" s="1696"/>
      <c r="U327" s="1772"/>
      <c r="V327" s="1696"/>
      <c r="W327" s="1772"/>
      <c r="X327" s="1696"/>
      <c r="Y327" s="1696"/>
      <c r="Z327" s="1773"/>
    </row>
    <row r="328">
      <c r="A328" s="1765"/>
      <c r="B328" s="1782"/>
      <c r="C328" s="1765"/>
      <c r="D328" s="1765"/>
      <c r="E328" s="1765"/>
      <c r="F328" s="1765"/>
      <c r="G328" s="1765"/>
      <c r="H328" s="1765"/>
      <c r="I328" s="1765"/>
      <c r="J328" s="1765"/>
      <c r="K328" s="1765"/>
      <c r="L328" s="1765"/>
      <c r="M328" s="1765"/>
      <c r="N328" s="1765"/>
      <c r="O328" s="1765"/>
      <c r="P328" s="1765"/>
      <c r="Q328" s="1766"/>
      <c r="R328" s="1766"/>
      <c r="S328" s="1696"/>
      <c r="U328" s="1772"/>
      <c r="V328" s="1696"/>
      <c r="W328" s="1772"/>
      <c r="X328" s="1696"/>
      <c r="Y328" s="1696"/>
      <c r="Z328" s="1773"/>
    </row>
    <row r="329">
      <c r="A329" s="1771"/>
      <c r="B329" s="1777"/>
      <c r="C329" s="1771"/>
      <c r="D329" s="1771"/>
      <c r="E329" s="1771"/>
      <c r="F329" s="1771"/>
      <c r="G329" s="1770"/>
      <c r="H329" s="1771"/>
      <c r="I329" s="1778"/>
      <c r="J329" s="1771"/>
      <c r="K329" s="1771"/>
      <c r="L329" s="1771"/>
      <c r="M329" s="1771"/>
      <c r="N329" s="1779"/>
      <c r="O329" s="1770"/>
      <c r="P329" s="1771"/>
      <c r="Q329" s="1766"/>
      <c r="R329" s="1766"/>
      <c r="S329" s="1696"/>
      <c r="U329" s="1772"/>
      <c r="V329" s="1696"/>
      <c r="W329" s="1772"/>
      <c r="X329" s="1696"/>
      <c r="Y329" s="1696"/>
      <c r="Z329" s="1773"/>
    </row>
    <row r="330">
      <c r="A330" s="1766"/>
      <c r="B330" s="1780"/>
      <c r="C330" s="1766"/>
      <c r="D330" s="1766"/>
      <c r="E330" s="1766"/>
      <c r="F330" s="1766"/>
      <c r="G330" s="1766"/>
      <c r="H330" s="1766"/>
      <c r="I330" s="1766"/>
      <c r="J330" s="1766"/>
      <c r="K330" s="1766"/>
      <c r="L330" s="1766"/>
      <c r="M330" s="1766"/>
      <c r="N330" s="1781"/>
      <c r="O330" s="1766"/>
      <c r="P330" s="1766"/>
      <c r="Q330" s="1766"/>
      <c r="R330" s="1766"/>
      <c r="S330" s="1696"/>
      <c r="U330" s="1772"/>
      <c r="V330" s="1696"/>
      <c r="W330" s="1772"/>
      <c r="X330" s="1696"/>
      <c r="Y330" s="1696"/>
      <c r="Z330" s="1773"/>
    </row>
    <row r="331">
      <c r="A331" s="1765"/>
      <c r="B331" s="1782"/>
      <c r="C331" s="1765"/>
      <c r="D331" s="1765"/>
      <c r="E331" s="1765"/>
      <c r="F331" s="1765"/>
      <c r="G331" s="1765"/>
      <c r="H331" s="1765"/>
      <c r="I331" s="1765"/>
      <c r="J331" s="1765"/>
      <c r="K331" s="1765"/>
      <c r="L331" s="1765"/>
      <c r="M331" s="1765"/>
      <c r="N331" s="1765"/>
      <c r="O331" s="1765"/>
      <c r="P331" s="1765"/>
      <c r="Q331" s="1766"/>
      <c r="R331" s="1766"/>
      <c r="S331" s="1696"/>
      <c r="U331" s="1772"/>
      <c r="V331" s="1696"/>
      <c r="W331" s="1772"/>
      <c r="X331" s="1696"/>
      <c r="Y331" s="1696"/>
      <c r="Z331" s="1773"/>
    </row>
    <row r="332">
      <c r="A332" s="1771"/>
      <c r="B332" s="1777"/>
      <c r="C332" s="1771"/>
      <c r="D332" s="1771"/>
      <c r="E332" s="1771"/>
      <c r="F332" s="1771"/>
      <c r="G332" s="1770"/>
      <c r="H332" s="1771"/>
      <c r="I332" s="1778"/>
      <c r="J332" s="1771"/>
      <c r="K332" s="1771"/>
      <c r="L332" s="1771"/>
      <c r="M332" s="1771"/>
      <c r="N332" s="1779"/>
      <c r="O332" s="1770"/>
      <c r="P332" s="1771"/>
      <c r="Q332" s="1766"/>
      <c r="R332" s="1766"/>
      <c r="S332" s="1696"/>
      <c r="T332" s="1696"/>
      <c r="U332" s="1772"/>
      <c r="V332" s="1696"/>
      <c r="W332" s="1772"/>
      <c r="X332" s="1696"/>
      <c r="Y332" s="1696"/>
      <c r="Z332" s="1773"/>
    </row>
    <row r="333">
      <c r="A333" s="1766"/>
      <c r="B333" s="1780"/>
      <c r="C333" s="1766"/>
      <c r="D333" s="1766"/>
      <c r="E333" s="1766"/>
      <c r="F333" s="1766"/>
      <c r="G333" s="1766"/>
      <c r="H333" s="1766"/>
      <c r="I333" s="1766"/>
      <c r="J333" s="1766"/>
      <c r="K333" s="1766"/>
      <c r="L333" s="1766"/>
      <c r="M333" s="1766"/>
      <c r="N333" s="1781"/>
      <c r="O333" s="1766"/>
      <c r="P333" s="1766"/>
      <c r="Q333" s="1766"/>
      <c r="R333" s="1766"/>
      <c r="S333" s="1696"/>
      <c r="T333" s="1696"/>
      <c r="U333" s="1772"/>
      <c r="V333" s="1696"/>
      <c r="W333" s="1772"/>
      <c r="X333" s="1696"/>
      <c r="Y333" s="1696"/>
      <c r="Z333" s="1773"/>
    </row>
    <row r="334">
      <c r="A334" s="1765"/>
      <c r="B334" s="1782"/>
      <c r="C334" s="1765"/>
      <c r="D334" s="1765"/>
      <c r="E334" s="1765"/>
      <c r="F334" s="1765"/>
      <c r="G334" s="1765"/>
      <c r="H334" s="1765"/>
      <c r="I334" s="1765"/>
      <c r="J334" s="1765"/>
      <c r="K334" s="1765"/>
      <c r="L334" s="1765"/>
      <c r="M334" s="1765"/>
      <c r="N334" s="1765"/>
      <c r="O334" s="1765"/>
      <c r="P334" s="1765"/>
      <c r="Q334" s="1766"/>
      <c r="R334" s="1766"/>
      <c r="S334" s="1696"/>
      <c r="T334" s="1696"/>
      <c r="U334" s="1772"/>
      <c r="V334" s="1696"/>
      <c r="W334" s="1772"/>
      <c r="X334" s="1696"/>
      <c r="Y334" s="1696"/>
      <c r="Z334" s="1773"/>
    </row>
    <row r="335">
      <c r="A335" s="1771"/>
      <c r="B335" s="1777"/>
      <c r="C335" s="1771"/>
      <c r="D335" s="1771"/>
      <c r="E335" s="1771"/>
      <c r="F335" s="1771"/>
      <c r="G335" s="1771"/>
      <c r="H335" s="1771"/>
      <c r="I335" s="1770"/>
      <c r="J335" s="1771"/>
      <c r="K335" s="1771"/>
      <c r="L335" s="1771"/>
      <c r="M335" s="1771"/>
      <c r="N335" s="1779"/>
      <c r="O335" s="1770"/>
      <c r="P335" s="1771"/>
      <c r="Q335" s="1766"/>
      <c r="R335" s="1766"/>
      <c r="S335" s="1696"/>
      <c r="T335" s="1696"/>
      <c r="U335" s="1772"/>
      <c r="V335" s="1696"/>
      <c r="W335" s="1772"/>
      <c r="X335" s="1696"/>
      <c r="Y335" s="1696"/>
      <c r="Z335" s="1773"/>
    </row>
    <row r="336">
      <c r="A336" s="1766"/>
      <c r="B336" s="1780"/>
      <c r="C336" s="1766"/>
      <c r="D336" s="1766"/>
      <c r="E336" s="1766"/>
      <c r="F336" s="1766"/>
      <c r="G336" s="1766"/>
      <c r="H336" s="1766"/>
      <c r="I336" s="1766"/>
      <c r="J336" s="1766"/>
      <c r="K336" s="1766"/>
      <c r="L336" s="1766"/>
      <c r="M336" s="1766"/>
      <c r="N336" s="1781"/>
      <c r="O336" s="1766"/>
      <c r="P336" s="1766"/>
      <c r="Q336" s="1766"/>
      <c r="R336" s="1766"/>
      <c r="S336" s="1696"/>
      <c r="T336" s="1696"/>
      <c r="U336" s="1772"/>
      <c r="V336" s="1696"/>
      <c r="W336" s="1772"/>
      <c r="X336" s="1696"/>
      <c r="Y336" s="1696"/>
      <c r="Z336" s="1773"/>
    </row>
    <row r="337">
      <c r="A337" s="1765"/>
      <c r="B337" s="1782"/>
      <c r="C337" s="1765"/>
      <c r="D337" s="1765"/>
      <c r="E337" s="1765"/>
      <c r="F337" s="1765"/>
      <c r="G337" s="1765"/>
      <c r="H337" s="1765"/>
      <c r="I337" s="1765"/>
      <c r="J337" s="1765"/>
      <c r="K337" s="1765"/>
      <c r="L337" s="1765"/>
      <c r="M337" s="1765"/>
      <c r="N337" s="1765"/>
      <c r="O337" s="1765"/>
      <c r="P337" s="1765"/>
      <c r="Q337" s="1766"/>
      <c r="R337" s="1766"/>
      <c r="S337" s="1696"/>
      <c r="T337" s="1696"/>
      <c r="U337" s="1772"/>
      <c r="V337" s="1696"/>
      <c r="W337" s="1772"/>
      <c r="X337" s="1696"/>
      <c r="Y337" s="1696"/>
      <c r="Z337" s="1696"/>
    </row>
    <row r="338">
      <c r="A338" s="1771"/>
      <c r="B338" s="1777"/>
      <c r="C338" s="1771"/>
      <c r="D338" s="1771"/>
      <c r="E338" s="1771"/>
      <c r="F338" s="1771"/>
      <c r="G338" s="1770"/>
      <c r="H338" s="1771"/>
      <c r="I338" s="1778"/>
      <c r="J338" s="1771"/>
      <c r="K338" s="1771"/>
      <c r="L338" s="1771"/>
      <c r="M338" s="1771"/>
      <c r="N338" s="1779"/>
      <c r="O338" s="1770"/>
      <c r="P338" s="1771"/>
      <c r="Q338" s="1766"/>
      <c r="R338" s="1766"/>
      <c r="S338" s="1696"/>
      <c r="T338" s="1696"/>
      <c r="U338" s="1772"/>
      <c r="V338" s="1696"/>
      <c r="W338" s="1772"/>
      <c r="X338" s="1696"/>
      <c r="Y338" s="1696"/>
      <c r="Z338" s="1773"/>
    </row>
    <row r="339">
      <c r="A339" s="1766"/>
      <c r="B339" s="1780"/>
      <c r="C339" s="1766"/>
      <c r="D339" s="1766"/>
      <c r="E339" s="1766"/>
      <c r="F339" s="1766"/>
      <c r="G339" s="1766"/>
      <c r="H339" s="1766"/>
      <c r="I339" s="1766"/>
      <c r="J339" s="1766"/>
      <c r="K339" s="1766"/>
      <c r="L339" s="1766"/>
      <c r="M339" s="1766"/>
      <c r="N339" s="1781"/>
      <c r="O339" s="1766"/>
      <c r="P339" s="1766"/>
      <c r="Q339" s="1766"/>
      <c r="R339" s="1766"/>
      <c r="S339" s="1696"/>
      <c r="T339" s="1696"/>
      <c r="U339" s="1772"/>
      <c r="V339" s="1696"/>
      <c r="W339" s="1772"/>
      <c r="X339" s="1696"/>
      <c r="Y339" s="1696"/>
      <c r="Z339" s="1773"/>
    </row>
    <row r="340">
      <c r="A340" s="1765"/>
      <c r="B340" s="1782"/>
      <c r="C340" s="1765"/>
      <c r="D340" s="1765"/>
      <c r="E340" s="1765"/>
      <c r="F340" s="1765"/>
      <c r="G340" s="1765"/>
      <c r="H340" s="1765"/>
      <c r="I340" s="1765"/>
      <c r="J340" s="1765"/>
      <c r="K340" s="1765"/>
      <c r="L340" s="1765"/>
      <c r="M340" s="1765"/>
      <c r="N340" s="1765"/>
      <c r="O340" s="1765"/>
      <c r="P340" s="1765"/>
      <c r="Q340" s="1766"/>
      <c r="R340" s="1766"/>
      <c r="S340" s="1696"/>
      <c r="T340" s="1696"/>
      <c r="U340" s="1772"/>
      <c r="V340" s="1696"/>
      <c r="W340" s="1772"/>
      <c r="X340" s="1696"/>
      <c r="Y340" s="1696"/>
      <c r="Z340" s="1773"/>
    </row>
    <row r="341">
      <c r="A341" s="1771"/>
      <c r="B341" s="1777"/>
      <c r="C341" s="1771"/>
      <c r="D341" s="1771"/>
      <c r="E341" s="1771"/>
      <c r="F341" s="1771"/>
      <c r="G341" s="1770"/>
      <c r="H341" s="1771"/>
      <c r="I341" s="1778"/>
      <c r="J341" s="1771"/>
      <c r="K341" s="1771"/>
      <c r="L341" s="1771"/>
      <c r="M341" s="1771"/>
      <c r="N341" s="1779"/>
      <c r="O341" s="1770"/>
      <c r="P341" s="1771"/>
      <c r="Q341" s="1766"/>
      <c r="R341" s="1766"/>
      <c r="S341" s="1696"/>
      <c r="T341" s="1696"/>
      <c r="U341" s="1772"/>
      <c r="V341" s="1696"/>
      <c r="W341" s="1772"/>
      <c r="X341" s="1696"/>
      <c r="Y341" s="1696"/>
      <c r="Z341" s="1773"/>
    </row>
    <row r="342">
      <c r="A342" s="1766"/>
      <c r="B342" s="1780"/>
      <c r="C342" s="1766"/>
      <c r="D342" s="1766"/>
      <c r="E342" s="1766"/>
      <c r="F342" s="1766"/>
      <c r="G342" s="1766"/>
      <c r="H342" s="1766"/>
      <c r="I342" s="1766"/>
      <c r="J342" s="1766"/>
      <c r="K342" s="1766"/>
      <c r="L342" s="1766"/>
      <c r="M342" s="1766"/>
      <c r="N342" s="1781"/>
      <c r="O342" s="1766"/>
      <c r="P342" s="1766"/>
      <c r="Q342" s="1766"/>
      <c r="R342" s="1766"/>
      <c r="S342" s="1696"/>
      <c r="T342" s="1696"/>
      <c r="U342" s="1772"/>
      <c r="V342" s="1696"/>
      <c r="W342" s="1772"/>
      <c r="X342" s="1696"/>
      <c r="Y342" s="1696"/>
      <c r="Z342" s="1773"/>
    </row>
    <row r="343">
      <c r="A343" s="1765"/>
      <c r="B343" s="1782"/>
      <c r="C343" s="1765"/>
      <c r="D343" s="1765"/>
      <c r="E343" s="1765"/>
      <c r="F343" s="1765"/>
      <c r="G343" s="1765"/>
      <c r="H343" s="1765"/>
      <c r="I343" s="1765"/>
      <c r="J343" s="1765"/>
      <c r="K343" s="1765"/>
      <c r="L343" s="1765"/>
      <c r="M343" s="1765"/>
      <c r="N343" s="1765"/>
      <c r="O343" s="1765"/>
      <c r="P343" s="1765"/>
      <c r="Q343" s="1766"/>
      <c r="R343" s="1766"/>
      <c r="S343" s="1696"/>
      <c r="T343" s="1696"/>
      <c r="U343" s="1772"/>
      <c r="V343" s="1696"/>
      <c r="W343" s="1772"/>
      <c r="X343" s="1696"/>
      <c r="Y343" s="1696"/>
      <c r="Z343" s="1773"/>
    </row>
    <row r="344">
      <c r="A344" s="1771"/>
      <c r="B344" s="1777"/>
      <c r="C344" s="1771"/>
      <c r="D344" s="1771"/>
      <c r="E344" s="1771"/>
      <c r="F344" s="1771"/>
      <c r="G344" s="1770"/>
      <c r="H344" s="1771"/>
      <c r="I344" s="1778"/>
      <c r="J344" s="1771"/>
      <c r="K344" s="1771"/>
      <c r="L344" s="1771"/>
      <c r="M344" s="1771"/>
      <c r="N344" s="1779"/>
      <c r="O344" s="1770"/>
      <c r="P344" s="1771"/>
      <c r="Q344" s="1766"/>
      <c r="R344" s="1766"/>
      <c r="S344" s="1696"/>
      <c r="T344" s="1696"/>
      <c r="U344" s="1772"/>
      <c r="V344" s="1696"/>
      <c r="W344" s="1772"/>
      <c r="X344" s="1696"/>
      <c r="Y344" s="1696"/>
      <c r="Z344" s="1773"/>
    </row>
    <row r="345">
      <c r="A345" s="1766"/>
      <c r="B345" s="1780"/>
      <c r="C345" s="1766"/>
      <c r="D345" s="1766"/>
      <c r="E345" s="1766"/>
      <c r="F345" s="1766"/>
      <c r="G345" s="1766"/>
      <c r="H345" s="1766"/>
      <c r="I345" s="1766"/>
      <c r="J345" s="1766"/>
      <c r="K345" s="1766"/>
      <c r="L345" s="1766"/>
      <c r="M345" s="1766"/>
      <c r="N345" s="1781"/>
      <c r="O345" s="1766"/>
      <c r="P345" s="1766"/>
      <c r="Q345" s="1766"/>
      <c r="R345" s="1766"/>
      <c r="S345" s="1696"/>
      <c r="T345" s="1696"/>
      <c r="U345" s="1772"/>
      <c r="V345" s="1696"/>
      <c r="W345" s="1772"/>
      <c r="X345" s="1696"/>
      <c r="Y345" s="1696"/>
      <c r="Z345" s="1696"/>
    </row>
    <row r="346">
      <c r="A346" s="1765"/>
      <c r="B346" s="1782"/>
      <c r="C346" s="1765"/>
      <c r="D346" s="1765"/>
      <c r="E346" s="1765"/>
      <c r="F346" s="1765"/>
      <c r="G346" s="1765"/>
      <c r="H346" s="1765"/>
      <c r="I346" s="1765"/>
      <c r="J346" s="1765"/>
      <c r="K346" s="1765"/>
      <c r="L346" s="1765"/>
      <c r="M346" s="1765"/>
      <c r="N346" s="1765"/>
      <c r="O346" s="1765"/>
      <c r="P346" s="1765"/>
      <c r="Q346" s="1766"/>
      <c r="R346" s="1766"/>
      <c r="S346" s="1696"/>
      <c r="T346" s="1696"/>
      <c r="U346" s="1772"/>
      <c r="V346" s="1696"/>
      <c r="W346" s="1772"/>
      <c r="X346" s="1696"/>
      <c r="Y346" s="1696"/>
      <c r="Z346" s="1696"/>
    </row>
    <row r="347">
      <c r="A347" s="1771"/>
      <c r="B347" s="1777"/>
      <c r="C347" s="1771"/>
      <c r="D347" s="1771"/>
      <c r="E347" s="1771"/>
      <c r="F347" s="1771"/>
      <c r="G347" s="1770"/>
      <c r="H347" s="1771"/>
      <c r="I347" s="1778"/>
      <c r="J347" s="1771"/>
      <c r="K347" s="1771"/>
      <c r="L347" s="1771"/>
      <c r="M347" s="1771"/>
      <c r="N347" s="1770"/>
      <c r="O347" s="1770"/>
      <c r="P347" s="1771"/>
      <c r="Q347" s="1766"/>
      <c r="R347" s="1766"/>
      <c r="S347" s="1696"/>
      <c r="U347" s="1772"/>
      <c r="V347" s="1696"/>
      <c r="W347" s="1772"/>
      <c r="X347" s="1696"/>
      <c r="Y347" s="1696"/>
      <c r="Z347" s="1773"/>
    </row>
    <row r="348">
      <c r="A348" s="1766"/>
      <c r="B348" s="1780"/>
      <c r="C348" s="1766"/>
      <c r="D348" s="1766"/>
      <c r="E348" s="1766"/>
      <c r="F348" s="1766"/>
      <c r="G348" s="1766"/>
      <c r="H348" s="1766"/>
      <c r="I348" s="1766"/>
      <c r="J348" s="1766"/>
      <c r="K348" s="1766"/>
      <c r="L348" s="1766"/>
      <c r="M348" s="1766"/>
      <c r="N348" s="1766"/>
      <c r="O348" s="1766"/>
      <c r="P348" s="1766"/>
      <c r="Q348" s="1766"/>
      <c r="R348" s="1766"/>
      <c r="S348" s="1696"/>
      <c r="U348" s="1772"/>
      <c r="V348" s="1696"/>
      <c r="W348" s="1772"/>
      <c r="X348" s="1696"/>
      <c r="Y348" s="1696"/>
      <c r="Z348" s="1773"/>
    </row>
    <row r="349">
      <c r="A349" s="1765"/>
      <c r="B349" s="1782"/>
      <c r="C349" s="1765"/>
      <c r="D349" s="1765"/>
      <c r="E349" s="1765"/>
      <c r="F349" s="1765"/>
      <c r="G349" s="1765"/>
      <c r="H349" s="1765"/>
      <c r="I349" s="1765"/>
      <c r="J349" s="1765"/>
      <c r="K349" s="1765"/>
      <c r="L349" s="1765"/>
      <c r="M349" s="1765"/>
      <c r="N349" s="1765"/>
      <c r="O349" s="1765"/>
      <c r="P349" s="1765"/>
      <c r="Q349" s="1766"/>
      <c r="R349" s="1766"/>
      <c r="S349" s="1696"/>
      <c r="U349" s="1772"/>
      <c r="V349" s="1696"/>
      <c r="W349" s="1772"/>
      <c r="X349" s="1696"/>
      <c r="Y349" s="1696"/>
      <c r="Z349" s="1773"/>
    </row>
    <row r="350">
      <c r="A350" s="1771"/>
      <c r="B350" s="1777"/>
      <c r="C350" s="1771"/>
      <c r="D350" s="1771"/>
      <c r="E350" s="1771"/>
      <c r="F350" s="1771"/>
      <c r="G350" s="1770"/>
      <c r="H350" s="1771"/>
      <c r="I350" s="1778"/>
      <c r="J350" s="1771"/>
      <c r="K350" s="1771"/>
      <c r="L350" s="1771"/>
      <c r="M350" s="1771"/>
      <c r="N350" s="1770"/>
      <c r="O350" s="1770"/>
      <c r="P350" s="1771"/>
      <c r="Q350" s="1766"/>
      <c r="R350" s="1766"/>
      <c r="S350" s="1696"/>
      <c r="T350" s="1696"/>
      <c r="U350" s="1772"/>
      <c r="V350" s="1696"/>
      <c r="W350" s="1772"/>
      <c r="X350" s="1696"/>
      <c r="Y350" s="1696"/>
      <c r="Z350" s="1773"/>
    </row>
    <row r="351">
      <c r="A351" s="1766"/>
      <c r="B351" s="1780"/>
      <c r="C351" s="1766"/>
      <c r="D351" s="1766"/>
      <c r="E351" s="1766"/>
      <c r="F351" s="1766"/>
      <c r="G351" s="1766"/>
      <c r="H351" s="1766"/>
      <c r="I351" s="1766"/>
      <c r="J351" s="1766"/>
      <c r="K351" s="1766"/>
      <c r="L351" s="1766"/>
      <c r="M351" s="1766"/>
      <c r="N351" s="1766"/>
      <c r="O351" s="1766"/>
      <c r="P351" s="1766"/>
      <c r="Q351" s="1766"/>
      <c r="R351" s="1766"/>
      <c r="S351" s="1696"/>
      <c r="T351" s="1696"/>
      <c r="U351" s="1772"/>
      <c r="V351" s="1696"/>
      <c r="W351" s="1772"/>
      <c r="X351" s="1696"/>
      <c r="Y351" s="1696"/>
      <c r="Z351" s="1773"/>
    </row>
    <row r="352">
      <c r="A352" s="1765"/>
      <c r="B352" s="1782"/>
      <c r="C352" s="1765"/>
      <c r="D352" s="1765"/>
      <c r="E352" s="1765"/>
      <c r="F352" s="1765"/>
      <c r="G352" s="1765"/>
      <c r="H352" s="1765"/>
      <c r="I352" s="1765"/>
      <c r="J352" s="1765"/>
      <c r="K352" s="1765"/>
      <c r="L352" s="1765"/>
      <c r="M352" s="1765"/>
      <c r="N352" s="1765"/>
      <c r="O352" s="1765"/>
      <c r="P352" s="1765"/>
      <c r="Q352" s="1766"/>
      <c r="R352" s="1766"/>
      <c r="S352" s="1696"/>
      <c r="T352" s="1696"/>
      <c r="U352" s="1772"/>
      <c r="V352" s="1696"/>
      <c r="W352" s="1772"/>
      <c r="X352" s="1696"/>
      <c r="Y352" s="1696"/>
      <c r="Z352" s="1773"/>
    </row>
    <row r="353">
      <c r="A353" s="1771"/>
      <c r="B353" s="1777"/>
      <c r="C353" s="1771"/>
      <c r="D353" s="1771"/>
      <c r="E353" s="1771"/>
      <c r="F353" s="1771"/>
      <c r="G353" s="1771"/>
      <c r="H353" s="1771"/>
      <c r="I353" s="1778"/>
      <c r="J353" s="1771"/>
      <c r="K353" s="1771"/>
      <c r="L353" s="1771"/>
      <c r="M353" s="1771"/>
      <c r="N353" s="1779"/>
      <c r="O353" s="1770"/>
      <c r="P353" s="1771"/>
      <c r="Q353" s="1766"/>
      <c r="R353" s="1766"/>
      <c r="S353" s="1696"/>
      <c r="T353" s="1696"/>
      <c r="U353" s="1772"/>
      <c r="V353" s="1696"/>
      <c r="W353" s="1772"/>
      <c r="X353" s="1696"/>
      <c r="Y353" s="1696"/>
      <c r="Z353" s="1773"/>
    </row>
    <row r="354">
      <c r="A354" s="1766"/>
      <c r="B354" s="1780"/>
      <c r="C354" s="1766"/>
      <c r="D354" s="1766"/>
      <c r="E354" s="1766"/>
      <c r="F354" s="1766"/>
      <c r="G354" s="1766"/>
      <c r="H354" s="1766"/>
      <c r="I354" s="1766"/>
      <c r="J354" s="1766"/>
      <c r="K354" s="1766"/>
      <c r="L354" s="1766"/>
      <c r="M354" s="1766"/>
      <c r="N354" s="1781"/>
      <c r="O354" s="1766"/>
      <c r="P354" s="1766"/>
      <c r="Q354" s="1766"/>
      <c r="R354" s="1766"/>
      <c r="S354" s="1696"/>
      <c r="T354" s="1696"/>
      <c r="U354" s="1772"/>
      <c r="V354" s="1696"/>
      <c r="W354" s="1772"/>
      <c r="X354" s="1696"/>
      <c r="Y354" s="1696"/>
      <c r="Z354" s="1773"/>
    </row>
    <row r="355">
      <c r="A355" s="1765"/>
      <c r="B355" s="1782"/>
      <c r="C355" s="1765"/>
      <c r="D355" s="1765"/>
      <c r="E355" s="1765"/>
      <c r="F355" s="1765"/>
      <c r="G355" s="1765"/>
      <c r="H355" s="1765"/>
      <c r="I355" s="1765"/>
      <c r="J355" s="1765"/>
      <c r="K355" s="1765"/>
      <c r="L355" s="1765"/>
      <c r="M355" s="1765"/>
      <c r="N355" s="1765"/>
      <c r="O355" s="1765"/>
      <c r="P355" s="1765"/>
      <c r="Q355" s="1766"/>
      <c r="R355" s="1766"/>
      <c r="S355" s="1696"/>
      <c r="T355" s="1696"/>
      <c r="U355" s="1772"/>
      <c r="V355" s="1696"/>
      <c r="W355" s="1772"/>
      <c r="X355" s="1696"/>
      <c r="Y355" s="1696"/>
      <c r="Z355" s="1773"/>
    </row>
    <row r="356">
      <c r="A356" s="1771"/>
      <c r="B356" s="1777"/>
      <c r="C356" s="1771"/>
      <c r="D356" s="1771"/>
      <c r="E356" s="1771"/>
      <c r="F356" s="1771"/>
      <c r="G356" s="1771"/>
      <c r="H356" s="1771"/>
      <c r="I356" s="1778"/>
      <c r="J356" s="1771"/>
      <c r="K356" s="1771"/>
      <c r="L356" s="1771"/>
      <c r="M356" s="1771"/>
      <c r="N356" s="1779"/>
      <c r="O356" s="1770"/>
      <c r="P356" s="1771"/>
      <c r="Q356" s="1766"/>
      <c r="R356" s="1766"/>
      <c r="S356" s="1696"/>
      <c r="T356" s="1696"/>
      <c r="U356" s="1772"/>
      <c r="V356" s="1696"/>
      <c r="W356" s="1772"/>
      <c r="X356" s="1696"/>
      <c r="Y356" s="1696"/>
      <c r="Z356" s="1773"/>
    </row>
    <row r="357">
      <c r="A357" s="1766"/>
      <c r="B357" s="1780"/>
      <c r="C357" s="1766"/>
      <c r="D357" s="1766"/>
      <c r="E357" s="1766"/>
      <c r="F357" s="1766"/>
      <c r="G357" s="1766"/>
      <c r="H357" s="1766"/>
      <c r="I357" s="1766"/>
      <c r="J357" s="1766"/>
      <c r="K357" s="1766"/>
      <c r="L357" s="1766"/>
      <c r="M357" s="1766"/>
      <c r="N357" s="1781"/>
      <c r="O357" s="1766"/>
      <c r="P357" s="1766"/>
      <c r="Q357" s="1766"/>
      <c r="R357" s="1766"/>
      <c r="S357" s="1696"/>
      <c r="T357" s="1696"/>
      <c r="U357" s="1772"/>
      <c r="V357" s="1696"/>
      <c r="W357" s="1772"/>
      <c r="X357" s="1696"/>
      <c r="Y357" s="1696"/>
      <c r="Z357" s="1773"/>
    </row>
    <row r="358">
      <c r="A358" s="1765"/>
      <c r="B358" s="1782"/>
      <c r="C358" s="1765"/>
      <c r="D358" s="1765"/>
      <c r="E358" s="1765"/>
      <c r="F358" s="1765"/>
      <c r="G358" s="1765"/>
      <c r="H358" s="1765"/>
      <c r="I358" s="1765"/>
      <c r="J358" s="1765"/>
      <c r="K358" s="1765"/>
      <c r="L358" s="1765"/>
      <c r="M358" s="1765"/>
      <c r="N358" s="1765"/>
      <c r="O358" s="1765"/>
      <c r="P358" s="1765"/>
      <c r="Q358" s="1766"/>
      <c r="R358" s="1766"/>
      <c r="S358" s="1696"/>
      <c r="T358" s="1696"/>
      <c r="U358" s="1772"/>
      <c r="V358" s="1696"/>
      <c r="W358" s="1772"/>
      <c r="X358" s="1696"/>
      <c r="Y358" s="1696"/>
      <c r="Z358" s="1773"/>
    </row>
    <row r="359">
      <c r="A359" s="1771"/>
      <c r="B359" s="1777"/>
      <c r="C359" s="1771"/>
      <c r="D359" s="1771"/>
      <c r="E359" s="1771"/>
      <c r="F359" s="1771"/>
      <c r="G359" s="1771"/>
      <c r="H359" s="1771"/>
      <c r="I359" s="1778"/>
      <c r="J359" s="1771"/>
      <c r="K359" s="1771"/>
      <c r="L359" s="1771"/>
      <c r="M359" s="1771"/>
      <c r="N359" s="1779"/>
      <c r="O359" s="1770"/>
      <c r="P359" s="1771"/>
      <c r="Q359" s="1766"/>
      <c r="R359" s="1766"/>
      <c r="S359" s="1696"/>
      <c r="T359" s="1696"/>
      <c r="U359" s="1772"/>
      <c r="V359" s="1696"/>
      <c r="W359" s="1772"/>
      <c r="X359" s="1696"/>
      <c r="Y359" s="1696"/>
      <c r="Z359" s="1773"/>
    </row>
    <row r="360">
      <c r="A360" s="1766"/>
      <c r="B360" s="1780"/>
      <c r="C360" s="1766"/>
      <c r="D360" s="1766"/>
      <c r="E360" s="1766"/>
      <c r="F360" s="1766"/>
      <c r="G360" s="1766"/>
      <c r="H360" s="1766"/>
      <c r="I360" s="1766"/>
      <c r="J360" s="1766"/>
      <c r="K360" s="1766"/>
      <c r="L360" s="1766"/>
      <c r="M360" s="1766"/>
      <c r="N360" s="1766"/>
      <c r="O360" s="1766"/>
      <c r="P360" s="1766"/>
      <c r="Q360" s="1766"/>
      <c r="R360" s="1766"/>
      <c r="S360" s="1696"/>
      <c r="T360" s="1696"/>
      <c r="U360" s="1772"/>
      <c r="V360" s="1696"/>
      <c r="W360" s="1772"/>
      <c r="X360" s="1696"/>
      <c r="Y360" s="1696"/>
      <c r="Z360" s="1696"/>
    </row>
    <row r="361">
      <c r="A361" s="1765"/>
      <c r="B361" s="1782"/>
      <c r="C361" s="1765"/>
      <c r="D361" s="1765"/>
      <c r="E361" s="1765"/>
      <c r="F361" s="1765"/>
      <c r="G361" s="1765"/>
      <c r="H361" s="1765"/>
      <c r="I361" s="1765"/>
      <c r="J361" s="1765"/>
      <c r="K361" s="1765"/>
      <c r="L361" s="1765"/>
      <c r="M361" s="1765"/>
      <c r="N361" s="1765"/>
      <c r="O361" s="1765"/>
      <c r="P361" s="1765"/>
      <c r="Q361" s="1766"/>
      <c r="R361" s="1766"/>
      <c r="S361" s="1696"/>
      <c r="U361" s="1772"/>
      <c r="V361" s="1696"/>
      <c r="W361" s="1772"/>
      <c r="X361" s="1696"/>
      <c r="Y361" s="1696"/>
      <c r="Z361" s="1696"/>
    </row>
    <row r="362">
      <c r="A362" s="1771"/>
      <c r="B362" s="1777"/>
      <c r="C362" s="1771"/>
      <c r="D362" s="1771"/>
      <c r="E362" s="1771"/>
      <c r="F362" s="1771"/>
      <c r="G362" s="1771"/>
      <c r="H362" s="1771"/>
      <c r="I362" s="1778"/>
      <c r="J362" s="1771"/>
      <c r="K362" s="1771"/>
      <c r="L362" s="1771"/>
      <c r="M362" s="1771"/>
      <c r="N362" s="1770"/>
      <c r="O362" s="1770"/>
      <c r="P362" s="1771"/>
      <c r="Q362" s="1766"/>
      <c r="R362" s="1766"/>
      <c r="S362" s="1696"/>
      <c r="U362" s="1772"/>
      <c r="V362" s="1696"/>
      <c r="W362" s="1772"/>
      <c r="X362" s="1696"/>
      <c r="Y362" s="1696"/>
      <c r="Z362" s="1696"/>
    </row>
    <row r="363">
      <c r="A363" s="1766"/>
      <c r="B363" s="1780"/>
      <c r="C363" s="1766"/>
      <c r="D363" s="1766"/>
      <c r="E363" s="1766"/>
      <c r="F363" s="1766"/>
      <c r="G363" s="1766"/>
      <c r="H363" s="1766"/>
      <c r="I363" s="1766"/>
      <c r="J363" s="1766"/>
      <c r="K363" s="1766"/>
      <c r="L363" s="1766"/>
      <c r="M363" s="1766"/>
      <c r="N363" s="1781"/>
      <c r="O363" s="1766"/>
      <c r="P363" s="1766"/>
      <c r="Q363" s="1766"/>
      <c r="R363" s="1766"/>
      <c r="S363" s="1696"/>
      <c r="U363" s="1772"/>
      <c r="V363" s="1696"/>
      <c r="W363" s="1772"/>
      <c r="X363" s="1696"/>
      <c r="Y363" s="1696"/>
      <c r="Z363" s="1696"/>
    </row>
    <row r="364">
      <c r="A364" s="1765"/>
      <c r="B364" s="1782"/>
      <c r="C364" s="1765"/>
      <c r="D364" s="1765"/>
      <c r="E364" s="1765"/>
      <c r="F364" s="1765"/>
      <c r="G364" s="1765"/>
      <c r="H364" s="1765"/>
      <c r="I364" s="1765"/>
      <c r="J364" s="1765"/>
      <c r="K364" s="1765"/>
      <c r="L364" s="1765"/>
      <c r="M364" s="1765"/>
      <c r="N364" s="1765"/>
      <c r="O364" s="1765"/>
      <c r="P364" s="1765"/>
      <c r="Q364" s="1766"/>
      <c r="R364" s="1766"/>
      <c r="S364" s="1696"/>
      <c r="T364" s="1696"/>
      <c r="U364" s="1772"/>
      <c r="V364" s="1696"/>
      <c r="W364" s="1772"/>
      <c r="X364" s="1696"/>
      <c r="Y364" s="1696"/>
      <c r="Z364" s="1696"/>
    </row>
    <row r="365">
      <c r="A365" s="1771"/>
      <c r="B365" s="1777"/>
      <c r="C365" s="1771"/>
      <c r="D365" s="1771"/>
      <c r="E365" s="1771"/>
      <c r="F365" s="1771"/>
      <c r="G365" s="1770"/>
      <c r="H365" s="1771"/>
      <c r="I365" s="1778"/>
      <c r="J365" s="1771"/>
      <c r="K365" s="1771"/>
      <c r="L365" s="1771"/>
      <c r="M365" s="1771"/>
      <c r="N365" s="1779"/>
      <c r="O365" s="1770"/>
      <c r="P365" s="1771"/>
      <c r="Q365" s="1766"/>
      <c r="R365" s="1766"/>
      <c r="S365" s="1696"/>
      <c r="U365" s="1772"/>
      <c r="V365" s="1696"/>
      <c r="W365" s="1772"/>
      <c r="X365" s="1696"/>
      <c r="Y365" s="1696"/>
      <c r="Z365" s="1696"/>
    </row>
    <row r="366">
      <c r="A366" s="1766"/>
      <c r="B366" s="1780"/>
      <c r="C366" s="1766"/>
      <c r="D366" s="1766"/>
      <c r="E366" s="1766"/>
      <c r="F366" s="1766"/>
      <c r="G366" s="1766"/>
      <c r="H366" s="1766"/>
      <c r="I366" s="1766"/>
      <c r="J366" s="1766"/>
      <c r="K366" s="1766"/>
      <c r="L366" s="1766"/>
      <c r="M366" s="1766"/>
      <c r="N366" s="1766"/>
      <c r="O366" s="1766"/>
      <c r="P366" s="1766"/>
      <c r="Q366" s="1766"/>
      <c r="R366" s="1766"/>
      <c r="S366" s="1696"/>
      <c r="U366" s="1772"/>
      <c r="V366" s="1696"/>
      <c r="W366" s="1772"/>
      <c r="X366" s="1696"/>
      <c r="Y366" s="1696"/>
      <c r="Z366" s="1696"/>
    </row>
    <row r="367">
      <c r="A367" s="1765"/>
      <c r="B367" s="1782"/>
      <c r="C367" s="1765"/>
      <c r="D367" s="1765"/>
      <c r="E367" s="1765"/>
      <c r="F367" s="1765"/>
      <c r="G367" s="1765"/>
      <c r="H367" s="1765"/>
      <c r="I367" s="1765"/>
      <c r="J367" s="1765"/>
      <c r="K367" s="1765"/>
      <c r="L367" s="1765"/>
      <c r="M367" s="1765"/>
      <c r="N367" s="1765"/>
      <c r="O367" s="1765"/>
      <c r="P367" s="1765"/>
      <c r="Q367" s="1766"/>
      <c r="R367" s="1766"/>
      <c r="S367" s="1696"/>
      <c r="T367" s="1696"/>
      <c r="U367" s="1772"/>
      <c r="V367" s="1696"/>
      <c r="W367" s="1772"/>
      <c r="X367" s="1696"/>
      <c r="Y367" s="1696"/>
      <c r="Z367" s="1773"/>
    </row>
    <row r="368">
      <c r="A368" s="1771"/>
      <c r="B368" s="1777"/>
      <c r="C368" s="1771"/>
      <c r="D368" s="1771"/>
      <c r="E368" s="1771"/>
      <c r="F368" s="1771"/>
      <c r="G368" s="1770"/>
      <c r="H368" s="1771"/>
      <c r="I368" s="1778"/>
      <c r="J368" s="1771"/>
      <c r="K368" s="1771"/>
      <c r="L368" s="1771"/>
      <c r="M368" s="1771"/>
      <c r="N368" s="1779"/>
      <c r="O368" s="1770"/>
      <c r="P368" s="1771"/>
      <c r="Q368" s="1766"/>
      <c r="R368" s="1766"/>
      <c r="S368" s="1696"/>
      <c r="T368" s="1696"/>
      <c r="U368" s="1772"/>
      <c r="V368" s="1696"/>
      <c r="W368" s="1772"/>
      <c r="X368" s="1696"/>
      <c r="Y368" s="1696"/>
      <c r="Z368" s="1773"/>
    </row>
    <row r="369">
      <c r="A369" s="1766"/>
      <c r="B369" s="1780"/>
      <c r="C369" s="1766"/>
      <c r="D369" s="1766"/>
      <c r="E369" s="1766"/>
      <c r="F369" s="1766"/>
      <c r="G369" s="1766"/>
      <c r="H369" s="1766"/>
      <c r="I369" s="1766"/>
      <c r="J369" s="1766"/>
      <c r="K369" s="1766"/>
      <c r="L369" s="1766"/>
      <c r="M369" s="1766"/>
      <c r="N369" s="1781"/>
      <c r="O369" s="1766"/>
      <c r="P369" s="1766"/>
      <c r="Q369" s="1766"/>
      <c r="R369" s="1766"/>
      <c r="S369" s="1696"/>
      <c r="T369" s="1696"/>
      <c r="U369" s="1772"/>
      <c r="V369" s="1696"/>
      <c r="W369" s="1772"/>
      <c r="X369" s="1696"/>
      <c r="Y369" s="1696"/>
      <c r="Z369" s="1773"/>
    </row>
    <row r="370">
      <c r="A370" s="1765"/>
      <c r="B370" s="1782"/>
      <c r="C370" s="1765"/>
      <c r="D370" s="1765"/>
      <c r="E370" s="1765"/>
      <c r="F370" s="1765"/>
      <c r="G370" s="1765"/>
      <c r="H370" s="1765"/>
      <c r="I370" s="1765"/>
      <c r="J370" s="1765"/>
      <c r="K370" s="1765"/>
      <c r="L370" s="1765"/>
      <c r="M370" s="1765"/>
      <c r="N370" s="1765"/>
      <c r="O370" s="1765"/>
      <c r="P370" s="1765"/>
      <c r="Q370" s="1766"/>
      <c r="R370" s="1766"/>
      <c r="S370" s="1696"/>
      <c r="T370" s="1696"/>
      <c r="U370" s="1772"/>
      <c r="V370" s="1696"/>
      <c r="W370" s="1772"/>
      <c r="X370" s="1696"/>
      <c r="Y370" s="1696"/>
      <c r="Z370" s="1773"/>
    </row>
    <row r="371">
      <c r="A371" s="1771"/>
      <c r="B371" s="1777"/>
      <c r="C371" s="1771"/>
      <c r="D371" s="1771"/>
      <c r="E371" s="1771"/>
      <c r="F371" s="1771"/>
      <c r="G371" s="1770"/>
      <c r="H371" s="1771"/>
      <c r="I371" s="1778"/>
      <c r="J371" s="1771"/>
      <c r="K371" s="1771"/>
      <c r="L371" s="1771"/>
      <c r="M371" s="1771"/>
      <c r="N371" s="1779"/>
      <c r="O371" s="1770"/>
      <c r="P371" s="1771"/>
      <c r="Q371" s="1766"/>
      <c r="R371" s="1766"/>
      <c r="S371" s="1696"/>
      <c r="T371" s="1696"/>
      <c r="U371" s="1772"/>
      <c r="V371" s="1696"/>
      <c r="W371" s="1772"/>
      <c r="X371" s="1696"/>
      <c r="Y371" s="1696"/>
      <c r="Z371" s="1773"/>
    </row>
    <row r="372">
      <c r="A372" s="1766"/>
      <c r="B372" s="1780"/>
      <c r="C372" s="1766"/>
      <c r="D372" s="1766"/>
      <c r="E372" s="1766"/>
      <c r="F372" s="1766"/>
      <c r="G372" s="1766"/>
      <c r="H372" s="1766"/>
      <c r="I372" s="1766"/>
      <c r="J372" s="1766"/>
      <c r="K372" s="1766"/>
      <c r="L372" s="1766"/>
      <c r="M372" s="1766"/>
      <c r="N372" s="1781"/>
      <c r="O372" s="1766"/>
      <c r="P372" s="1766"/>
      <c r="Q372" s="1766"/>
      <c r="R372" s="1766"/>
      <c r="S372" s="1696"/>
      <c r="T372" s="1696"/>
      <c r="U372" s="1772"/>
      <c r="V372" s="1696"/>
      <c r="W372" s="1772"/>
      <c r="X372" s="1696"/>
      <c r="Y372" s="1696"/>
      <c r="Z372" s="1773"/>
    </row>
    <row r="373">
      <c r="A373" s="1765"/>
      <c r="B373" s="1782"/>
      <c r="C373" s="1765"/>
      <c r="D373" s="1765"/>
      <c r="E373" s="1765"/>
      <c r="F373" s="1765"/>
      <c r="G373" s="1765"/>
      <c r="H373" s="1765"/>
      <c r="I373" s="1765"/>
      <c r="J373" s="1765"/>
      <c r="K373" s="1765"/>
      <c r="L373" s="1765"/>
      <c r="M373" s="1765"/>
      <c r="N373" s="1765"/>
      <c r="O373" s="1765"/>
      <c r="P373" s="1765"/>
      <c r="Q373" s="1766"/>
      <c r="R373" s="1766"/>
      <c r="S373" s="1696"/>
      <c r="T373" s="1696"/>
      <c r="U373" s="1772"/>
      <c r="V373" s="1696"/>
      <c r="W373" s="1772"/>
      <c r="X373" s="1696"/>
      <c r="Y373" s="1696"/>
      <c r="Z373" s="1773"/>
    </row>
    <row r="374">
      <c r="A374" s="1771"/>
      <c r="B374" s="1777"/>
      <c r="C374" s="1771"/>
      <c r="D374" s="1771"/>
      <c r="E374" s="1771"/>
      <c r="F374" s="1771"/>
      <c r="G374" s="1770"/>
      <c r="H374" s="1771"/>
      <c r="I374" s="1778"/>
      <c r="J374" s="1771"/>
      <c r="K374" s="1771"/>
      <c r="L374" s="1771"/>
      <c r="M374" s="1771"/>
      <c r="N374" s="1779"/>
      <c r="O374" s="1770"/>
      <c r="P374" s="1771"/>
      <c r="Q374" s="1766"/>
      <c r="R374" s="1766"/>
      <c r="S374" s="1696"/>
      <c r="T374" s="1696"/>
      <c r="U374" s="1772"/>
      <c r="V374" s="1696"/>
      <c r="W374" s="1772"/>
      <c r="X374" s="1696"/>
      <c r="Y374" s="1696"/>
      <c r="Z374" s="1773"/>
    </row>
    <row r="375">
      <c r="A375" s="1766"/>
      <c r="B375" s="1780"/>
      <c r="C375" s="1766"/>
      <c r="D375" s="1766"/>
      <c r="E375" s="1766"/>
      <c r="F375" s="1766"/>
      <c r="G375" s="1766"/>
      <c r="H375" s="1766"/>
      <c r="I375" s="1766"/>
      <c r="J375" s="1766"/>
      <c r="K375" s="1766"/>
      <c r="L375" s="1766"/>
      <c r="M375" s="1766"/>
      <c r="N375" s="1781"/>
      <c r="O375" s="1766"/>
      <c r="P375" s="1766"/>
      <c r="Q375" s="1766"/>
      <c r="R375" s="1766"/>
      <c r="S375" s="1696"/>
      <c r="T375" s="1696"/>
      <c r="U375" s="1772"/>
      <c r="V375" s="1696"/>
      <c r="W375" s="1772"/>
      <c r="X375" s="1696"/>
      <c r="Y375" s="1696"/>
      <c r="Z375" s="1773"/>
    </row>
    <row r="376">
      <c r="A376" s="1765"/>
      <c r="B376" s="1782"/>
      <c r="C376" s="1765"/>
      <c r="D376" s="1765"/>
      <c r="E376" s="1765"/>
      <c r="F376" s="1765"/>
      <c r="G376" s="1765"/>
      <c r="H376" s="1765"/>
      <c r="I376" s="1765"/>
      <c r="J376" s="1765"/>
      <c r="K376" s="1765"/>
      <c r="L376" s="1765"/>
      <c r="M376" s="1765"/>
      <c r="N376" s="1765"/>
      <c r="O376" s="1765"/>
      <c r="P376" s="1765"/>
      <c r="Q376" s="1766"/>
      <c r="R376" s="1766"/>
      <c r="S376" s="1696"/>
      <c r="T376" s="1696"/>
      <c r="U376" s="1772"/>
      <c r="V376" s="1696"/>
      <c r="W376" s="1772"/>
      <c r="X376" s="1696"/>
      <c r="Y376" s="1696"/>
      <c r="Z376" s="1773"/>
    </row>
    <row r="377">
      <c r="A377" s="1771"/>
      <c r="B377" s="1777"/>
      <c r="C377" s="1771"/>
      <c r="D377" s="1771"/>
      <c r="E377" s="1771"/>
      <c r="F377" s="1771"/>
      <c r="G377" s="1770"/>
      <c r="H377" s="1771"/>
      <c r="I377" s="1778"/>
      <c r="J377" s="1771"/>
      <c r="K377" s="1771"/>
      <c r="L377" s="1771"/>
      <c r="M377" s="1771"/>
      <c r="N377" s="1779"/>
      <c r="O377" s="1770"/>
      <c r="P377" s="1771"/>
      <c r="Q377" s="1766"/>
      <c r="R377" s="1766"/>
      <c r="S377" s="1696"/>
      <c r="T377" s="1696"/>
      <c r="U377" s="1772"/>
      <c r="V377" s="1696"/>
      <c r="W377" s="1772"/>
      <c r="X377" s="1696"/>
      <c r="Y377" s="1696"/>
      <c r="Z377" s="1773"/>
    </row>
    <row r="378">
      <c r="A378" s="1766"/>
      <c r="B378" s="1780"/>
      <c r="C378" s="1766"/>
      <c r="D378" s="1766"/>
      <c r="E378" s="1766"/>
      <c r="F378" s="1766"/>
      <c r="G378" s="1766"/>
      <c r="H378" s="1766"/>
      <c r="I378" s="1766"/>
      <c r="J378" s="1766"/>
      <c r="K378" s="1766"/>
      <c r="L378" s="1766"/>
      <c r="M378" s="1766"/>
      <c r="N378" s="1781"/>
      <c r="O378" s="1766"/>
      <c r="P378" s="1766"/>
      <c r="Q378" s="1766"/>
      <c r="R378" s="1766"/>
      <c r="S378" s="1696"/>
      <c r="T378" s="1696"/>
      <c r="U378" s="1772"/>
      <c r="V378" s="1696"/>
      <c r="W378" s="1772"/>
      <c r="X378" s="1696"/>
      <c r="Y378" s="1696"/>
      <c r="Z378" s="1773"/>
    </row>
    <row r="379">
      <c r="A379" s="1765"/>
      <c r="B379" s="1782"/>
      <c r="C379" s="1765"/>
      <c r="D379" s="1765"/>
      <c r="E379" s="1765"/>
      <c r="F379" s="1765"/>
      <c r="G379" s="1765"/>
      <c r="H379" s="1765"/>
      <c r="I379" s="1765"/>
      <c r="J379" s="1765"/>
      <c r="K379" s="1765"/>
      <c r="L379" s="1765"/>
      <c r="M379" s="1765"/>
      <c r="N379" s="1765"/>
      <c r="O379" s="1765"/>
      <c r="P379" s="1765"/>
      <c r="Q379" s="1766"/>
      <c r="R379" s="1766"/>
      <c r="S379" s="1696"/>
      <c r="T379" s="1696"/>
      <c r="U379" s="1772"/>
      <c r="V379" s="1696"/>
      <c r="W379" s="1772"/>
      <c r="X379" s="1696"/>
      <c r="Y379" s="1696"/>
      <c r="Z379" s="1773"/>
    </row>
    <row r="380">
      <c r="A380" s="1771"/>
      <c r="B380" s="1777"/>
      <c r="C380" s="1771"/>
      <c r="D380" s="1771"/>
      <c r="E380" s="1771"/>
      <c r="F380" s="1771"/>
      <c r="G380" s="1770"/>
      <c r="H380" s="1771"/>
      <c r="I380" s="1778"/>
      <c r="J380" s="1771"/>
      <c r="K380" s="1771"/>
      <c r="L380" s="1771"/>
      <c r="M380" s="1771"/>
      <c r="N380" s="1779"/>
      <c r="O380" s="1770"/>
      <c r="P380" s="1771"/>
      <c r="Q380" s="1766"/>
      <c r="R380" s="1766"/>
      <c r="S380" s="1696"/>
      <c r="T380" s="1696"/>
      <c r="U380" s="1772"/>
      <c r="V380" s="1696"/>
      <c r="W380" s="1772"/>
      <c r="X380" s="1696"/>
      <c r="Y380" s="1696"/>
      <c r="Z380" s="1773"/>
    </row>
    <row r="381">
      <c r="A381" s="1766"/>
      <c r="B381" s="1780"/>
      <c r="C381" s="1766"/>
      <c r="D381" s="1766"/>
      <c r="E381" s="1766"/>
      <c r="F381" s="1766"/>
      <c r="G381" s="1766"/>
      <c r="H381" s="1766"/>
      <c r="I381" s="1766"/>
      <c r="J381" s="1766"/>
      <c r="K381" s="1766"/>
      <c r="L381" s="1766"/>
      <c r="M381" s="1766"/>
      <c r="N381" s="1781"/>
      <c r="O381" s="1766"/>
      <c r="P381" s="1766"/>
      <c r="Q381" s="1766"/>
      <c r="R381" s="1766"/>
      <c r="S381" s="1696"/>
      <c r="T381" s="1696"/>
      <c r="U381" s="1772"/>
      <c r="V381" s="1696"/>
      <c r="W381" s="1772"/>
      <c r="X381" s="1696"/>
      <c r="Y381" s="1696"/>
      <c r="Z381" s="1773"/>
    </row>
    <row r="382">
      <c r="A382" s="1765"/>
      <c r="B382" s="1782"/>
      <c r="C382" s="1765"/>
      <c r="D382" s="1765"/>
      <c r="E382" s="1765"/>
      <c r="F382" s="1765"/>
      <c r="G382" s="1765"/>
      <c r="H382" s="1765"/>
      <c r="I382" s="1765"/>
      <c r="J382" s="1765"/>
      <c r="K382" s="1765"/>
      <c r="L382" s="1765"/>
      <c r="M382" s="1765"/>
      <c r="N382" s="1765"/>
      <c r="O382" s="1765"/>
      <c r="P382" s="1765"/>
      <c r="Q382" s="1766"/>
      <c r="R382" s="1766"/>
      <c r="S382" s="1696"/>
      <c r="T382" s="1696"/>
      <c r="U382" s="1772"/>
      <c r="V382" s="1696"/>
      <c r="W382" s="1772"/>
      <c r="X382" s="1696"/>
      <c r="Y382" s="1696"/>
      <c r="Z382" s="1773"/>
    </row>
    <row r="383">
      <c r="A383" s="1771"/>
      <c r="B383" s="1777"/>
      <c r="C383" s="1771"/>
      <c r="D383" s="1771"/>
      <c r="E383" s="1771"/>
      <c r="F383" s="1771"/>
      <c r="G383" s="1770"/>
      <c r="H383" s="1771"/>
      <c r="I383" s="1778"/>
      <c r="J383" s="1771"/>
      <c r="K383" s="1771"/>
      <c r="L383" s="1771"/>
      <c r="M383" s="1771"/>
      <c r="N383" s="1779"/>
      <c r="O383" s="1770"/>
      <c r="P383" s="1771"/>
      <c r="Q383" s="1766"/>
      <c r="R383" s="1766"/>
      <c r="S383" s="1696"/>
      <c r="T383" s="1696"/>
      <c r="U383" s="1772"/>
      <c r="V383" s="1696"/>
      <c r="W383" s="1772"/>
      <c r="X383" s="1696"/>
      <c r="Y383" s="1696"/>
      <c r="Z383" s="1773"/>
    </row>
    <row r="384">
      <c r="A384" s="1766"/>
      <c r="B384" s="1780"/>
      <c r="C384" s="1766"/>
      <c r="D384" s="1766"/>
      <c r="E384" s="1766"/>
      <c r="F384" s="1766"/>
      <c r="G384" s="1766"/>
      <c r="H384" s="1766"/>
      <c r="I384" s="1766"/>
      <c r="J384" s="1766"/>
      <c r="K384" s="1766"/>
      <c r="L384" s="1766"/>
      <c r="M384" s="1766"/>
      <c r="N384" s="1781"/>
      <c r="O384" s="1766"/>
      <c r="P384" s="1766"/>
      <c r="Q384" s="1766"/>
      <c r="R384" s="1766"/>
      <c r="S384" s="1696"/>
      <c r="T384" s="1696"/>
      <c r="U384" s="1772"/>
      <c r="V384" s="1696"/>
      <c r="W384" s="1772"/>
      <c r="X384" s="1696"/>
      <c r="Y384" s="1696"/>
      <c r="Z384" s="1773"/>
    </row>
    <row r="385">
      <c r="A385" s="1765"/>
      <c r="B385" s="1782"/>
      <c r="C385" s="1765"/>
      <c r="D385" s="1765"/>
      <c r="E385" s="1765"/>
      <c r="F385" s="1765"/>
      <c r="G385" s="1765"/>
      <c r="H385" s="1765"/>
      <c r="I385" s="1765"/>
      <c r="J385" s="1765"/>
      <c r="K385" s="1765"/>
      <c r="L385" s="1765"/>
      <c r="M385" s="1765"/>
      <c r="N385" s="1765"/>
      <c r="O385" s="1765"/>
      <c r="P385" s="1765"/>
      <c r="Q385" s="1766"/>
      <c r="R385" s="1766"/>
      <c r="S385" s="1696"/>
      <c r="T385" s="1696"/>
      <c r="U385" s="1772"/>
      <c r="V385" s="1696"/>
      <c r="W385" s="1772"/>
      <c r="X385" s="1696"/>
      <c r="Y385" s="1696"/>
      <c r="Z385" s="1773"/>
    </row>
    <row r="386">
      <c r="A386" s="1771"/>
      <c r="B386" s="1777"/>
      <c r="C386" s="1771"/>
      <c r="D386" s="1771"/>
      <c r="E386" s="1771"/>
      <c r="F386" s="1771"/>
      <c r="G386" s="1770"/>
      <c r="H386" s="1771"/>
      <c r="I386" s="1778"/>
      <c r="J386" s="1771"/>
      <c r="K386" s="1771"/>
      <c r="L386" s="1771"/>
      <c r="M386" s="1771"/>
      <c r="N386" s="1779"/>
      <c r="O386" s="1770"/>
      <c r="P386" s="1771"/>
      <c r="Q386" s="1766"/>
      <c r="R386" s="1766"/>
      <c r="S386" s="1696"/>
      <c r="T386" s="1696"/>
      <c r="U386" s="1772"/>
      <c r="V386" s="1696"/>
      <c r="W386" s="1772"/>
      <c r="X386" s="1696"/>
      <c r="Y386" s="1696"/>
      <c r="Z386" s="1773"/>
    </row>
    <row r="387">
      <c r="A387" s="1766"/>
      <c r="B387" s="1780"/>
      <c r="C387" s="1766"/>
      <c r="D387" s="1766"/>
      <c r="E387" s="1766"/>
      <c r="F387" s="1766"/>
      <c r="G387" s="1766"/>
      <c r="H387" s="1766"/>
      <c r="I387" s="1766"/>
      <c r="J387" s="1766"/>
      <c r="K387" s="1766"/>
      <c r="L387" s="1766"/>
      <c r="M387" s="1766"/>
      <c r="N387" s="1781"/>
      <c r="O387" s="1766"/>
      <c r="P387" s="1766"/>
      <c r="Q387" s="1766"/>
      <c r="R387" s="1766"/>
      <c r="S387" s="1696"/>
      <c r="T387" s="1696"/>
      <c r="U387" s="1772"/>
      <c r="V387" s="1696"/>
      <c r="W387" s="1772"/>
      <c r="X387" s="1696"/>
      <c r="Y387" s="1696"/>
      <c r="Z387" s="1773"/>
    </row>
    <row r="388">
      <c r="A388" s="1765"/>
      <c r="B388" s="1782"/>
      <c r="C388" s="1765"/>
      <c r="D388" s="1765"/>
      <c r="E388" s="1765"/>
      <c r="F388" s="1765"/>
      <c r="G388" s="1765"/>
      <c r="H388" s="1765"/>
      <c r="I388" s="1765"/>
      <c r="J388" s="1765"/>
      <c r="K388" s="1765"/>
      <c r="L388" s="1765"/>
      <c r="M388" s="1765"/>
      <c r="N388" s="1765"/>
      <c r="O388" s="1765"/>
      <c r="P388" s="1765"/>
      <c r="Q388" s="1766"/>
      <c r="R388" s="1766"/>
      <c r="S388" s="1696"/>
      <c r="T388" s="1696"/>
      <c r="U388" s="1772"/>
      <c r="V388" s="1696"/>
      <c r="W388" s="1772"/>
      <c r="X388" s="1696"/>
      <c r="Y388" s="1696"/>
      <c r="Z388" s="1773"/>
    </row>
    <row r="389">
      <c r="A389" s="1771"/>
      <c r="B389" s="1777"/>
      <c r="C389" s="1771"/>
      <c r="D389" s="1771"/>
      <c r="E389" s="1771"/>
      <c r="F389" s="1771"/>
      <c r="G389" s="1770"/>
      <c r="H389" s="1771"/>
      <c r="I389" s="1778"/>
      <c r="J389" s="1771"/>
      <c r="K389" s="1771"/>
      <c r="L389" s="1771"/>
      <c r="M389" s="1771"/>
      <c r="N389" s="1779"/>
      <c r="O389" s="1770"/>
      <c r="P389" s="1771"/>
      <c r="Q389" s="1766"/>
      <c r="R389" s="1766"/>
      <c r="S389" s="1696"/>
      <c r="T389" s="1696"/>
      <c r="U389" s="1772"/>
      <c r="V389" s="1696"/>
      <c r="W389" s="1772"/>
      <c r="X389" s="1696"/>
      <c r="Y389" s="1696"/>
      <c r="Z389" s="1773"/>
    </row>
    <row r="390">
      <c r="A390" s="1766"/>
      <c r="B390" s="1780"/>
      <c r="C390" s="1766"/>
      <c r="D390" s="1766"/>
      <c r="E390" s="1766"/>
      <c r="F390" s="1766"/>
      <c r="G390" s="1766"/>
      <c r="H390" s="1766"/>
      <c r="I390" s="1766"/>
      <c r="J390" s="1766"/>
      <c r="K390" s="1766"/>
      <c r="L390" s="1766"/>
      <c r="M390" s="1766"/>
      <c r="N390" s="1781"/>
      <c r="O390" s="1766"/>
      <c r="P390" s="1766"/>
      <c r="Q390" s="1766"/>
      <c r="R390" s="1766"/>
      <c r="S390" s="1696"/>
      <c r="T390" s="1696"/>
      <c r="U390" s="1772"/>
      <c r="V390" s="1696"/>
      <c r="W390" s="1772"/>
      <c r="X390" s="1696"/>
      <c r="Y390" s="1696"/>
      <c r="Z390" s="1773"/>
    </row>
    <row r="391">
      <c r="A391" s="1765"/>
      <c r="B391" s="1782"/>
      <c r="C391" s="1765"/>
      <c r="D391" s="1765"/>
      <c r="E391" s="1765"/>
      <c r="F391" s="1765"/>
      <c r="G391" s="1765"/>
      <c r="H391" s="1765"/>
      <c r="I391" s="1765"/>
      <c r="J391" s="1765"/>
      <c r="K391" s="1765"/>
      <c r="L391" s="1765"/>
      <c r="M391" s="1765"/>
      <c r="N391" s="1765"/>
      <c r="O391" s="1765"/>
      <c r="P391" s="1765"/>
      <c r="Q391" s="1766"/>
      <c r="R391" s="1766"/>
      <c r="S391" s="1696"/>
      <c r="T391" s="1696"/>
      <c r="U391" s="1772"/>
      <c r="V391" s="1696"/>
      <c r="W391" s="1772"/>
      <c r="X391" s="1696"/>
      <c r="Y391" s="1696"/>
      <c r="Z391" s="1773"/>
    </row>
    <row r="392">
      <c r="A392" s="1771"/>
      <c r="B392" s="1777"/>
      <c r="C392" s="1771"/>
      <c r="D392" s="1771"/>
      <c r="E392" s="1771"/>
      <c r="F392" s="1771"/>
      <c r="G392" s="1771"/>
      <c r="H392" s="1771"/>
      <c r="I392" s="1778"/>
      <c r="J392" s="1771"/>
      <c r="K392" s="1771"/>
      <c r="L392" s="1771"/>
      <c r="M392" s="1771"/>
      <c r="N392" s="1779"/>
      <c r="O392" s="1770"/>
      <c r="P392" s="1771"/>
      <c r="Q392" s="1766"/>
      <c r="R392" s="1766"/>
      <c r="S392" s="1696"/>
      <c r="T392" s="1696"/>
      <c r="U392" s="1772"/>
      <c r="V392" s="1696"/>
      <c r="W392" s="1772"/>
      <c r="X392" s="1696"/>
      <c r="Y392" s="1696"/>
      <c r="Z392" s="1773"/>
    </row>
    <row r="393">
      <c r="A393" s="1766"/>
      <c r="B393" s="1780"/>
      <c r="C393" s="1766"/>
      <c r="D393" s="1766"/>
      <c r="E393" s="1766"/>
      <c r="F393" s="1766"/>
      <c r="G393" s="1766"/>
      <c r="H393" s="1766"/>
      <c r="I393" s="1766"/>
      <c r="J393" s="1766"/>
      <c r="K393" s="1766"/>
      <c r="L393" s="1766"/>
      <c r="M393" s="1766"/>
      <c r="N393" s="1781"/>
      <c r="O393" s="1766"/>
      <c r="P393" s="1766"/>
      <c r="Q393" s="1766"/>
      <c r="R393" s="1766"/>
      <c r="S393" s="1696"/>
      <c r="T393" s="1696"/>
      <c r="U393" s="1772"/>
      <c r="V393" s="1696"/>
      <c r="W393" s="1772"/>
      <c r="X393" s="1696"/>
      <c r="Y393" s="1696"/>
      <c r="Z393" s="1773"/>
    </row>
    <row r="394">
      <c r="A394" s="1765"/>
      <c r="B394" s="1782"/>
      <c r="C394" s="1765"/>
      <c r="D394" s="1765"/>
      <c r="E394" s="1765"/>
      <c r="F394" s="1765"/>
      <c r="G394" s="1765"/>
      <c r="H394" s="1765"/>
      <c r="I394" s="1765"/>
      <c r="J394" s="1765"/>
      <c r="K394" s="1765"/>
      <c r="L394" s="1765"/>
      <c r="M394" s="1765"/>
      <c r="N394" s="1765"/>
      <c r="O394" s="1765"/>
      <c r="P394" s="1765"/>
      <c r="Q394" s="1766"/>
      <c r="R394" s="1766"/>
      <c r="S394" s="1696"/>
      <c r="T394" s="1696"/>
      <c r="U394" s="1772"/>
      <c r="V394" s="1696"/>
      <c r="W394" s="1772"/>
      <c r="X394" s="1696"/>
      <c r="Y394" s="1696"/>
      <c r="Z394" s="1773"/>
    </row>
    <row r="395">
      <c r="A395" s="1771"/>
      <c r="B395" s="1777"/>
      <c r="C395" s="1771"/>
      <c r="D395" s="1771"/>
      <c r="E395" s="1771"/>
      <c r="F395" s="1771"/>
      <c r="G395" s="1770"/>
      <c r="H395" s="1771"/>
      <c r="I395" s="1778"/>
      <c r="J395" s="1771"/>
      <c r="K395" s="1771"/>
      <c r="L395" s="1771"/>
      <c r="M395" s="1771"/>
      <c r="N395" s="1779"/>
      <c r="O395" s="1770"/>
      <c r="P395" s="1771"/>
      <c r="Q395" s="1766"/>
      <c r="R395" s="1766"/>
      <c r="S395" s="1696"/>
      <c r="T395" s="1696"/>
      <c r="U395" s="1772"/>
      <c r="V395" s="1696"/>
      <c r="W395" s="1772"/>
      <c r="X395" s="1696"/>
      <c r="Y395" s="1696"/>
      <c r="Z395" s="1773"/>
    </row>
    <row r="396">
      <c r="A396" s="1766"/>
      <c r="B396" s="1780"/>
      <c r="C396" s="1766"/>
      <c r="D396" s="1766"/>
      <c r="E396" s="1766"/>
      <c r="F396" s="1766"/>
      <c r="G396" s="1766"/>
      <c r="H396" s="1766"/>
      <c r="I396" s="1766"/>
      <c r="J396" s="1766"/>
      <c r="K396" s="1766"/>
      <c r="L396" s="1766"/>
      <c r="M396" s="1766"/>
      <c r="N396" s="1781"/>
      <c r="O396" s="1766"/>
      <c r="P396" s="1766"/>
      <c r="Q396" s="1766"/>
      <c r="R396" s="1766"/>
      <c r="S396" s="1696"/>
      <c r="T396" s="1696"/>
      <c r="U396" s="1772"/>
      <c r="V396" s="1696"/>
      <c r="W396" s="1772"/>
      <c r="X396" s="1696"/>
      <c r="Y396" s="1696"/>
      <c r="Z396" s="1773"/>
    </row>
    <row r="397">
      <c r="A397" s="1765"/>
      <c r="B397" s="1782"/>
      <c r="C397" s="1765"/>
      <c r="D397" s="1765"/>
      <c r="E397" s="1765"/>
      <c r="F397" s="1765"/>
      <c r="G397" s="1765"/>
      <c r="H397" s="1765"/>
      <c r="I397" s="1765"/>
      <c r="J397" s="1765"/>
      <c r="K397" s="1765"/>
      <c r="L397" s="1765"/>
      <c r="M397" s="1765"/>
      <c r="N397" s="1765"/>
      <c r="O397" s="1765"/>
      <c r="P397" s="1765"/>
      <c r="Q397" s="1766"/>
      <c r="R397" s="1766"/>
      <c r="S397" s="1696"/>
      <c r="T397" s="1696"/>
      <c r="U397" s="1772"/>
      <c r="V397" s="1696"/>
      <c r="W397" s="1772"/>
      <c r="X397" s="1696"/>
      <c r="Y397" s="1696"/>
      <c r="Z397" s="1773"/>
    </row>
    <row r="398">
      <c r="A398" s="1771"/>
      <c r="B398" s="1777"/>
      <c r="C398" s="1771"/>
      <c r="D398" s="1771"/>
      <c r="E398" s="1771"/>
      <c r="F398" s="1771"/>
      <c r="G398" s="1770"/>
      <c r="H398" s="1771"/>
      <c r="I398" s="1778"/>
      <c r="J398" s="1771"/>
      <c r="K398" s="1771"/>
      <c r="L398" s="1771"/>
      <c r="M398" s="1771"/>
      <c r="N398" s="1779"/>
      <c r="O398" s="1770"/>
      <c r="P398" s="1771"/>
      <c r="Q398" s="1766"/>
      <c r="R398" s="1766"/>
      <c r="S398" s="1696"/>
      <c r="T398" s="1696"/>
      <c r="U398" s="1772"/>
      <c r="V398" s="1696"/>
      <c r="W398" s="1772"/>
      <c r="X398" s="1696"/>
      <c r="Y398" s="1696"/>
      <c r="Z398" s="1773"/>
    </row>
    <row r="399">
      <c r="A399" s="1766"/>
      <c r="B399" s="1780"/>
      <c r="C399" s="1766"/>
      <c r="D399" s="1766"/>
      <c r="E399" s="1766"/>
      <c r="F399" s="1766"/>
      <c r="G399" s="1766"/>
      <c r="H399" s="1766"/>
      <c r="I399" s="1766"/>
      <c r="J399" s="1766"/>
      <c r="K399" s="1766"/>
      <c r="L399" s="1766"/>
      <c r="M399" s="1766"/>
      <c r="N399" s="1781"/>
      <c r="O399" s="1766"/>
      <c r="P399" s="1766"/>
      <c r="Q399" s="1766"/>
      <c r="R399" s="1766"/>
      <c r="S399" s="1696"/>
      <c r="T399" s="1696"/>
      <c r="U399" s="1772"/>
      <c r="V399" s="1696"/>
      <c r="W399" s="1772"/>
      <c r="X399" s="1696"/>
      <c r="Y399" s="1696"/>
      <c r="Z399" s="1773"/>
    </row>
    <row r="400">
      <c r="A400" s="1765"/>
      <c r="B400" s="1782"/>
      <c r="C400" s="1765"/>
      <c r="D400" s="1765"/>
      <c r="E400" s="1765"/>
      <c r="F400" s="1765"/>
      <c r="G400" s="1765"/>
      <c r="H400" s="1765"/>
      <c r="I400" s="1765"/>
      <c r="J400" s="1765"/>
      <c r="K400" s="1765"/>
      <c r="L400" s="1765"/>
      <c r="M400" s="1765"/>
      <c r="N400" s="1765"/>
      <c r="O400" s="1765"/>
      <c r="P400" s="1765"/>
      <c r="Q400" s="1766"/>
      <c r="R400" s="1766"/>
      <c r="S400" s="1696"/>
      <c r="T400" s="1696"/>
      <c r="U400" s="1772"/>
      <c r="V400" s="1696"/>
      <c r="W400" s="1772"/>
      <c r="X400" s="1696"/>
      <c r="Y400" s="1696"/>
      <c r="Z400" s="1773"/>
    </row>
    <row r="401">
      <c r="A401" s="1771"/>
      <c r="B401" s="1777"/>
      <c r="C401" s="1771"/>
      <c r="D401" s="1771"/>
      <c r="E401" s="1771"/>
      <c r="F401" s="1771"/>
      <c r="G401" s="1770"/>
      <c r="H401" s="1771"/>
      <c r="I401" s="1778"/>
      <c r="J401" s="1771"/>
      <c r="K401" s="1771"/>
      <c r="L401" s="1771"/>
      <c r="M401" s="1771"/>
      <c r="N401" s="1779"/>
      <c r="O401" s="1770"/>
      <c r="P401" s="1771"/>
      <c r="Q401" s="1766"/>
      <c r="R401" s="1766"/>
      <c r="S401" s="1696"/>
      <c r="T401" s="1696"/>
      <c r="U401" s="1772"/>
      <c r="V401" s="1696"/>
      <c r="W401" s="1772"/>
      <c r="X401" s="1696"/>
      <c r="Y401" s="1696"/>
      <c r="Z401" s="1696"/>
    </row>
    <row r="402">
      <c r="A402" s="1766"/>
      <c r="B402" s="1780"/>
      <c r="C402" s="1766"/>
      <c r="D402" s="1766"/>
      <c r="E402" s="1766"/>
      <c r="F402" s="1766"/>
      <c r="G402" s="1766"/>
      <c r="H402" s="1766"/>
      <c r="I402" s="1766"/>
      <c r="J402" s="1766"/>
      <c r="K402" s="1766"/>
      <c r="L402" s="1766"/>
      <c r="M402" s="1766"/>
      <c r="N402" s="1781"/>
      <c r="O402" s="1766"/>
      <c r="P402" s="1766"/>
      <c r="Q402" s="1766"/>
      <c r="R402" s="1766"/>
      <c r="S402" s="1696"/>
      <c r="T402" s="1696"/>
      <c r="U402" s="1772"/>
      <c r="V402" s="1696"/>
      <c r="W402" s="1772"/>
      <c r="X402" s="1696"/>
      <c r="Y402" s="1696"/>
      <c r="Z402" s="1773"/>
    </row>
    <row r="403">
      <c r="A403" s="1765"/>
      <c r="B403" s="1782"/>
      <c r="C403" s="1765"/>
      <c r="D403" s="1765"/>
      <c r="E403" s="1765"/>
      <c r="F403" s="1765"/>
      <c r="G403" s="1765"/>
      <c r="H403" s="1765"/>
      <c r="I403" s="1765"/>
      <c r="J403" s="1765"/>
      <c r="K403" s="1765"/>
      <c r="L403" s="1765"/>
      <c r="M403" s="1765"/>
      <c r="N403" s="1765"/>
      <c r="O403" s="1765"/>
      <c r="P403" s="1765"/>
      <c r="Q403" s="1766"/>
      <c r="R403" s="1766"/>
      <c r="S403" s="1696"/>
      <c r="T403" s="1696"/>
      <c r="U403" s="1772"/>
      <c r="V403" s="1696"/>
      <c r="W403" s="1772"/>
      <c r="X403" s="1696"/>
      <c r="Y403" s="1696"/>
      <c r="Z403" s="1773"/>
    </row>
    <row r="404">
      <c r="A404" s="1771"/>
      <c r="B404" s="1777"/>
      <c r="C404" s="1771"/>
      <c r="D404" s="1771"/>
      <c r="E404" s="1771"/>
      <c r="F404" s="1771"/>
      <c r="G404" s="1770"/>
      <c r="H404" s="1771"/>
      <c r="I404" s="1778"/>
      <c r="J404" s="1771"/>
      <c r="K404" s="1771"/>
      <c r="L404" s="1771"/>
      <c r="M404" s="1771"/>
      <c r="N404" s="1779"/>
      <c r="O404" s="1770"/>
      <c r="P404" s="1771"/>
      <c r="Q404" s="1766"/>
      <c r="R404" s="1766"/>
      <c r="S404" s="1696"/>
      <c r="T404" s="1696"/>
      <c r="U404" s="1772"/>
      <c r="V404" s="1696"/>
      <c r="W404" s="1772"/>
      <c r="X404" s="1696"/>
      <c r="Y404" s="1696"/>
      <c r="Z404" s="1773"/>
    </row>
    <row r="405">
      <c r="A405" s="1766"/>
      <c r="B405" s="1780"/>
      <c r="C405" s="1766"/>
      <c r="D405" s="1766"/>
      <c r="E405" s="1766"/>
      <c r="F405" s="1766"/>
      <c r="G405" s="1766"/>
      <c r="H405" s="1766"/>
      <c r="I405" s="1766"/>
      <c r="J405" s="1766"/>
      <c r="K405" s="1766"/>
      <c r="L405" s="1766"/>
      <c r="M405" s="1766"/>
      <c r="N405" s="1781"/>
      <c r="O405" s="1766"/>
      <c r="P405" s="1766"/>
      <c r="Q405" s="1766"/>
      <c r="R405" s="1766"/>
      <c r="S405" s="1696"/>
      <c r="T405" s="1696"/>
      <c r="U405" s="1772"/>
      <c r="V405" s="1696"/>
      <c r="W405" s="1772"/>
      <c r="X405" s="1696"/>
      <c r="Y405" s="1696"/>
      <c r="Z405" s="1773"/>
    </row>
    <row r="406">
      <c r="A406" s="1765"/>
      <c r="B406" s="1782"/>
      <c r="C406" s="1765"/>
      <c r="D406" s="1765"/>
      <c r="E406" s="1765"/>
      <c r="F406" s="1765"/>
      <c r="G406" s="1765"/>
      <c r="H406" s="1765"/>
      <c r="I406" s="1765"/>
      <c r="J406" s="1765"/>
      <c r="K406" s="1765"/>
      <c r="L406" s="1765"/>
      <c r="M406" s="1765"/>
      <c r="N406" s="1765"/>
      <c r="O406" s="1765"/>
      <c r="P406" s="1765"/>
      <c r="Q406" s="1766"/>
      <c r="R406" s="1766"/>
      <c r="S406" s="1696"/>
      <c r="T406" s="1696"/>
      <c r="U406" s="1772"/>
      <c r="V406" s="1696"/>
      <c r="W406" s="1772"/>
      <c r="X406" s="1696"/>
      <c r="Y406" s="1696"/>
      <c r="Z406" s="1773"/>
    </row>
    <row r="407">
      <c r="A407" s="1771"/>
      <c r="B407" s="1777"/>
      <c r="C407" s="1771"/>
      <c r="D407" s="1771"/>
      <c r="E407" s="1771"/>
      <c r="F407" s="1771"/>
      <c r="G407" s="1770"/>
      <c r="H407" s="1771"/>
      <c r="I407" s="1778"/>
      <c r="J407" s="1771"/>
      <c r="K407" s="1771"/>
      <c r="L407" s="1771"/>
      <c r="M407" s="1771"/>
      <c r="N407" s="1779"/>
      <c r="O407" s="1770"/>
      <c r="P407" s="1771"/>
      <c r="Q407" s="1766"/>
      <c r="R407" s="1766"/>
      <c r="S407" s="1696"/>
      <c r="T407" s="1696"/>
      <c r="U407" s="1772"/>
      <c r="V407" s="1696"/>
      <c r="W407" s="1772"/>
      <c r="X407" s="1696"/>
      <c r="Y407" s="1696"/>
      <c r="Z407" s="1773"/>
    </row>
    <row r="408">
      <c r="A408" s="1766"/>
      <c r="B408" s="1780"/>
      <c r="C408" s="1766"/>
      <c r="D408" s="1766"/>
      <c r="E408" s="1766"/>
      <c r="F408" s="1766"/>
      <c r="G408" s="1766"/>
      <c r="H408" s="1766"/>
      <c r="I408" s="1766"/>
      <c r="J408" s="1766"/>
      <c r="K408" s="1766"/>
      <c r="L408" s="1766"/>
      <c r="M408" s="1766"/>
      <c r="N408" s="1781"/>
      <c r="O408" s="1766"/>
      <c r="P408" s="1766"/>
      <c r="Q408" s="1766"/>
      <c r="R408" s="1766"/>
      <c r="S408" s="1696"/>
      <c r="T408" s="1696"/>
      <c r="U408" s="1772"/>
      <c r="V408" s="1696"/>
      <c r="W408" s="1772"/>
      <c r="X408" s="1696"/>
      <c r="Y408" s="1696"/>
      <c r="Z408" s="1773"/>
    </row>
    <row r="409">
      <c r="A409" s="1765"/>
      <c r="B409" s="1782"/>
      <c r="C409" s="1765"/>
      <c r="D409" s="1765"/>
      <c r="E409" s="1765"/>
      <c r="F409" s="1765"/>
      <c r="G409" s="1765"/>
      <c r="H409" s="1765"/>
      <c r="I409" s="1765"/>
      <c r="J409" s="1765"/>
      <c r="K409" s="1765"/>
      <c r="L409" s="1765"/>
      <c r="M409" s="1765"/>
      <c r="N409" s="1765"/>
      <c r="O409" s="1765"/>
      <c r="P409" s="1765"/>
      <c r="Q409" s="1773"/>
      <c r="R409" s="1773"/>
      <c r="S409" s="1773"/>
      <c r="T409" s="1773"/>
      <c r="U409" s="1773"/>
      <c r="V409" s="1773"/>
      <c r="W409" s="1773"/>
      <c r="X409" s="1773"/>
      <c r="Y409" s="1773"/>
      <c r="Z409" s="1773"/>
    </row>
    <row r="410">
      <c r="A410" s="1771"/>
      <c r="B410" s="1777"/>
      <c r="C410" s="1771"/>
      <c r="D410" s="1771"/>
      <c r="E410" s="1771"/>
      <c r="F410" s="1771"/>
      <c r="G410" s="1770"/>
      <c r="H410" s="1771"/>
      <c r="I410" s="1770"/>
      <c r="J410" s="1771"/>
      <c r="K410" s="1771"/>
      <c r="L410" s="1771"/>
      <c r="M410" s="1771"/>
      <c r="N410" s="1779"/>
      <c r="O410" s="1770"/>
      <c r="P410" s="1771"/>
      <c r="Q410" s="1766"/>
      <c r="R410" s="1766"/>
      <c r="S410" s="1696"/>
      <c r="U410" s="1772"/>
      <c r="V410" s="1696"/>
      <c r="W410" s="1772"/>
      <c r="X410" s="1696"/>
      <c r="Y410" s="1696"/>
      <c r="Z410" s="1773"/>
    </row>
    <row r="411">
      <c r="A411" s="1766"/>
      <c r="B411" s="1780"/>
      <c r="C411" s="1766"/>
      <c r="D411" s="1766"/>
      <c r="E411" s="1766"/>
      <c r="F411" s="1766"/>
      <c r="G411" s="1766"/>
      <c r="H411" s="1766"/>
      <c r="I411" s="1766"/>
      <c r="J411" s="1766"/>
      <c r="K411" s="1766"/>
      <c r="L411" s="1766"/>
      <c r="M411" s="1766"/>
      <c r="N411" s="1781"/>
      <c r="O411" s="1766"/>
      <c r="P411" s="1766"/>
      <c r="Q411" s="1766"/>
      <c r="R411" s="1766"/>
      <c r="S411" s="1696"/>
      <c r="T411" s="1696"/>
      <c r="U411" s="1772"/>
      <c r="V411" s="1696"/>
      <c r="W411" s="1772"/>
      <c r="X411" s="1696"/>
      <c r="Y411" s="1696"/>
      <c r="Z411" s="1773"/>
    </row>
    <row r="412">
      <c r="A412" s="1765"/>
      <c r="B412" s="1782"/>
      <c r="C412" s="1765"/>
      <c r="D412" s="1765"/>
      <c r="E412" s="1765"/>
      <c r="F412" s="1765"/>
      <c r="G412" s="1765"/>
      <c r="H412" s="1765"/>
      <c r="I412" s="1765"/>
      <c r="J412" s="1765"/>
      <c r="K412" s="1765"/>
      <c r="L412" s="1765"/>
      <c r="M412" s="1765"/>
      <c r="N412" s="1765"/>
      <c r="O412" s="1765"/>
      <c r="P412" s="1765"/>
      <c r="Q412" s="1766"/>
      <c r="R412" s="1766"/>
      <c r="S412" s="1696"/>
      <c r="T412" s="1696"/>
      <c r="U412" s="1772"/>
      <c r="V412" s="1696"/>
      <c r="W412" s="1772"/>
      <c r="X412" s="1696"/>
      <c r="Y412" s="1696"/>
      <c r="Z412" s="1773"/>
    </row>
    <row r="413">
      <c r="A413" s="1771"/>
      <c r="B413" s="1777"/>
      <c r="C413" s="1771"/>
      <c r="D413" s="1771"/>
      <c r="E413" s="1771"/>
      <c r="F413" s="1771"/>
      <c r="G413" s="1770"/>
      <c r="H413" s="1771"/>
      <c r="I413" s="1778"/>
      <c r="J413" s="1771"/>
      <c r="K413" s="1771"/>
      <c r="L413" s="1771"/>
      <c r="M413" s="1771"/>
      <c r="N413" s="1779"/>
      <c r="O413" s="1770"/>
      <c r="P413" s="1771"/>
      <c r="Q413" s="1766"/>
      <c r="R413" s="1766"/>
      <c r="S413" s="1696"/>
      <c r="U413" s="1772"/>
      <c r="V413" s="1696"/>
      <c r="W413" s="1772"/>
      <c r="X413" s="1696"/>
      <c r="Y413" s="1696"/>
      <c r="Z413" s="1696"/>
    </row>
    <row r="414">
      <c r="A414" s="1766"/>
      <c r="B414" s="1780"/>
      <c r="C414" s="1766"/>
      <c r="D414" s="1766"/>
      <c r="E414" s="1766"/>
      <c r="F414" s="1766"/>
      <c r="G414" s="1766"/>
      <c r="H414" s="1766"/>
      <c r="I414" s="1766"/>
      <c r="J414" s="1766"/>
      <c r="K414" s="1766"/>
      <c r="L414" s="1766"/>
      <c r="M414" s="1766"/>
      <c r="N414" s="1781"/>
      <c r="O414" s="1766"/>
      <c r="P414" s="1766"/>
      <c r="Q414" s="1766"/>
      <c r="R414" s="1766"/>
      <c r="S414" s="1696"/>
      <c r="U414" s="1772"/>
      <c r="V414" s="1696"/>
      <c r="W414" s="1772"/>
      <c r="X414" s="1696"/>
      <c r="Y414" s="1696"/>
      <c r="Z414" s="1696"/>
    </row>
    <row r="415">
      <c r="A415" s="1765"/>
      <c r="B415" s="1782"/>
      <c r="C415" s="1765"/>
      <c r="D415" s="1765"/>
      <c r="E415" s="1765"/>
      <c r="F415" s="1765"/>
      <c r="G415" s="1765"/>
      <c r="H415" s="1765"/>
      <c r="I415" s="1765"/>
      <c r="J415" s="1765"/>
      <c r="K415" s="1765"/>
      <c r="L415" s="1765"/>
      <c r="M415" s="1765"/>
      <c r="N415" s="1765"/>
      <c r="O415" s="1765"/>
      <c r="P415" s="1765"/>
      <c r="Q415" s="1766"/>
      <c r="R415" s="1766"/>
      <c r="S415" s="1696"/>
      <c r="T415" s="1696"/>
      <c r="U415" s="1772"/>
      <c r="V415" s="1696"/>
      <c r="W415" s="1772"/>
      <c r="X415" s="1696"/>
      <c r="Y415" s="1696"/>
      <c r="Z415" s="1773"/>
    </row>
    <row r="416">
      <c r="A416" s="1771"/>
      <c r="B416" s="1777"/>
      <c r="C416" s="1771"/>
      <c r="D416" s="1771"/>
      <c r="E416" s="1771"/>
      <c r="F416" s="1771"/>
      <c r="G416" s="1770"/>
      <c r="H416" s="1771"/>
      <c r="I416" s="1778"/>
      <c r="J416" s="1771"/>
      <c r="K416" s="1771"/>
      <c r="L416" s="1771"/>
      <c r="M416" s="1771"/>
      <c r="N416" s="1779"/>
      <c r="O416" s="1770"/>
      <c r="P416" s="1771"/>
      <c r="Q416" s="1766"/>
      <c r="R416" s="1766"/>
      <c r="S416" s="1696"/>
      <c r="U416" s="1772"/>
      <c r="V416" s="1696"/>
      <c r="W416" s="1772"/>
      <c r="X416" s="1696"/>
      <c r="Y416" s="1696"/>
      <c r="Z416" s="1696"/>
    </row>
    <row r="417">
      <c r="A417" s="1766"/>
      <c r="B417" s="1780"/>
      <c r="C417" s="1766"/>
      <c r="D417" s="1766"/>
      <c r="E417" s="1766"/>
      <c r="F417" s="1766"/>
      <c r="G417" s="1766"/>
      <c r="H417" s="1766"/>
      <c r="I417" s="1766"/>
      <c r="J417" s="1766"/>
      <c r="K417" s="1766"/>
      <c r="L417" s="1766"/>
      <c r="M417" s="1766"/>
      <c r="N417" s="1781"/>
      <c r="O417" s="1766"/>
      <c r="P417" s="1766"/>
      <c r="Q417" s="1766"/>
      <c r="R417" s="1766"/>
      <c r="S417" s="1696"/>
      <c r="T417" s="1696"/>
      <c r="U417" s="1772"/>
      <c r="V417" s="1696"/>
      <c r="W417" s="1772"/>
      <c r="X417" s="1696"/>
      <c r="Y417" s="1696"/>
      <c r="Z417" s="1696"/>
    </row>
    <row r="418">
      <c r="A418" s="1765"/>
      <c r="B418" s="1782"/>
      <c r="C418" s="1765"/>
      <c r="D418" s="1765"/>
      <c r="E418" s="1765"/>
      <c r="F418" s="1765"/>
      <c r="G418" s="1765"/>
      <c r="H418" s="1765"/>
      <c r="I418" s="1765"/>
      <c r="J418" s="1765"/>
      <c r="K418" s="1765"/>
      <c r="L418" s="1765"/>
      <c r="M418" s="1765"/>
      <c r="N418" s="1765"/>
      <c r="O418" s="1765"/>
      <c r="P418" s="1765"/>
      <c r="Q418" s="1766"/>
      <c r="R418" s="1766"/>
      <c r="S418" s="1696"/>
      <c r="U418" s="1772"/>
      <c r="V418" s="1696"/>
      <c r="W418" s="1772"/>
      <c r="X418" s="1696"/>
      <c r="Y418" s="1696"/>
      <c r="Z418" s="1773"/>
    </row>
    <row r="419">
      <c r="A419" s="1771"/>
      <c r="B419" s="1777"/>
      <c r="C419" s="1771"/>
      <c r="D419" s="1771"/>
      <c r="E419" s="1771"/>
      <c r="F419" s="1771"/>
      <c r="G419" s="1771"/>
      <c r="H419" s="1771"/>
      <c r="I419" s="1778"/>
      <c r="J419" s="1771"/>
      <c r="K419" s="1771"/>
      <c r="L419" s="1771"/>
      <c r="M419" s="1771"/>
      <c r="N419" s="1779"/>
      <c r="O419" s="1770"/>
      <c r="P419" s="1771"/>
      <c r="Q419" s="1766"/>
      <c r="R419" s="1766"/>
      <c r="S419" s="1696"/>
      <c r="U419" s="1772"/>
      <c r="V419" s="1696"/>
      <c r="W419" s="1772"/>
      <c r="X419" s="1696"/>
      <c r="Y419" s="1696"/>
      <c r="Z419" s="1773"/>
    </row>
    <row r="420">
      <c r="A420" s="1766"/>
      <c r="B420" s="1780"/>
      <c r="C420" s="1766"/>
      <c r="D420" s="1766"/>
      <c r="E420" s="1766"/>
      <c r="F420" s="1766"/>
      <c r="G420" s="1766"/>
      <c r="H420" s="1766"/>
      <c r="I420" s="1766"/>
      <c r="J420" s="1766"/>
      <c r="K420" s="1766"/>
      <c r="L420" s="1766"/>
      <c r="M420" s="1766"/>
      <c r="N420" s="1781"/>
      <c r="O420" s="1766"/>
      <c r="P420" s="1766"/>
      <c r="Q420" s="1766"/>
      <c r="R420" s="1766"/>
      <c r="S420" s="1696"/>
      <c r="U420" s="1772"/>
      <c r="V420" s="1696"/>
      <c r="W420" s="1772"/>
      <c r="X420" s="1696"/>
      <c r="Y420" s="1696"/>
      <c r="Z420" s="1773"/>
    </row>
    <row r="421">
      <c r="A421" s="1765"/>
      <c r="B421" s="1782"/>
      <c r="C421" s="1765"/>
      <c r="D421" s="1765"/>
      <c r="E421" s="1765"/>
      <c r="F421" s="1765"/>
      <c r="G421" s="1765"/>
      <c r="H421" s="1765"/>
      <c r="I421" s="1765"/>
      <c r="J421" s="1765"/>
      <c r="K421" s="1765"/>
      <c r="L421" s="1765"/>
      <c r="M421" s="1765"/>
      <c r="N421" s="1765"/>
      <c r="O421" s="1765"/>
      <c r="P421" s="1765"/>
      <c r="Q421" s="1766"/>
      <c r="R421" s="1766"/>
      <c r="S421" s="1696"/>
      <c r="T421" s="1696"/>
      <c r="U421" s="1772"/>
      <c r="V421" s="1696"/>
      <c r="W421" s="1772"/>
      <c r="X421" s="1696"/>
      <c r="Y421" s="1696"/>
      <c r="Z421" s="1696"/>
    </row>
    <row r="422">
      <c r="A422" s="1771"/>
      <c r="B422" s="1777"/>
      <c r="C422" s="1771"/>
      <c r="D422" s="1771"/>
      <c r="E422" s="1771"/>
      <c r="F422" s="1771"/>
      <c r="G422" s="1777"/>
      <c r="H422" s="1771"/>
      <c r="I422" s="1778"/>
      <c r="J422" s="1771"/>
      <c r="K422" s="1771"/>
      <c r="L422" s="1771"/>
      <c r="M422" s="1771"/>
      <c r="N422" s="1779"/>
      <c r="O422" s="1770"/>
      <c r="P422" s="1771"/>
      <c r="Q422" s="1766"/>
      <c r="R422" s="1766"/>
      <c r="S422" s="1696"/>
      <c r="T422" s="1696"/>
      <c r="U422" s="1772"/>
      <c r="V422" s="1696"/>
      <c r="W422" s="1772"/>
      <c r="X422" s="1696"/>
      <c r="Y422" s="1696"/>
      <c r="Z422" s="1696"/>
    </row>
    <row r="423">
      <c r="A423" s="1766"/>
      <c r="B423" s="1780"/>
      <c r="C423" s="1766"/>
      <c r="D423" s="1766"/>
      <c r="E423" s="1766"/>
      <c r="F423" s="1766"/>
      <c r="G423" s="1766"/>
      <c r="H423" s="1766"/>
      <c r="I423" s="1766"/>
      <c r="J423" s="1766"/>
      <c r="K423" s="1766"/>
      <c r="L423" s="1766"/>
      <c r="M423" s="1766"/>
      <c r="N423" s="1781"/>
      <c r="O423" s="1766"/>
      <c r="P423" s="1766"/>
      <c r="Q423" s="1766"/>
      <c r="R423" s="1766"/>
      <c r="S423" s="1696"/>
      <c r="U423" s="1772"/>
      <c r="V423" s="1696"/>
      <c r="W423" s="1772"/>
      <c r="X423" s="1696"/>
      <c r="Y423" s="1696"/>
      <c r="Z423" s="1773"/>
    </row>
    <row r="424">
      <c r="A424" s="1765"/>
      <c r="B424" s="1782"/>
      <c r="C424" s="1765"/>
      <c r="D424" s="1765"/>
      <c r="E424" s="1765"/>
      <c r="F424" s="1765"/>
      <c r="G424" s="1765"/>
      <c r="H424" s="1765"/>
      <c r="I424" s="1765"/>
      <c r="J424" s="1765"/>
      <c r="K424" s="1765"/>
      <c r="L424" s="1765"/>
      <c r="M424" s="1765"/>
      <c r="N424" s="1765"/>
      <c r="O424" s="1765"/>
      <c r="P424" s="1765"/>
      <c r="Q424" s="1766"/>
      <c r="R424" s="1766"/>
      <c r="S424" s="1696"/>
      <c r="U424" s="1772"/>
      <c r="V424" s="1696"/>
      <c r="W424" s="1772"/>
      <c r="X424" s="1696"/>
      <c r="Y424" s="1696"/>
      <c r="Z424" s="1696"/>
    </row>
    <row r="425">
      <c r="A425" s="1771"/>
      <c r="B425" s="1777"/>
      <c r="C425" s="1771"/>
      <c r="D425" s="1771"/>
      <c r="E425" s="1771"/>
      <c r="F425" s="1771"/>
      <c r="G425" s="1770"/>
      <c r="H425" s="1771"/>
      <c r="I425" s="1770"/>
      <c r="J425" s="1771"/>
      <c r="K425" s="1771"/>
      <c r="L425" s="1771"/>
      <c r="M425" s="1771"/>
      <c r="N425" s="1779"/>
      <c r="O425" s="1770"/>
      <c r="P425" s="1771"/>
      <c r="Q425" s="1766"/>
      <c r="R425" s="1766"/>
      <c r="S425" s="1696"/>
      <c r="U425" s="1772"/>
      <c r="V425" s="1696"/>
      <c r="W425" s="1772"/>
      <c r="X425" s="1696"/>
      <c r="Y425" s="1696"/>
      <c r="Z425" s="1773"/>
    </row>
    <row r="426">
      <c r="A426" s="1766"/>
      <c r="B426" s="1780"/>
      <c r="C426" s="1766"/>
      <c r="D426" s="1766"/>
      <c r="E426" s="1766"/>
      <c r="F426" s="1766"/>
      <c r="G426" s="1766"/>
      <c r="H426" s="1766"/>
      <c r="I426" s="1766"/>
      <c r="J426" s="1766"/>
      <c r="K426" s="1766"/>
      <c r="L426" s="1766"/>
      <c r="M426" s="1766"/>
      <c r="N426" s="1781"/>
      <c r="O426" s="1766"/>
      <c r="P426" s="1766"/>
      <c r="Q426" s="1766"/>
      <c r="R426" s="1766"/>
      <c r="S426" s="1696"/>
      <c r="T426" s="1696"/>
      <c r="U426" s="1772"/>
      <c r="V426" s="1696"/>
      <c r="W426" s="1772"/>
      <c r="X426" s="1696"/>
      <c r="Y426" s="1696"/>
      <c r="Z426" s="1696"/>
    </row>
    <row r="427">
      <c r="A427" s="1765"/>
      <c r="B427" s="1782"/>
      <c r="C427" s="1765"/>
      <c r="D427" s="1765"/>
      <c r="E427" s="1765"/>
      <c r="F427" s="1765"/>
      <c r="G427" s="1765"/>
      <c r="H427" s="1765"/>
      <c r="I427" s="1765"/>
      <c r="J427" s="1765"/>
      <c r="K427" s="1765"/>
      <c r="L427" s="1765"/>
      <c r="M427" s="1765"/>
      <c r="N427" s="1765"/>
      <c r="O427" s="1765"/>
      <c r="P427" s="1765"/>
      <c r="Q427" s="1766"/>
      <c r="R427" s="1766"/>
      <c r="S427" s="1696"/>
      <c r="U427" s="1772"/>
      <c r="V427" s="1696"/>
      <c r="W427" s="1772"/>
      <c r="X427" s="1696"/>
      <c r="Y427" s="1696"/>
      <c r="Z427" s="1773"/>
    </row>
    <row r="428">
      <c r="A428" s="1771"/>
      <c r="B428" s="1777"/>
      <c r="C428" s="1771"/>
      <c r="D428" s="1771"/>
      <c r="E428" s="1771"/>
      <c r="F428" s="1771"/>
      <c r="G428" s="1771"/>
      <c r="H428" s="1771"/>
      <c r="I428" s="1778"/>
      <c r="J428" s="1771"/>
      <c r="K428" s="1771"/>
      <c r="L428" s="1771"/>
      <c r="M428" s="1771"/>
      <c r="N428" s="1779"/>
      <c r="O428" s="1770"/>
      <c r="P428" s="1771"/>
      <c r="Q428" s="1766"/>
      <c r="R428" s="1766"/>
      <c r="S428" s="1696"/>
      <c r="U428" s="1772"/>
      <c r="V428" s="1696"/>
      <c r="W428" s="1772"/>
      <c r="X428" s="1696"/>
      <c r="Y428" s="1696"/>
      <c r="Z428" s="1773"/>
    </row>
    <row r="429">
      <c r="A429" s="1766"/>
      <c r="B429" s="1780"/>
      <c r="C429" s="1766"/>
      <c r="D429" s="1766"/>
      <c r="E429" s="1766"/>
      <c r="F429" s="1766"/>
      <c r="G429" s="1766"/>
      <c r="H429" s="1766"/>
      <c r="I429" s="1766"/>
      <c r="J429" s="1766"/>
      <c r="K429" s="1766"/>
      <c r="L429" s="1766"/>
      <c r="M429" s="1766"/>
      <c r="N429" s="1781"/>
      <c r="O429" s="1766"/>
      <c r="P429" s="1766"/>
      <c r="Q429" s="1766"/>
      <c r="R429" s="1766"/>
      <c r="S429" s="1696"/>
      <c r="T429" s="1696"/>
      <c r="U429" s="1772"/>
      <c r="V429" s="1696"/>
      <c r="W429" s="1772"/>
      <c r="X429" s="1696"/>
      <c r="Y429" s="1696"/>
      <c r="Z429" s="1696"/>
    </row>
    <row r="430">
      <c r="A430" s="1765"/>
      <c r="B430" s="1782"/>
      <c r="C430" s="1765"/>
      <c r="D430" s="1765"/>
      <c r="E430" s="1765"/>
      <c r="F430" s="1765"/>
      <c r="G430" s="1765"/>
      <c r="H430" s="1765"/>
      <c r="I430" s="1765"/>
      <c r="J430" s="1765"/>
      <c r="K430" s="1765"/>
      <c r="L430" s="1765"/>
      <c r="M430" s="1765"/>
      <c r="N430" s="1765"/>
      <c r="O430" s="1765"/>
      <c r="P430" s="1765"/>
      <c r="Q430" s="1766"/>
      <c r="R430" s="1766"/>
      <c r="S430" s="1696"/>
      <c r="T430" s="1696"/>
      <c r="U430" s="1772"/>
      <c r="V430" s="1696"/>
      <c r="W430" s="1772"/>
      <c r="X430" s="1696"/>
      <c r="Y430" s="1696"/>
      <c r="Z430" s="1696"/>
    </row>
    <row r="431">
      <c r="A431" s="1771"/>
      <c r="B431" s="1777"/>
      <c r="C431" s="1771"/>
      <c r="D431" s="1771"/>
      <c r="E431" s="1771"/>
      <c r="F431" s="1771"/>
      <c r="G431" s="1770"/>
      <c r="H431" s="1771"/>
      <c r="I431" s="1778"/>
      <c r="J431" s="1771"/>
      <c r="K431" s="1771"/>
      <c r="L431" s="1771"/>
      <c r="M431" s="1771"/>
      <c r="N431" s="1779"/>
      <c r="O431" s="1770"/>
      <c r="P431" s="1771"/>
      <c r="Q431" s="1766"/>
      <c r="R431" s="1766"/>
      <c r="S431" s="1696"/>
      <c r="U431" s="1772"/>
      <c r="V431" s="1696"/>
      <c r="W431" s="1772"/>
      <c r="X431" s="1696"/>
      <c r="Y431" s="1696"/>
      <c r="Z431" s="1696"/>
    </row>
    <row r="432">
      <c r="A432" s="1766"/>
      <c r="B432" s="1780"/>
      <c r="C432" s="1766"/>
      <c r="D432" s="1766"/>
      <c r="E432" s="1766"/>
      <c r="F432" s="1766"/>
      <c r="G432" s="1766"/>
      <c r="H432" s="1766"/>
      <c r="I432" s="1766"/>
      <c r="J432" s="1766"/>
      <c r="K432" s="1766"/>
      <c r="L432" s="1766"/>
      <c r="M432" s="1766"/>
      <c r="N432" s="1781"/>
      <c r="O432" s="1766"/>
      <c r="P432" s="1766"/>
      <c r="Q432" s="1766"/>
      <c r="R432" s="1766"/>
      <c r="S432" s="1696"/>
      <c r="T432" s="1696"/>
      <c r="U432" s="1772"/>
      <c r="V432" s="1696"/>
      <c r="W432" s="1772"/>
      <c r="X432" s="1696"/>
      <c r="Y432" s="1696"/>
      <c r="Z432" s="1696"/>
    </row>
    <row r="433">
      <c r="A433" s="1765"/>
      <c r="B433" s="1782"/>
      <c r="C433" s="1765"/>
      <c r="D433" s="1765"/>
      <c r="E433" s="1765"/>
      <c r="F433" s="1765"/>
      <c r="G433" s="1765"/>
      <c r="H433" s="1765"/>
      <c r="I433" s="1765"/>
      <c r="J433" s="1765"/>
      <c r="K433" s="1765"/>
      <c r="L433" s="1765"/>
      <c r="M433" s="1765"/>
      <c r="N433" s="1765"/>
      <c r="O433" s="1765"/>
      <c r="P433" s="1765"/>
      <c r="Q433" s="1766"/>
      <c r="R433" s="1766"/>
      <c r="S433" s="1696"/>
      <c r="T433" s="1696"/>
      <c r="U433" s="1772"/>
      <c r="V433" s="1696"/>
      <c r="W433" s="1772"/>
      <c r="X433" s="1696"/>
      <c r="Y433" s="1696"/>
      <c r="Z433" s="1696"/>
    </row>
    <row r="434">
      <c r="A434" s="1771"/>
      <c r="B434" s="1777"/>
      <c r="C434" s="1771"/>
      <c r="D434" s="1771"/>
      <c r="E434" s="1771"/>
      <c r="F434" s="1771"/>
      <c r="G434" s="1770"/>
      <c r="H434" s="1771"/>
      <c r="I434" s="1770"/>
      <c r="J434" s="1771"/>
      <c r="K434" s="1771"/>
      <c r="L434" s="1771"/>
      <c r="M434" s="1771"/>
      <c r="N434" s="1779"/>
      <c r="O434" s="1770"/>
      <c r="P434" s="1771"/>
      <c r="Q434" s="1766"/>
      <c r="R434" s="1766"/>
      <c r="S434" s="1696"/>
      <c r="T434" s="1696"/>
      <c r="U434" s="1772"/>
      <c r="V434" s="1696"/>
      <c r="W434" s="1772"/>
      <c r="X434" s="1696"/>
      <c r="Y434" s="1696"/>
      <c r="Z434" s="1773"/>
    </row>
    <row r="435">
      <c r="A435" s="1766"/>
      <c r="B435" s="1780"/>
      <c r="C435" s="1766"/>
      <c r="D435" s="1766"/>
      <c r="E435" s="1766"/>
      <c r="F435" s="1766"/>
      <c r="G435" s="1766"/>
      <c r="H435" s="1766"/>
      <c r="I435" s="1766"/>
      <c r="J435" s="1766"/>
      <c r="K435" s="1766"/>
      <c r="L435" s="1766"/>
      <c r="M435" s="1766"/>
      <c r="N435" s="1781"/>
      <c r="O435" s="1766"/>
      <c r="P435" s="1766"/>
      <c r="Q435" s="1766"/>
      <c r="R435" s="1766"/>
      <c r="S435" s="1696"/>
      <c r="T435" s="1696"/>
      <c r="U435" s="1772"/>
      <c r="V435" s="1696"/>
      <c r="W435" s="1772"/>
      <c r="X435" s="1696"/>
      <c r="Y435" s="1696"/>
      <c r="Z435" s="1773"/>
    </row>
    <row r="436">
      <c r="A436" s="1765"/>
      <c r="B436" s="1782"/>
      <c r="C436" s="1765"/>
      <c r="D436" s="1765"/>
      <c r="E436" s="1765"/>
      <c r="F436" s="1765"/>
      <c r="G436" s="1765"/>
      <c r="H436" s="1765"/>
      <c r="I436" s="1765"/>
      <c r="J436" s="1765"/>
      <c r="K436" s="1765"/>
      <c r="L436" s="1765"/>
      <c r="M436" s="1765"/>
      <c r="N436" s="1765"/>
      <c r="O436" s="1765"/>
      <c r="P436" s="1765"/>
      <c r="Q436" s="1766"/>
      <c r="R436" s="1766"/>
      <c r="S436" s="1696"/>
      <c r="T436" s="1696"/>
      <c r="U436" s="1772"/>
      <c r="V436" s="1696"/>
      <c r="W436" s="1772"/>
      <c r="X436" s="1696"/>
      <c r="Y436" s="1696"/>
      <c r="Z436" s="1773"/>
    </row>
    <row r="437">
      <c r="A437" s="1771"/>
      <c r="B437" s="1777"/>
      <c r="C437" s="1771"/>
      <c r="D437" s="1771"/>
      <c r="E437" s="1771"/>
      <c r="F437" s="1771"/>
      <c r="G437" s="1771"/>
      <c r="H437" s="1771"/>
      <c r="I437" s="1778"/>
      <c r="J437" s="1771"/>
      <c r="K437" s="1771"/>
      <c r="L437" s="1771"/>
      <c r="M437" s="1771"/>
      <c r="N437" s="1779"/>
      <c r="O437" s="1770"/>
      <c r="P437" s="1771"/>
      <c r="Q437" s="1766"/>
      <c r="R437" s="1766"/>
      <c r="S437" s="1696"/>
      <c r="T437" s="1696"/>
      <c r="U437" s="1772"/>
      <c r="V437" s="1696"/>
      <c r="W437" s="1772"/>
      <c r="X437" s="1696"/>
      <c r="Y437" s="1696"/>
      <c r="Z437" s="1696"/>
    </row>
    <row r="438">
      <c r="A438" s="1766"/>
      <c r="B438" s="1780"/>
      <c r="C438" s="1766"/>
      <c r="D438" s="1766"/>
      <c r="E438" s="1766"/>
      <c r="F438" s="1766"/>
      <c r="G438" s="1766"/>
      <c r="H438" s="1766"/>
      <c r="I438" s="1766"/>
      <c r="J438" s="1766"/>
      <c r="K438" s="1766"/>
      <c r="L438" s="1766"/>
      <c r="M438" s="1766"/>
      <c r="N438" s="1781"/>
      <c r="O438" s="1766"/>
      <c r="P438" s="1766"/>
      <c r="Q438" s="1766"/>
      <c r="R438" s="1766"/>
      <c r="S438" s="1696"/>
      <c r="T438" s="1696"/>
      <c r="U438" s="1772"/>
      <c r="V438" s="1696"/>
      <c r="W438" s="1772"/>
      <c r="X438" s="1696"/>
      <c r="Y438" s="1696"/>
      <c r="Z438" s="1696"/>
    </row>
    <row r="439">
      <c r="A439" s="1765"/>
      <c r="B439" s="1782"/>
      <c r="C439" s="1765"/>
      <c r="D439" s="1765"/>
      <c r="E439" s="1765"/>
      <c r="F439" s="1765"/>
      <c r="G439" s="1765"/>
      <c r="H439" s="1765"/>
      <c r="I439" s="1765"/>
      <c r="J439" s="1765"/>
      <c r="K439" s="1765"/>
      <c r="L439" s="1765"/>
      <c r="M439" s="1765"/>
      <c r="N439" s="1765"/>
      <c r="O439" s="1765"/>
      <c r="P439" s="1765"/>
      <c r="Q439" s="1766"/>
      <c r="R439" s="1766"/>
      <c r="S439" s="1696"/>
      <c r="U439" s="1772"/>
      <c r="V439" s="1696"/>
      <c r="W439" s="1772"/>
      <c r="X439" s="1696"/>
      <c r="Y439" s="1696"/>
      <c r="Z439" s="1696"/>
    </row>
    <row r="440">
      <c r="A440" s="1771"/>
      <c r="B440" s="1777"/>
      <c r="C440" s="1771"/>
      <c r="D440" s="1771"/>
      <c r="E440" s="1771"/>
      <c r="F440" s="1771"/>
      <c r="G440" s="1770"/>
      <c r="H440" s="1771"/>
      <c r="I440" s="1778"/>
      <c r="J440" s="1771"/>
      <c r="K440" s="1771"/>
      <c r="L440" s="1771"/>
      <c r="M440" s="1771"/>
      <c r="N440" s="1779"/>
      <c r="O440" s="1770"/>
      <c r="P440" s="1771"/>
      <c r="Q440" s="1766"/>
      <c r="R440" s="1766"/>
      <c r="S440" s="1696"/>
      <c r="U440" s="1772"/>
      <c r="V440" s="1696"/>
      <c r="W440" s="1772"/>
      <c r="X440" s="1696"/>
      <c r="Y440" s="1696"/>
      <c r="Z440" s="1773"/>
    </row>
    <row r="441">
      <c r="A441" s="1766"/>
      <c r="B441" s="1780"/>
      <c r="C441" s="1766"/>
      <c r="D441" s="1766"/>
      <c r="E441" s="1766"/>
      <c r="F441" s="1766"/>
      <c r="G441" s="1766"/>
      <c r="H441" s="1766"/>
      <c r="I441" s="1766"/>
      <c r="J441" s="1766"/>
      <c r="K441" s="1766"/>
      <c r="L441" s="1766"/>
      <c r="M441" s="1766"/>
      <c r="N441" s="1781"/>
      <c r="O441" s="1766"/>
      <c r="P441" s="1766"/>
      <c r="Q441" s="1766"/>
      <c r="R441" s="1766"/>
      <c r="S441" s="1696"/>
      <c r="U441" s="1772"/>
      <c r="V441" s="1696"/>
      <c r="W441" s="1772"/>
      <c r="X441" s="1696"/>
      <c r="Y441" s="1696"/>
      <c r="Z441" s="1773"/>
    </row>
    <row r="442">
      <c r="A442" s="1765"/>
      <c r="B442" s="1782"/>
      <c r="C442" s="1765"/>
      <c r="D442" s="1765"/>
      <c r="E442" s="1765"/>
      <c r="F442" s="1765"/>
      <c r="G442" s="1765"/>
      <c r="H442" s="1765"/>
      <c r="I442" s="1765"/>
      <c r="J442" s="1765"/>
      <c r="K442" s="1765"/>
      <c r="L442" s="1765"/>
      <c r="M442" s="1765"/>
      <c r="N442" s="1765"/>
      <c r="O442" s="1765"/>
      <c r="P442" s="1765"/>
      <c r="Q442" s="1766"/>
      <c r="R442" s="1766"/>
      <c r="S442" s="1696"/>
      <c r="U442" s="1772"/>
      <c r="V442" s="1696"/>
      <c r="W442" s="1772"/>
      <c r="X442" s="1696"/>
      <c r="Y442" s="1696"/>
      <c r="Z442" s="1773"/>
    </row>
    <row r="443">
      <c r="A443" s="1771"/>
      <c r="B443" s="1777"/>
      <c r="C443" s="1771"/>
      <c r="D443" s="1771"/>
      <c r="E443" s="1771"/>
      <c r="F443" s="1771"/>
      <c r="G443" s="1771"/>
      <c r="H443" s="1771"/>
      <c r="I443" s="1778"/>
      <c r="J443" s="1771"/>
      <c r="K443" s="1771"/>
      <c r="L443" s="1771"/>
      <c r="M443" s="1771"/>
      <c r="N443" s="1779"/>
      <c r="O443" s="1770"/>
      <c r="P443" s="1771"/>
      <c r="Q443" s="1766"/>
      <c r="R443" s="1766"/>
      <c r="S443" s="1696"/>
      <c r="U443" s="1772"/>
      <c r="V443" s="1696"/>
      <c r="W443" s="1772"/>
      <c r="X443" s="1696"/>
      <c r="Y443" s="1696"/>
      <c r="Z443" s="1773"/>
    </row>
    <row r="444">
      <c r="A444" s="1766"/>
      <c r="B444" s="1780"/>
      <c r="C444" s="1766"/>
      <c r="D444" s="1766"/>
      <c r="E444" s="1766"/>
      <c r="F444" s="1766"/>
      <c r="G444" s="1766"/>
      <c r="H444" s="1766"/>
      <c r="I444" s="1766"/>
      <c r="J444" s="1766"/>
      <c r="K444" s="1766"/>
      <c r="L444" s="1766"/>
      <c r="M444" s="1766"/>
      <c r="N444" s="1781"/>
      <c r="O444" s="1766"/>
      <c r="P444" s="1766"/>
      <c r="Q444" s="1766"/>
      <c r="R444" s="1766"/>
      <c r="S444" s="1696"/>
      <c r="T444" s="1696"/>
      <c r="U444" s="1772"/>
      <c r="V444" s="1696"/>
      <c r="W444" s="1772"/>
      <c r="X444" s="1696"/>
      <c r="Y444" s="1696"/>
      <c r="Z444" s="1773"/>
    </row>
    <row r="445">
      <c r="A445" s="1765"/>
      <c r="B445" s="1782"/>
      <c r="C445" s="1765"/>
      <c r="D445" s="1765"/>
      <c r="E445" s="1765"/>
      <c r="F445" s="1765"/>
      <c r="G445" s="1765"/>
      <c r="H445" s="1765"/>
      <c r="I445" s="1765"/>
      <c r="J445" s="1765"/>
      <c r="K445" s="1765"/>
      <c r="L445" s="1765"/>
      <c r="M445" s="1765"/>
      <c r="N445" s="1765"/>
      <c r="O445" s="1765"/>
      <c r="P445" s="1765"/>
      <c r="Q445" s="1766"/>
      <c r="R445" s="1766"/>
      <c r="S445" s="1696"/>
      <c r="T445" s="1696"/>
      <c r="U445" s="1772"/>
      <c r="V445" s="1696"/>
      <c r="W445" s="1772"/>
      <c r="X445" s="1696"/>
      <c r="Y445" s="1696"/>
      <c r="Z445" s="1773"/>
    </row>
    <row r="446">
      <c r="A446" s="1771"/>
      <c r="B446" s="1777"/>
      <c r="C446" s="1771"/>
      <c r="D446" s="1771"/>
      <c r="E446" s="1771"/>
      <c r="F446" s="1771"/>
      <c r="G446" s="1770"/>
      <c r="H446" s="1771"/>
      <c r="I446" s="1778"/>
      <c r="J446" s="1771"/>
      <c r="K446" s="1771"/>
      <c r="L446" s="1771"/>
      <c r="M446" s="1771"/>
      <c r="N446" s="1779"/>
      <c r="O446" s="1770"/>
      <c r="P446" s="1771"/>
      <c r="Q446" s="1766"/>
      <c r="R446" s="1766"/>
      <c r="S446" s="1696"/>
      <c r="T446" s="1696"/>
      <c r="U446" s="1772"/>
      <c r="V446" s="1696"/>
      <c r="W446" s="1772"/>
      <c r="X446" s="1696"/>
      <c r="Y446" s="1696"/>
      <c r="Z446" s="1696"/>
    </row>
    <row r="447">
      <c r="A447" s="1766"/>
      <c r="B447" s="1780"/>
      <c r="C447" s="1766"/>
      <c r="D447" s="1766"/>
      <c r="E447" s="1766"/>
      <c r="F447" s="1766"/>
      <c r="G447" s="1766"/>
      <c r="H447" s="1766"/>
      <c r="I447" s="1766"/>
      <c r="J447" s="1766"/>
      <c r="K447" s="1766"/>
      <c r="L447" s="1766"/>
      <c r="M447" s="1766"/>
      <c r="N447" s="1781"/>
      <c r="O447" s="1766"/>
      <c r="P447" s="1766"/>
      <c r="Q447" s="1766"/>
      <c r="R447" s="1766"/>
      <c r="S447" s="1696"/>
      <c r="U447" s="1772"/>
      <c r="V447" s="1696"/>
      <c r="W447" s="1772"/>
      <c r="X447" s="1696"/>
      <c r="Y447" s="1696"/>
      <c r="Z447" s="1773"/>
    </row>
    <row r="448">
      <c r="A448" s="1765"/>
      <c r="B448" s="1782"/>
      <c r="C448" s="1765"/>
      <c r="D448" s="1765"/>
      <c r="E448" s="1765"/>
      <c r="F448" s="1765"/>
      <c r="G448" s="1765"/>
      <c r="H448" s="1765"/>
      <c r="I448" s="1765"/>
      <c r="J448" s="1765"/>
      <c r="K448" s="1765"/>
      <c r="L448" s="1765"/>
      <c r="M448" s="1765"/>
      <c r="N448" s="1765"/>
      <c r="O448" s="1765"/>
      <c r="P448" s="1765"/>
      <c r="Q448" s="1766"/>
      <c r="R448" s="1766"/>
      <c r="S448" s="1696"/>
      <c r="U448" s="1772"/>
      <c r="V448" s="1696"/>
      <c r="W448" s="1772"/>
      <c r="X448" s="1696"/>
      <c r="Y448" s="1696"/>
      <c r="Z448" s="1773"/>
    </row>
    <row r="449">
      <c r="A449" s="1771"/>
      <c r="B449" s="1777"/>
      <c r="C449" s="1771"/>
      <c r="D449" s="1771"/>
      <c r="E449" s="1771"/>
      <c r="F449" s="1771"/>
      <c r="G449" s="1771"/>
      <c r="H449" s="1771"/>
      <c r="I449" s="1778"/>
      <c r="J449" s="1771"/>
      <c r="K449" s="1771"/>
      <c r="L449" s="1771"/>
      <c r="M449" s="1771"/>
      <c r="N449" s="1779"/>
      <c r="O449" s="1770"/>
      <c r="P449" s="1771"/>
      <c r="Q449" s="1766"/>
      <c r="R449" s="1766"/>
      <c r="S449" s="1696"/>
      <c r="U449" s="1772"/>
      <c r="V449" s="1696"/>
      <c r="W449" s="1772"/>
      <c r="X449" s="1696"/>
      <c r="Y449" s="1696"/>
      <c r="Z449" s="1773"/>
    </row>
    <row r="450">
      <c r="A450" s="1766"/>
      <c r="B450" s="1780"/>
      <c r="C450" s="1766"/>
      <c r="D450" s="1766"/>
      <c r="E450" s="1766"/>
      <c r="F450" s="1766"/>
      <c r="G450" s="1766"/>
      <c r="H450" s="1766"/>
      <c r="I450" s="1766"/>
      <c r="J450" s="1766"/>
      <c r="K450" s="1766"/>
      <c r="L450" s="1766"/>
      <c r="M450" s="1766"/>
      <c r="N450" s="1781"/>
      <c r="O450" s="1766"/>
      <c r="P450" s="1766"/>
      <c r="Q450" s="1766"/>
      <c r="R450" s="1766"/>
      <c r="S450" s="1696"/>
      <c r="T450" s="1696"/>
      <c r="U450" s="1772"/>
      <c r="V450" s="1696"/>
      <c r="W450" s="1772"/>
      <c r="X450" s="1696"/>
      <c r="Y450" s="1696"/>
      <c r="Z450" s="1696"/>
    </row>
    <row r="451">
      <c r="A451" s="1765"/>
      <c r="B451" s="1782"/>
      <c r="C451" s="1765"/>
      <c r="D451" s="1765"/>
      <c r="E451" s="1765"/>
      <c r="F451" s="1765"/>
      <c r="G451" s="1765"/>
      <c r="H451" s="1765"/>
      <c r="I451" s="1765"/>
      <c r="J451" s="1765"/>
      <c r="K451" s="1765"/>
      <c r="L451" s="1765"/>
      <c r="M451" s="1765"/>
      <c r="N451" s="1765"/>
      <c r="O451" s="1765"/>
      <c r="P451" s="1765"/>
      <c r="Q451" s="1766"/>
      <c r="R451" s="1766"/>
      <c r="S451" s="1696"/>
      <c r="U451" s="1772"/>
      <c r="V451" s="1696"/>
      <c r="W451" s="1772"/>
      <c r="X451" s="1696"/>
      <c r="Y451" s="1696"/>
      <c r="Z451" s="1773"/>
    </row>
    <row r="452">
      <c r="A452" s="1771"/>
      <c r="B452" s="1777"/>
      <c r="C452" s="1771"/>
      <c r="D452" s="1771"/>
      <c r="E452" s="1771"/>
      <c r="F452" s="1771"/>
      <c r="G452" s="1771"/>
      <c r="H452" s="1771"/>
      <c r="I452" s="1778"/>
      <c r="J452" s="1771"/>
      <c r="K452" s="1771"/>
      <c r="L452" s="1771"/>
      <c r="M452" s="1771"/>
      <c r="N452" s="1779"/>
      <c r="O452" s="1770"/>
      <c r="P452" s="1771"/>
      <c r="Q452" s="1766"/>
      <c r="R452" s="1766"/>
      <c r="S452" s="1696"/>
      <c r="T452" s="1696"/>
      <c r="U452" s="1772"/>
      <c r="V452" s="1696"/>
      <c r="W452" s="1772"/>
      <c r="X452" s="1696"/>
      <c r="Y452" s="1696"/>
      <c r="Z452" s="1696"/>
    </row>
    <row r="453">
      <c r="A453" s="1766"/>
      <c r="B453" s="1780"/>
      <c r="C453" s="1766"/>
      <c r="D453" s="1766"/>
      <c r="E453" s="1766"/>
      <c r="F453" s="1766"/>
      <c r="G453" s="1766"/>
      <c r="H453" s="1766"/>
      <c r="I453" s="1766"/>
      <c r="J453" s="1766"/>
      <c r="K453" s="1766"/>
      <c r="L453" s="1766"/>
      <c r="M453" s="1766"/>
      <c r="N453" s="1781"/>
      <c r="O453" s="1766"/>
      <c r="P453" s="1766"/>
      <c r="Q453" s="1766"/>
      <c r="R453" s="1766"/>
      <c r="S453" s="1696"/>
      <c r="T453" s="1696"/>
      <c r="U453" s="1772"/>
      <c r="V453" s="1696"/>
      <c r="W453" s="1772"/>
      <c r="X453" s="1696"/>
      <c r="Y453" s="1696"/>
      <c r="Z453" s="1696"/>
    </row>
    <row r="454">
      <c r="A454" s="1765"/>
      <c r="B454" s="1782"/>
      <c r="C454" s="1765"/>
      <c r="D454" s="1765"/>
      <c r="E454" s="1765"/>
      <c r="F454" s="1765"/>
      <c r="G454" s="1765"/>
      <c r="H454" s="1765"/>
      <c r="I454" s="1765"/>
      <c r="J454" s="1765"/>
      <c r="K454" s="1765"/>
      <c r="L454" s="1765"/>
      <c r="M454" s="1765"/>
      <c r="N454" s="1765"/>
      <c r="O454" s="1765"/>
      <c r="P454" s="1765"/>
      <c r="Q454" s="1766"/>
      <c r="R454" s="1766"/>
      <c r="S454" s="1696"/>
      <c r="U454" s="1772"/>
      <c r="V454" s="1696"/>
      <c r="W454" s="1772"/>
      <c r="X454" s="1696"/>
      <c r="Y454" s="1696"/>
      <c r="Z454" s="1773"/>
    </row>
    <row r="455">
      <c r="A455" s="1771"/>
      <c r="B455" s="1777"/>
      <c r="C455" s="1771"/>
      <c r="D455" s="1771"/>
      <c r="E455" s="1771"/>
      <c r="F455" s="1771"/>
      <c r="G455" s="1771"/>
      <c r="H455" s="1771"/>
      <c r="I455" s="1778"/>
      <c r="J455" s="1771"/>
      <c r="K455" s="1771"/>
      <c r="L455" s="1771"/>
      <c r="M455" s="1771"/>
      <c r="N455" s="1779"/>
      <c r="O455" s="1770"/>
      <c r="P455" s="1771"/>
      <c r="Q455" s="1766"/>
      <c r="R455" s="1766"/>
      <c r="S455" s="1696"/>
      <c r="T455" s="1696"/>
      <c r="U455" s="1772"/>
      <c r="V455" s="1696"/>
      <c r="W455" s="1772"/>
      <c r="X455" s="1696"/>
      <c r="Y455" s="1696"/>
      <c r="Z455" s="1773"/>
    </row>
    <row r="456">
      <c r="A456" s="1766"/>
      <c r="B456" s="1780"/>
      <c r="C456" s="1766"/>
      <c r="D456" s="1766"/>
      <c r="E456" s="1766"/>
      <c r="F456" s="1766"/>
      <c r="G456" s="1766"/>
      <c r="H456" s="1766"/>
      <c r="I456" s="1766"/>
      <c r="J456" s="1766"/>
      <c r="K456" s="1766"/>
      <c r="L456" s="1766"/>
      <c r="M456" s="1766"/>
      <c r="N456" s="1781"/>
      <c r="O456" s="1766"/>
      <c r="P456" s="1766"/>
      <c r="Q456" s="1766"/>
      <c r="R456" s="1766"/>
      <c r="S456" s="1696"/>
      <c r="T456" s="1696"/>
      <c r="U456" s="1772"/>
      <c r="V456" s="1696"/>
      <c r="W456" s="1772"/>
      <c r="X456" s="1696"/>
      <c r="Y456" s="1696"/>
      <c r="Z456" s="1696"/>
    </row>
    <row r="457">
      <c r="A457" s="1765"/>
      <c r="B457" s="1782"/>
      <c r="C457" s="1765"/>
      <c r="D457" s="1765"/>
      <c r="E457" s="1765"/>
      <c r="F457" s="1765"/>
      <c r="G457" s="1765"/>
      <c r="H457" s="1765"/>
      <c r="I457" s="1765"/>
      <c r="J457" s="1765"/>
      <c r="K457" s="1765"/>
      <c r="L457" s="1765"/>
      <c r="M457" s="1765"/>
      <c r="N457" s="1765"/>
      <c r="O457" s="1765"/>
      <c r="P457" s="1765"/>
      <c r="Q457" s="1766"/>
      <c r="R457" s="1766"/>
      <c r="S457" s="1696"/>
      <c r="T457" s="1696"/>
      <c r="U457" s="1772"/>
      <c r="V457" s="1696"/>
      <c r="W457" s="1772"/>
      <c r="X457" s="1696"/>
      <c r="Y457" s="1696"/>
      <c r="Z457" s="1696"/>
    </row>
    <row r="458">
      <c r="A458" s="1771"/>
      <c r="B458" s="1777"/>
      <c r="C458" s="1771"/>
      <c r="D458" s="1771"/>
      <c r="E458" s="1771"/>
      <c r="F458" s="1771"/>
      <c r="G458" s="1771"/>
      <c r="H458" s="1771"/>
      <c r="I458" s="1778"/>
      <c r="J458" s="1771"/>
      <c r="K458" s="1771"/>
      <c r="L458" s="1771"/>
      <c r="M458" s="1771"/>
      <c r="N458" s="1779"/>
      <c r="O458" s="1783"/>
      <c r="P458" s="1771"/>
      <c r="Q458" s="1773"/>
      <c r="R458" s="1773"/>
      <c r="S458" s="1773"/>
      <c r="T458" s="1773"/>
      <c r="U458" s="1773"/>
      <c r="V458" s="1773"/>
      <c r="W458" s="1773"/>
      <c r="X458" s="1773"/>
      <c r="Y458" s="1773"/>
      <c r="Z458" s="1773"/>
    </row>
    <row r="459">
      <c r="A459" s="1766"/>
      <c r="B459" s="1780"/>
      <c r="C459" s="1766"/>
      <c r="D459" s="1766"/>
      <c r="E459" s="1766"/>
      <c r="F459" s="1766"/>
      <c r="G459" s="1766"/>
      <c r="H459" s="1766"/>
      <c r="I459" s="1766"/>
      <c r="J459" s="1766"/>
      <c r="K459" s="1766"/>
      <c r="L459" s="1766"/>
      <c r="M459" s="1766"/>
      <c r="N459" s="1781"/>
      <c r="O459" s="1766"/>
      <c r="P459" s="1766"/>
      <c r="Q459" s="1766"/>
      <c r="R459" s="1766"/>
      <c r="S459" s="1696"/>
      <c r="T459" s="1696"/>
      <c r="U459" s="1772"/>
      <c r="V459" s="1696"/>
      <c r="W459" s="1772"/>
      <c r="X459" s="1696"/>
      <c r="Y459" s="1696"/>
      <c r="Z459" s="1696"/>
    </row>
    <row r="460">
      <c r="A460" s="1765"/>
      <c r="B460" s="1782"/>
      <c r="C460" s="1765"/>
      <c r="D460" s="1765"/>
      <c r="E460" s="1765"/>
      <c r="F460" s="1765"/>
      <c r="G460" s="1765"/>
      <c r="H460" s="1765"/>
      <c r="I460" s="1765"/>
      <c r="J460" s="1765"/>
      <c r="K460" s="1765"/>
      <c r="L460" s="1765"/>
      <c r="M460" s="1765"/>
      <c r="N460" s="1765"/>
      <c r="O460" s="1765"/>
      <c r="P460" s="1765"/>
      <c r="Q460" s="1766"/>
      <c r="R460" s="1766"/>
      <c r="S460" s="1696"/>
      <c r="T460" s="1696"/>
      <c r="U460" s="1772"/>
      <c r="V460" s="1696"/>
      <c r="W460" s="1772"/>
      <c r="X460" s="1696"/>
      <c r="Y460" s="1696"/>
      <c r="Z460" s="1773"/>
    </row>
    <row r="461">
      <c r="A461" s="1771"/>
      <c r="B461" s="1777"/>
      <c r="C461" s="1771"/>
      <c r="D461" s="1771"/>
      <c r="E461" s="1771"/>
      <c r="F461" s="1771"/>
      <c r="G461" s="1771"/>
      <c r="H461" s="1771"/>
      <c r="I461" s="1778"/>
      <c r="J461" s="1771"/>
      <c r="K461" s="1771"/>
      <c r="L461" s="1771"/>
      <c r="M461" s="1771"/>
      <c r="N461" s="1779"/>
      <c r="O461" s="1770"/>
      <c r="P461" s="1771"/>
      <c r="Q461" s="1766"/>
      <c r="R461" s="1766"/>
      <c r="S461" s="1696"/>
      <c r="T461" s="1696"/>
      <c r="U461" s="1772"/>
      <c r="V461" s="1696"/>
      <c r="W461" s="1772"/>
      <c r="X461" s="1696"/>
      <c r="Y461" s="1696"/>
      <c r="Z461" s="1696"/>
    </row>
    <row r="462">
      <c r="A462" s="1766"/>
      <c r="B462" s="1780"/>
      <c r="C462" s="1766"/>
      <c r="D462" s="1766"/>
      <c r="E462" s="1766"/>
      <c r="F462" s="1766"/>
      <c r="G462" s="1766"/>
      <c r="H462" s="1766"/>
      <c r="I462" s="1766"/>
      <c r="J462" s="1766"/>
      <c r="K462" s="1766"/>
      <c r="L462" s="1766"/>
      <c r="M462" s="1766"/>
      <c r="N462" s="1781"/>
      <c r="O462" s="1766"/>
      <c r="P462" s="1766"/>
      <c r="Q462" s="1766"/>
      <c r="R462" s="1766"/>
      <c r="S462" s="1696"/>
      <c r="U462" s="1772"/>
      <c r="V462" s="1696"/>
      <c r="W462" s="1772"/>
      <c r="X462" s="1696"/>
      <c r="Y462" s="1696"/>
      <c r="Z462" s="1773"/>
    </row>
    <row r="463">
      <c r="A463" s="1765"/>
      <c r="B463" s="1782"/>
      <c r="C463" s="1765"/>
      <c r="D463" s="1765"/>
      <c r="E463" s="1765"/>
      <c r="F463" s="1765"/>
      <c r="G463" s="1765"/>
      <c r="H463" s="1765"/>
      <c r="I463" s="1765"/>
      <c r="J463" s="1765"/>
      <c r="K463" s="1765"/>
      <c r="L463" s="1765"/>
      <c r="M463" s="1765"/>
      <c r="N463" s="1765"/>
      <c r="O463" s="1765"/>
      <c r="P463" s="1765"/>
      <c r="Q463" s="1766"/>
      <c r="R463" s="1766"/>
      <c r="S463" s="1696"/>
      <c r="T463" s="1696"/>
      <c r="U463" s="1772"/>
      <c r="V463" s="1696"/>
      <c r="W463" s="1772"/>
      <c r="X463" s="1696"/>
      <c r="Y463" s="1696"/>
      <c r="Z463" s="1773"/>
    </row>
    <row r="464">
      <c r="A464" s="1771"/>
      <c r="B464" s="1777"/>
      <c r="C464" s="1771"/>
      <c r="D464" s="1771"/>
      <c r="E464" s="1771"/>
      <c r="F464" s="1771"/>
      <c r="G464" s="1770"/>
      <c r="H464" s="1771"/>
      <c r="I464" s="1778"/>
      <c r="J464" s="1771"/>
      <c r="K464" s="1771"/>
      <c r="L464" s="1771"/>
      <c r="M464" s="1771"/>
      <c r="N464" s="1779"/>
      <c r="O464" s="1783"/>
      <c r="P464" s="1771"/>
      <c r="Q464" s="1773"/>
      <c r="R464" s="1773"/>
      <c r="S464" s="1773"/>
      <c r="T464" s="1773"/>
      <c r="U464" s="1773"/>
      <c r="V464" s="1773"/>
      <c r="W464" s="1773"/>
      <c r="X464" s="1773"/>
      <c r="Y464" s="1773"/>
      <c r="Z464" s="1773"/>
    </row>
    <row r="465">
      <c r="A465" s="1766"/>
      <c r="B465" s="1780"/>
      <c r="C465" s="1766"/>
      <c r="D465" s="1766"/>
      <c r="E465" s="1766"/>
      <c r="F465" s="1766"/>
      <c r="G465" s="1766"/>
      <c r="H465" s="1766"/>
      <c r="I465" s="1766"/>
      <c r="J465" s="1766"/>
      <c r="K465" s="1766"/>
      <c r="L465" s="1766"/>
      <c r="M465" s="1766"/>
      <c r="N465" s="1781"/>
      <c r="O465" s="1784"/>
      <c r="P465" s="1766"/>
      <c r="Q465" s="1773"/>
      <c r="R465" s="1773"/>
      <c r="S465" s="1773"/>
      <c r="T465" s="1773"/>
      <c r="U465" s="1773"/>
      <c r="V465" s="1773"/>
      <c r="W465" s="1773"/>
      <c r="X465" s="1773"/>
      <c r="Y465" s="1773"/>
      <c r="Z465" s="1773"/>
    </row>
    <row r="466">
      <c r="A466" s="1765"/>
      <c r="B466" s="1782"/>
      <c r="C466" s="1765"/>
      <c r="D466" s="1765"/>
      <c r="E466" s="1765"/>
      <c r="F466" s="1765"/>
      <c r="G466" s="1765"/>
      <c r="H466" s="1765"/>
      <c r="I466" s="1765"/>
      <c r="J466" s="1765"/>
      <c r="K466" s="1765"/>
      <c r="L466" s="1765"/>
      <c r="M466" s="1765"/>
      <c r="N466" s="1765"/>
      <c r="O466" s="1765"/>
      <c r="P466" s="1765"/>
      <c r="Q466" s="1766"/>
      <c r="R466" s="1766"/>
      <c r="S466" s="1696"/>
      <c r="U466" s="1772"/>
      <c r="V466" s="1696"/>
      <c r="W466" s="1772"/>
      <c r="X466" s="1696"/>
      <c r="Y466" s="1696"/>
      <c r="Z466" s="1773"/>
    </row>
    <row r="467">
      <c r="A467" s="1771"/>
      <c r="B467" s="1777"/>
      <c r="C467" s="1771"/>
      <c r="D467" s="1771"/>
      <c r="E467" s="1771"/>
      <c r="F467" s="1771"/>
      <c r="G467" s="1770"/>
      <c r="H467" s="1771"/>
      <c r="I467" s="1778"/>
      <c r="J467" s="1771"/>
      <c r="K467" s="1771"/>
      <c r="L467" s="1771"/>
      <c r="M467" s="1771"/>
      <c r="N467" s="1779"/>
      <c r="O467" s="1770"/>
      <c r="P467" s="1771"/>
      <c r="Q467" s="1766"/>
      <c r="R467" s="1766"/>
      <c r="S467" s="1696"/>
      <c r="T467" s="1696"/>
      <c r="U467" s="1772"/>
      <c r="V467" s="1696"/>
      <c r="W467" s="1772"/>
      <c r="X467" s="1696"/>
      <c r="Y467" s="1696"/>
      <c r="Z467" s="1696"/>
    </row>
    <row r="468">
      <c r="A468" s="1766"/>
      <c r="B468" s="1780"/>
      <c r="C468" s="1766"/>
      <c r="D468" s="1766"/>
      <c r="E468" s="1766"/>
      <c r="F468" s="1766"/>
      <c r="G468" s="1766"/>
      <c r="H468" s="1766"/>
      <c r="I468" s="1766"/>
      <c r="J468" s="1766"/>
      <c r="K468" s="1766"/>
      <c r="L468" s="1766"/>
      <c r="M468" s="1766"/>
      <c r="N468" s="1781"/>
      <c r="O468" s="1766"/>
      <c r="P468" s="1766"/>
      <c r="Q468" s="1766"/>
      <c r="R468" s="1766"/>
      <c r="S468" s="1696"/>
      <c r="T468" s="1696"/>
      <c r="U468" s="1772"/>
      <c r="V468" s="1696"/>
      <c r="W468" s="1772"/>
      <c r="X468" s="1696"/>
      <c r="Y468" s="1696"/>
      <c r="Z468" s="1696"/>
    </row>
    <row r="469">
      <c r="A469" s="1765"/>
      <c r="B469" s="1782"/>
      <c r="C469" s="1765"/>
      <c r="D469" s="1765"/>
      <c r="E469" s="1765"/>
      <c r="F469" s="1765"/>
      <c r="G469" s="1765"/>
      <c r="H469" s="1765"/>
      <c r="I469" s="1765"/>
      <c r="J469" s="1765"/>
      <c r="K469" s="1765"/>
      <c r="L469" s="1765"/>
      <c r="M469" s="1765"/>
      <c r="N469" s="1765"/>
      <c r="O469" s="1765"/>
      <c r="P469" s="1765"/>
      <c r="Q469" s="1766"/>
      <c r="R469" s="1766"/>
      <c r="S469" s="1696"/>
      <c r="U469" s="1772"/>
      <c r="V469" s="1696"/>
      <c r="W469" s="1772"/>
      <c r="X469" s="1696"/>
      <c r="Y469" s="1696"/>
      <c r="Z469" s="1773"/>
    </row>
    <row r="470">
      <c r="A470" s="1771"/>
      <c r="B470" s="1777"/>
      <c r="C470" s="1771"/>
      <c r="D470" s="1771"/>
      <c r="E470" s="1771"/>
      <c r="F470" s="1771"/>
      <c r="G470" s="1770"/>
      <c r="H470" s="1771"/>
      <c r="I470" s="1778"/>
      <c r="J470" s="1771"/>
      <c r="K470" s="1771"/>
      <c r="L470" s="1771"/>
      <c r="M470" s="1771"/>
      <c r="N470" s="1779"/>
      <c r="O470" s="1770"/>
      <c r="P470" s="1771"/>
      <c r="Q470" s="1766"/>
      <c r="R470" s="1766"/>
      <c r="S470" s="1696"/>
      <c r="U470" s="1772"/>
      <c r="V470" s="1696"/>
      <c r="W470" s="1772"/>
      <c r="X470" s="1696"/>
      <c r="Y470" s="1696"/>
      <c r="Z470" s="1773"/>
    </row>
    <row r="471">
      <c r="A471" s="1766"/>
      <c r="B471" s="1780"/>
      <c r="C471" s="1766"/>
      <c r="D471" s="1766"/>
      <c r="E471" s="1766"/>
      <c r="F471" s="1766"/>
      <c r="G471" s="1766"/>
      <c r="H471" s="1766"/>
      <c r="I471" s="1766"/>
      <c r="J471" s="1766"/>
      <c r="K471" s="1766"/>
      <c r="L471" s="1766"/>
      <c r="M471" s="1766"/>
      <c r="N471" s="1781"/>
      <c r="O471" s="1766"/>
      <c r="P471" s="1766"/>
      <c r="Q471" s="1766"/>
      <c r="R471" s="1766"/>
      <c r="S471" s="1696"/>
      <c r="U471" s="1772"/>
      <c r="V471" s="1696"/>
      <c r="W471" s="1772"/>
      <c r="X471" s="1696"/>
      <c r="Y471" s="1696"/>
      <c r="Z471" s="1773"/>
    </row>
    <row r="472">
      <c r="A472" s="1765"/>
      <c r="B472" s="1782"/>
      <c r="C472" s="1765"/>
      <c r="D472" s="1765"/>
      <c r="E472" s="1765"/>
      <c r="F472" s="1765"/>
      <c r="G472" s="1765"/>
      <c r="H472" s="1765"/>
      <c r="I472" s="1765"/>
      <c r="J472" s="1765"/>
      <c r="K472" s="1765"/>
      <c r="L472" s="1765"/>
      <c r="M472" s="1765"/>
      <c r="N472" s="1765"/>
      <c r="O472" s="1765"/>
      <c r="P472" s="1765"/>
      <c r="Q472" s="1766"/>
      <c r="R472" s="1766"/>
      <c r="S472" s="1696"/>
      <c r="U472" s="1772"/>
      <c r="V472" s="1696"/>
      <c r="W472" s="1772"/>
      <c r="X472" s="1696"/>
      <c r="Y472" s="1696"/>
      <c r="Z472" s="1773"/>
    </row>
    <row r="473">
      <c r="A473" s="1771"/>
      <c r="B473" s="1777"/>
      <c r="C473" s="1771"/>
      <c r="D473" s="1771"/>
      <c r="E473" s="1771"/>
      <c r="F473" s="1771"/>
      <c r="G473" s="1770"/>
      <c r="H473" s="1771"/>
      <c r="I473" s="1778"/>
      <c r="J473" s="1771"/>
      <c r="K473" s="1771"/>
      <c r="L473" s="1771"/>
      <c r="M473" s="1771"/>
      <c r="N473" s="1770"/>
      <c r="O473" s="1770"/>
      <c r="P473" s="1771"/>
      <c r="Q473" s="1766"/>
      <c r="R473" s="1766"/>
      <c r="S473" s="1696"/>
      <c r="U473" s="1772"/>
      <c r="V473" s="1696"/>
      <c r="W473" s="1772"/>
      <c r="X473" s="1696"/>
      <c r="Y473" s="1696"/>
      <c r="Z473" s="1773"/>
    </row>
    <row r="474">
      <c r="A474" s="1766"/>
      <c r="B474" s="1780"/>
      <c r="C474" s="1766"/>
      <c r="D474" s="1766"/>
      <c r="E474" s="1766"/>
      <c r="F474" s="1766"/>
      <c r="G474" s="1766"/>
      <c r="H474" s="1766"/>
      <c r="I474" s="1766"/>
      <c r="J474" s="1766"/>
      <c r="K474" s="1766"/>
      <c r="L474" s="1766"/>
      <c r="M474" s="1766"/>
      <c r="N474" s="1781"/>
      <c r="O474" s="1766"/>
      <c r="P474" s="1766"/>
      <c r="Q474" s="1766"/>
      <c r="R474" s="1766"/>
      <c r="S474" s="1696"/>
      <c r="U474" s="1772"/>
      <c r="V474" s="1696"/>
      <c r="W474" s="1772"/>
      <c r="X474" s="1696"/>
      <c r="Y474" s="1696"/>
      <c r="Z474" s="1696"/>
    </row>
    <row r="475">
      <c r="A475" s="1765"/>
      <c r="B475" s="1782"/>
      <c r="C475" s="1765"/>
      <c r="D475" s="1765"/>
      <c r="E475" s="1765"/>
      <c r="F475" s="1765"/>
      <c r="G475" s="1765"/>
      <c r="H475" s="1765"/>
      <c r="I475" s="1765"/>
      <c r="J475" s="1765"/>
      <c r="K475" s="1765"/>
      <c r="L475" s="1765"/>
      <c r="M475" s="1765"/>
      <c r="N475" s="1765"/>
      <c r="O475" s="1765"/>
      <c r="P475" s="1765"/>
      <c r="Q475" s="1766"/>
      <c r="R475" s="1766"/>
      <c r="S475" s="1696"/>
      <c r="U475" s="1772"/>
      <c r="V475" s="1696"/>
      <c r="W475" s="1772"/>
      <c r="X475" s="1696"/>
      <c r="Y475" s="1696"/>
      <c r="Z475" s="1696"/>
    </row>
    <row r="476">
      <c r="A476" s="1771"/>
      <c r="B476" s="1777"/>
      <c r="C476" s="1771"/>
      <c r="D476" s="1771"/>
      <c r="E476" s="1771"/>
      <c r="F476" s="1771"/>
      <c r="G476" s="1771"/>
      <c r="H476" s="1771"/>
      <c r="I476" s="1778"/>
      <c r="J476" s="1771"/>
      <c r="K476" s="1771"/>
      <c r="L476" s="1771"/>
      <c r="M476" s="1771"/>
      <c r="N476" s="1779"/>
      <c r="O476" s="1770"/>
      <c r="P476" s="1771"/>
      <c r="Q476" s="1766"/>
      <c r="R476" s="1766"/>
      <c r="S476" s="1696"/>
      <c r="T476" s="1696"/>
      <c r="U476" s="1772"/>
      <c r="V476" s="1696"/>
      <c r="W476" s="1772"/>
      <c r="X476" s="1696"/>
      <c r="Y476" s="1696"/>
      <c r="Z476" s="1696"/>
    </row>
    <row r="477">
      <c r="A477" s="1766"/>
      <c r="B477" s="1780"/>
      <c r="C477" s="1766"/>
      <c r="D477" s="1766"/>
      <c r="E477" s="1766"/>
      <c r="F477" s="1766"/>
      <c r="G477" s="1766"/>
      <c r="H477" s="1766"/>
      <c r="I477" s="1766"/>
      <c r="J477" s="1766"/>
      <c r="K477" s="1766"/>
      <c r="L477" s="1766"/>
      <c r="M477" s="1766"/>
      <c r="N477" s="1781"/>
      <c r="O477" s="1766"/>
      <c r="P477" s="1766"/>
      <c r="Q477" s="1766"/>
      <c r="R477" s="1766"/>
      <c r="S477" s="1696"/>
      <c r="U477" s="1772"/>
      <c r="V477" s="1696"/>
      <c r="W477" s="1772"/>
      <c r="X477" s="1696"/>
      <c r="Y477" s="1696"/>
      <c r="Z477" s="1773"/>
    </row>
    <row r="478">
      <c r="A478" s="1765"/>
      <c r="B478" s="1782"/>
      <c r="C478" s="1765"/>
      <c r="D478" s="1765"/>
      <c r="E478" s="1765"/>
      <c r="F478" s="1765"/>
      <c r="G478" s="1765"/>
      <c r="H478" s="1765"/>
      <c r="I478" s="1765"/>
      <c r="J478" s="1765"/>
      <c r="K478" s="1765"/>
      <c r="L478" s="1765"/>
      <c r="M478" s="1765"/>
      <c r="N478" s="1765"/>
      <c r="O478" s="1765"/>
      <c r="P478" s="1765"/>
      <c r="Q478" s="1766"/>
      <c r="R478" s="1766"/>
      <c r="S478" s="1696"/>
      <c r="U478" s="1772"/>
      <c r="V478" s="1696"/>
      <c r="W478" s="1772"/>
      <c r="X478" s="1696"/>
      <c r="Y478" s="1696"/>
      <c r="Z478" s="1773"/>
    </row>
    <row r="479">
      <c r="A479" s="1771"/>
      <c r="B479" s="1777"/>
      <c r="C479" s="1771"/>
      <c r="D479" s="1771"/>
      <c r="E479" s="1771"/>
      <c r="F479" s="1771"/>
      <c r="G479" s="1770"/>
      <c r="H479" s="1771"/>
      <c r="I479" s="1778"/>
      <c r="J479" s="1771"/>
      <c r="K479" s="1771"/>
      <c r="L479" s="1771"/>
      <c r="M479" s="1771"/>
      <c r="N479" s="1779"/>
      <c r="O479" s="1770"/>
      <c r="P479" s="1771"/>
      <c r="Q479" s="1766"/>
      <c r="R479" s="1766"/>
      <c r="S479" s="1696"/>
      <c r="U479" s="1772"/>
      <c r="V479" s="1696"/>
      <c r="W479" s="1772"/>
      <c r="X479" s="1696"/>
      <c r="Y479" s="1696"/>
      <c r="Z479" s="1773"/>
    </row>
    <row r="480">
      <c r="A480" s="1766"/>
      <c r="B480" s="1780"/>
      <c r="C480" s="1766"/>
      <c r="D480" s="1766"/>
      <c r="E480" s="1766"/>
      <c r="F480" s="1766"/>
      <c r="G480" s="1766"/>
      <c r="H480" s="1766"/>
      <c r="I480" s="1766"/>
      <c r="J480" s="1766"/>
      <c r="K480" s="1766"/>
      <c r="L480" s="1766"/>
      <c r="M480" s="1766"/>
      <c r="N480" s="1766"/>
      <c r="O480" s="1766"/>
      <c r="P480" s="1766"/>
      <c r="Q480" s="1766"/>
      <c r="R480" s="1766"/>
      <c r="S480" s="1696"/>
      <c r="T480" s="1696"/>
      <c r="U480" s="1772"/>
      <c r="V480" s="1696"/>
      <c r="W480" s="1772"/>
      <c r="X480" s="1696"/>
      <c r="Y480" s="1696"/>
      <c r="Z480" s="1696"/>
    </row>
    <row r="481">
      <c r="A481" s="1765"/>
      <c r="B481" s="1782"/>
      <c r="C481" s="1765"/>
      <c r="D481" s="1765"/>
      <c r="E481" s="1765"/>
      <c r="F481" s="1765"/>
      <c r="G481" s="1765"/>
      <c r="H481" s="1765"/>
      <c r="I481" s="1765"/>
      <c r="J481" s="1765"/>
      <c r="K481" s="1765"/>
      <c r="L481" s="1765"/>
      <c r="M481" s="1765"/>
      <c r="N481" s="1765"/>
      <c r="O481" s="1765"/>
      <c r="P481" s="1765"/>
      <c r="Q481" s="1766"/>
      <c r="R481" s="1766"/>
      <c r="S481" s="1696"/>
      <c r="U481" s="1772"/>
      <c r="V481" s="1696"/>
      <c r="W481" s="1772"/>
      <c r="X481" s="1696"/>
      <c r="Y481" s="1696"/>
      <c r="Z481" s="1696"/>
    </row>
    <row r="482">
      <c r="A482" s="1771"/>
      <c r="B482" s="1777"/>
      <c r="C482" s="1771"/>
      <c r="D482" s="1771"/>
      <c r="E482" s="1771"/>
      <c r="F482" s="1771"/>
      <c r="G482" s="1770"/>
      <c r="H482" s="1771"/>
      <c r="I482" s="1770"/>
      <c r="J482" s="1771"/>
      <c r="K482" s="1771"/>
      <c r="L482" s="1771"/>
      <c r="M482" s="1771"/>
      <c r="N482" s="1770"/>
      <c r="O482" s="1770"/>
      <c r="P482" s="1771"/>
      <c r="Q482" s="1766"/>
      <c r="R482" s="1766"/>
      <c r="S482" s="1696"/>
      <c r="U482" s="1772"/>
      <c r="V482" s="1696"/>
      <c r="W482" s="1772"/>
      <c r="X482" s="1696"/>
      <c r="Y482" s="1696"/>
      <c r="Z482" s="1696"/>
    </row>
    <row r="483">
      <c r="A483" s="1766"/>
      <c r="B483" s="1780"/>
      <c r="C483" s="1766"/>
      <c r="D483" s="1766"/>
      <c r="E483" s="1766"/>
      <c r="F483" s="1766"/>
      <c r="G483" s="1766"/>
      <c r="H483" s="1766"/>
      <c r="I483" s="1766"/>
      <c r="J483" s="1766"/>
      <c r="K483" s="1766"/>
      <c r="L483" s="1766"/>
      <c r="M483" s="1766"/>
      <c r="N483" s="1766"/>
      <c r="O483" s="1766"/>
      <c r="P483" s="1766"/>
      <c r="Q483" s="1766"/>
      <c r="R483" s="1766"/>
      <c r="S483" s="1696"/>
      <c r="U483" s="1772"/>
      <c r="V483" s="1696"/>
      <c r="W483" s="1772"/>
      <c r="X483" s="1696"/>
      <c r="Y483" s="1696"/>
      <c r="Z483" s="1696"/>
    </row>
    <row r="484">
      <c r="A484" s="1765"/>
      <c r="B484" s="1782"/>
      <c r="C484" s="1765"/>
      <c r="D484" s="1765"/>
      <c r="E484" s="1765"/>
      <c r="F484" s="1765"/>
      <c r="G484" s="1765"/>
      <c r="H484" s="1765"/>
      <c r="I484" s="1765"/>
      <c r="J484" s="1765"/>
      <c r="K484" s="1765"/>
      <c r="L484" s="1765"/>
      <c r="M484" s="1765"/>
      <c r="N484" s="1765"/>
      <c r="O484" s="1765"/>
      <c r="P484" s="1765"/>
      <c r="Q484" s="1766"/>
      <c r="R484" s="1766"/>
      <c r="S484" s="1696"/>
      <c r="T484" s="1696"/>
      <c r="U484" s="1772"/>
      <c r="V484" s="1696"/>
      <c r="W484" s="1772"/>
      <c r="X484" s="1696"/>
      <c r="Y484" s="1696"/>
      <c r="Z484" s="1696"/>
    </row>
    <row r="485">
      <c r="A485" s="1771"/>
      <c r="B485" s="1777"/>
      <c r="C485" s="1771"/>
      <c r="D485" s="1771"/>
      <c r="E485" s="1771"/>
      <c r="F485" s="1771"/>
      <c r="G485" s="1771"/>
      <c r="H485" s="1771"/>
      <c r="I485" s="1778"/>
      <c r="J485" s="1771"/>
      <c r="K485" s="1771"/>
      <c r="L485" s="1771"/>
      <c r="M485" s="1771"/>
      <c r="N485" s="1779"/>
      <c r="O485" s="1770"/>
      <c r="P485" s="1771"/>
      <c r="Q485" s="1766"/>
      <c r="R485" s="1766"/>
      <c r="S485" s="1696"/>
      <c r="T485" s="1696"/>
      <c r="U485" s="1772"/>
      <c r="V485" s="1696"/>
      <c r="W485" s="1772"/>
      <c r="X485" s="1696"/>
      <c r="Y485" s="1696"/>
      <c r="Z485" s="1773"/>
    </row>
    <row r="486">
      <c r="A486" s="1766"/>
      <c r="B486" s="1780"/>
      <c r="C486" s="1766"/>
      <c r="D486" s="1766"/>
      <c r="E486" s="1766"/>
      <c r="F486" s="1766"/>
      <c r="G486" s="1766"/>
      <c r="H486" s="1766"/>
      <c r="I486" s="1766"/>
      <c r="J486" s="1766"/>
      <c r="K486" s="1766"/>
      <c r="L486" s="1766"/>
      <c r="M486" s="1766"/>
      <c r="N486" s="1781"/>
      <c r="O486" s="1766"/>
      <c r="P486" s="1766"/>
      <c r="Q486" s="1766"/>
      <c r="R486" s="1766"/>
      <c r="S486" s="1696"/>
      <c r="U486" s="1772"/>
      <c r="V486" s="1696"/>
      <c r="W486" s="1772"/>
      <c r="X486" s="1696"/>
      <c r="Y486" s="1696"/>
      <c r="Z486" s="1773"/>
    </row>
    <row r="487">
      <c r="A487" s="1765"/>
      <c r="B487" s="1782"/>
      <c r="C487" s="1765"/>
      <c r="D487" s="1765"/>
      <c r="E487" s="1765"/>
      <c r="F487" s="1765"/>
      <c r="G487" s="1765"/>
      <c r="H487" s="1765"/>
      <c r="I487" s="1765"/>
      <c r="J487" s="1765"/>
      <c r="K487" s="1765"/>
      <c r="L487" s="1765"/>
      <c r="M487" s="1765"/>
      <c r="N487" s="1765"/>
      <c r="O487" s="1765"/>
      <c r="P487" s="1765"/>
      <c r="Q487" s="1766"/>
      <c r="R487" s="1766"/>
      <c r="S487" s="1696"/>
      <c r="T487" s="1696"/>
      <c r="U487" s="1772"/>
      <c r="V487" s="1696"/>
      <c r="W487" s="1772"/>
      <c r="X487" s="1696"/>
      <c r="Y487" s="1696"/>
      <c r="Z487" s="1773"/>
    </row>
    <row r="488">
      <c r="A488" s="1771"/>
      <c r="B488" s="1777"/>
      <c r="C488" s="1771"/>
      <c r="D488" s="1771"/>
      <c r="E488" s="1771"/>
      <c r="F488" s="1771"/>
      <c r="G488" s="1770"/>
      <c r="H488" s="1771"/>
      <c r="I488" s="1778"/>
      <c r="J488" s="1771"/>
      <c r="K488" s="1771"/>
      <c r="L488" s="1771"/>
      <c r="M488" s="1771"/>
      <c r="N488" s="1779"/>
      <c r="O488" s="1770"/>
      <c r="P488" s="1771"/>
      <c r="Q488" s="1766"/>
      <c r="R488" s="1766"/>
      <c r="S488" s="1696"/>
      <c r="T488" s="1696"/>
      <c r="U488" s="1772"/>
      <c r="V488" s="1696"/>
      <c r="W488" s="1772"/>
      <c r="X488" s="1696"/>
      <c r="Y488" s="1696"/>
      <c r="Z488" s="1773"/>
    </row>
    <row r="489">
      <c r="A489" s="1766"/>
      <c r="B489" s="1780"/>
      <c r="C489" s="1766"/>
      <c r="D489" s="1766"/>
      <c r="E489" s="1766"/>
      <c r="F489" s="1766"/>
      <c r="G489" s="1766"/>
      <c r="H489" s="1766"/>
      <c r="I489" s="1766"/>
      <c r="J489" s="1766"/>
      <c r="K489" s="1766"/>
      <c r="L489" s="1766"/>
      <c r="M489" s="1766"/>
      <c r="N489" s="1781"/>
      <c r="O489" s="1766"/>
      <c r="P489" s="1766"/>
      <c r="Q489" s="1766"/>
      <c r="R489" s="1766"/>
      <c r="S489" s="1696"/>
      <c r="T489" s="1696"/>
      <c r="U489" s="1772"/>
      <c r="V489" s="1696"/>
      <c r="W489" s="1772"/>
      <c r="X489" s="1696"/>
      <c r="Y489" s="1696"/>
      <c r="Z489" s="1696"/>
    </row>
    <row r="490">
      <c r="A490" s="1765"/>
      <c r="B490" s="1782"/>
      <c r="C490" s="1765"/>
      <c r="D490" s="1765"/>
      <c r="E490" s="1765"/>
      <c r="F490" s="1765"/>
      <c r="G490" s="1765"/>
      <c r="H490" s="1765"/>
      <c r="I490" s="1765"/>
      <c r="J490" s="1765"/>
      <c r="K490" s="1765"/>
      <c r="L490" s="1765"/>
      <c r="M490" s="1765"/>
      <c r="N490" s="1765"/>
      <c r="O490" s="1765"/>
      <c r="P490" s="1765"/>
      <c r="Q490" s="1766"/>
      <c r="R490" s="1766"/>
      <c r="S490" s="1696"/>
      <c r="T490" s="1696"/>
      <c r="U490" s="1772"/>
      <c r="V490" s="1696"/>
      <c r="W490" s="1772"/>
      <c r="X490" s="1696"/>
      <c r="Y490" s="1696"/>
      <c r="Z490" s="1773"/>
    </row>
    <row r="491">
      <c r="A491" s="1771"/>
      <c r="B491" s="1777"/>
      <c r="C491" s="1771"/>
      <c r="D491" s="1771"/>
      <c r="E491" s="1771"/>
      <c r="F491" s="1771"/>
      <c r="G491" s="1771"/>
      <c r="H491" s="1771"/>
      <c r="I491" s="1778"/>
      <c r="J491" s="1771"/>
      <c r="K491" s="1771"/>
      <c r="L491" s="1771"/>
      <c r="M491" s="1771"/>
      <c r="N491" s="1779"/>
      <c r="O491" s="1770"/>
      <c r="P491" s="1771"/>
      <c r="Q491" s="1766"/>
      <c r="R491" s="1766"/>
      <c r="S491" s="1696"/>
      <c r="T491" s="1696"/>
      <c r="U491" s="1772"/>
      <c r="V491" s="1696"/>
      <c r="W491" s="1772"/>
      <c r="X491" s="1696"/>
      <c r="Y491" s="1696"/>
      <c r="Z491" s="1773"/>
    </row>
    <row r="492">
      <c r="A492" s="1766"/>
      <c r="B492" s="1780"/>
      <c r="C492" s="1766"/>
      <c r="D492" s="1766"/>
      <c r="E492" s="1766"/>
      <c r="F492" s="1766"/>
      <c r="G492" s="1766"/>
      <c r="H492" s="1766"/>
      <c r="I492" s="1766"/>
      <c r="J492" s="1766"/>
      <c r="K492" s="1766"/>
      <c r="L492" s="1766"/>
      <c r="M492" s="1766"/>
      <c r="N492" s="1781"/>
      <c r="O492" s="1766"/>
      <c r="P492" s="1766"/>
      <c r="Q492" s="1766"/>
      <c r="R492" s="1766"/>
      <c r="S492" s="1696"/>
      <c r="T492" s="1696"/>
      <c r="U492" s="1772"/>
      <c r="V492" s="1696"/>
      <c r="W492" s="1772"/>
      <c r="X492" s="1696"/>
      <c r="Y492" s="1696"/>
      <c r="Z492" s="1773"/>
    </row>
    <row r="493">
      <c r="A493" s="1765"/>
      <c r="B493" s="1782"/>
      <c r="C493" s="1765"/>
      <c r="D493" s="1765"/>
      <c r="E493" s="1765"/>
      <c r="F493" s="1765"/>
      <c r="G493" s="1765"/>
      <c r="H493" s="1765"/>
      <c r="I493" s="1765"/>
      <c r="J493" s="1765"/>
      <c r="K493" s="1765"/>
      <c r="L493" s="1765"/>
      <c r="M493" s="1765"/>
      <c r="N493" s="1765"/>
      <c r="O493" s="1765"/>
      <c r="P493" s="1765"/>
      <c r="Q493" s="1766"/>
      <c r="R493" s="1766"/>
      <c r="S493" s="1696"/>
      <c r="T493" s="1696"/>
      <c r="U493" s="1772"/>
      <c r="V493" s="1696"/>
      <c r="W493" s="1772"/>
      <c r="X493" s="1696"/>
      <c r="Y493" s="1696"/>
      <c r="Z493" s="1773"/>
    </row>
    <row r="494">
      <c r="A494" s="1771"/>
      <c r="B494" s="1777"/>
      <c r="C494" s="1771"/>
      <c r="D494" s="1771"/>
      <c r="E494" s="1771"/>
      <c r="F494" s="1771"/>
      <c r="G494" s="1771"/>
      <c r="H494" s="1771"/>
      <c r="I494" s="1778"/>
      <c r="J494" s="1771"/>
      <c r="K494" s="1771"/>
      <c r="L494" s="1771"/>
      <c r="M494" s="1771"/>
      <c r="N494" s="1779"/>
      <c r="O494" s="1770"/>
      <c r="P494" s="1771"/>
      <c r="Q494" s="1766"/>
      <c r="R494" s="1766"/>
      <c r="S494" s="1696"/>
      <c r="T494" s="1696"/>
      <c r="U494" s="1772"/>
      <c r="V494" s="1696"/>
      <c r="W494" s="1772"/>
      <c r="X494" s="1696"/>
      <c r="Y494" s="1696"/>
      <c r="Z494" s="1696"/>
    </row>
    <row r="495">
      <c r="A495" s="1766"/>
      <c r="B495" s="1780"/>
      <c r="C495" s="1766"/>
      <c r="D495" s="1766"/>
      <c r="E495" s="1766"/>
      <c r="F495" s="1766"/>
      <c r="G495" s="1766"/>
      <c r="H495" s="1766"/>
      <c r="I495" s="1766"/>
      <c r="J495" s="1766"/>
      <c r="K495" s="1766"/>
      <c r="L495" s="1766"/>
      <c r="M495" s="1766"/>
      <c r="N495" s="1781"/>
      <c r="O495" s="1766"/>
      <c r="P495" s="1766"/>
      <c r="Q495" s="1766"/>
      <c r="R495" s="1766"/>
      <c r="S495" s="1696"/>
      <c r="T495" s="1696"/>
      <c r="U495" s="1772"/>
      <c r="V495" s="1696"/>
      <c r="W495" s="1772"/>
      <c r="X495" s="1696"/>
      <c r="Y495" s="1696"/>
      <c r="Z495" s="1696"/>
    </row>
    <row r="496">
      <c r="A496" s="1765"/>
      <c r="B496" s="1782"/>
      <c r="C496" s="1765"/>
      <c r="D496" s="1765"/>
      <c r="E496" s="1765"/>
      <c r="F496" s="1765"/>
      <c r="G496" s="1765"/>
      <c r="H496" s="1765"/>
      <c r="I496" s="1765"/>
      <c r="J496" s="1765"/>
      <c r="K496" s="1765"/>
      <c r="L496" s="1765"/>
      <c r="M496" s="1765"/>
      <c r="N496" s="1765"/>
      <c r="O496" s="1765"/>
      <c r="P496" s="1765"/>
      <c r="Q496" s="1766"/>
      <c r="R496" s="1766"/>
      <c r="S496" s="1696"/>
      <c r="T496" s="1696"/>
      <c r="U496" s="1772"/>
      <c r="V496" s="1696"/>
      <c r="W496" s="1772"/>
      <c r="X496" s="1696"/>
      <c r="Y496" s="1696"/>
      <c r="Z496" s="1696"/>
    </row>
    <row r="497">
      <c r="A497" s="1771"/>
      <c r="B497" s="1777"/>
      <c r="C497" s="1771"/>
      <c r="D497" s="1771"/>
      <c r="E497" s="1771"/>
      <c r="F497" s="1771"/>
      <c r="G497" s="1771"/>
      <c r="H497" s="1771"/>
      <c r="I497" s="1778"/>
      <c r="J497" s="1771"/>
      <c r="K497" s="1771"/>
      <c r="L497" s="1771"/>
      <c r="M497" s="1771"/>
      <c r="N497" s="1779"/>
      <c r="O497" s="1770"/>
      <c r="P497" s="1771"/>
      <c r="Q497" s="1766"/>
      <c r="R497" s="1766"/>
      <c r="S497" s="1696"/>
      <c r="U497" s="1772"/>
      <c r="V497" s="1696"/>
      <c r="W497" s="1772"/>
      <c r="X497" s="1696"/>
      <c r="Y497" s="1696"/>
      <c r="Z497" s="1773"/>
    </row>
    <row r="498">
      <c r="A498" s="1766"/>
      <c r="B498" s="1780"/>
      <c r="C498" s="1766"/>
      <c r="D498" s="1766"/>
      <c r="E498" s="1766"/>
      <c r="F498" s="1766"/>
      <c r="G498" s="1766"/>
      <c r="H498" s="1766"/>
      <c r="I498" s="1766"/>
      <c r="J498" s="1766"/>
      <c r="K498" s="1766"/>
      <c r="L498" s="1766"/>
      <c r="M498" s="1766"/>
      <c r="N498" s="1781"/>
      <c r="O498" s="1766"/>
      <c r="P498" s="1766"/>
      <c r="Q498" s="1766"/>
      <c r="R498" s="1766"/>
      <c r="S498" s="1696"/>
      <c r="T498" s="1696"/>
      <c r="U498" s="1772"/>
      <c r="V498" s="1696"/>
      <c r="W498" s="1772"/>
      <c r="X498" s="1696"/>
      <c r="Y498" s="1696"/>
      <c r="Z498" s="1773"/>
    </row>
    <row r="499">
      <c r="A499" s="1765"/>
      <c r="B499" s="1782"/>
      <c r="C499" s="1765"/>
      <c r="D499" s="1765"/>
      <c r="E499" s="1765"/>
      <c r="F499" s="1765"/>
      <c r="G499" s="1765"/>
      <c r="H499" s="1765"/>
      <c r="I499" s="1765"/>
      <c r="J499" s="1765"/>
      <c r="K499" s="1765"/>
      <c r="L499" s="1765"/>
      <c r="M499" s="1765"/>
      <c r="N499" s="1765"/>
      <c r="O499" s="1765"/>
      <c r="P499" s="1765"/>
      <c r="Q499" s="1766"/>
      <c r="R499" s="1766"/>
      <c r="S499" s="1696"/>
      <c r="T499" s="1696"/>
      <c r="U499" s="1772"/>
      <c r="V499" s="1696"/>
      <c r="W499" s="1772"/>
      <c r="X499" s="1696"/>
      <c r="Y499" s="1696"/>
      <c r="Z499" s="1773"/>
    </row>
    <row r="500">
      <c r="A500" s="1771"/>
      <c r="B500" s="1777"/>
      <c r="C500" s="1771"/>
      <c r="D500" s="1771"/>
      <c r="E500" s="1771"/>
      <c r="F500" s="1771"/>
      <c r="G500" s="1771"/>
      <c r="H500" s="1771"/>
      <c r="I500" s="1778"/>
      <c r="J500" s="1771"/>
      <c r="K500" s="1771"/>
      <c r="L500" s="1771"/>
      <c r="M500" s="1771"/>
      <c r="N500" s="1779"/>
      <c r="O500" s="1770"/>
      <c r="P500" s="1771"/>
      <c r="Q500" s="1766"/>
      <c r="R500" s="1766"/>
      <c r="S500" s="1696"/>
      <c r="T500" s="1696"/>
      <c r="U500" s="1772"/>
      <c r="V500" s="1696"/>
      <c r="W500" s="1772"/>
      <c r="X500" s="1696"/>
      <c r="Y500" s="1696"/>
      <c r="Z500" s="1773"/>
    </row>
    <row r="501">
      <c r="A501" s="1766"/>
      <c r="B501" s="1780"/>
      <c r="C501" s="1766"/>
      <c r="D501" s="1766"/>
      <c r="E501" s="1766"/>
      <c r="F501" s="1766"/>
      <c r="G501" s="1766"/>
      <c r="H501" s="1766"/>
      <c r="I501" s="1766"/>
      <c r="J501" s="1766"/>
      <c r="K501" s="1766"/>
      <c r="L501" s="1766"/>
      <c r="M501" s="1766"/>
      <c r="N501" s="1781"/>
      <c r="O501" s="1766"/>
      <c r="P501" s="1766"/>
      <c r="Q501" s="1766"/>
      <c r="R501" s="1766"/>
      <c r="S501" s="1696"/>
      <c r="T501" s="1696"/>
      <c r="U501" s="1772"/>
      <c r="V501" s="1696"/>
      <c r="W501" s="1772"/>
      <c r="X501" s="1696"/>
      <c r="Y501" s="1696"/>
      <c r="Z501" s="1773"/>
    </row>
    <row r="502">
      <c r="A502" s="1765"/>
      <c r="B502" s="1782"/>
      <c r="C502" s="1765"/>
      <c r="D502" s="1765"/>
      <c r="E502" s="1765"/>
      <c r="F502" s="1765"/>
      <c r="G502" s="1765"/>
      <c r="H502" s="1765"/>
      <c r="I502" s="1765"/>
      <c r="J502" s="1765"/>
      <c r="K502" s="1765"/>
      <c r="L502" s="1765"/>
      <c r="M502" s="1765"/>
      <c r="N502" s="1765"/>
      <c r="O502" s="1765"/>
      <c r="P502" s="1765"/>
      <c r="Q502" s="1766"/>
      <c r="R502" s="1766"/>
      <c r="S502" s="1696"/>
      <c r="T502" s="1696"/>
      <c r="U502" s="1772"/>
      <c r="V502" s="1696"/>
      <c r="W502" s="1772"/>
      <c r="X502" s="1696"/>
      <c r="Y502" s="1696"/>
      <c r="Z502" s="1696"/>
    </row>
    <row r="503">
      <c r="A503" s="1771"/>
      <c r="B503" s="1777"/>
      <c r="C503" s="1771"/>
      <c r="D503" s="1771"/>
      <c r="E503" s="1771"/>
      <c r="F503" s="1771"/>
      <c r="G503" s="1770"/>
      <c r="H503" s="1771"/>
      <c r="I503" s="1778"/>
      <c r="J503" s="1771"/>
      <c r="K503" s="1771"/>
      <c r="L503" s="1771"/>
      <c r="M503" s="1771"/>
      <c r="N503" s="1779"/>
      <c r="O503" s="1770"/>
      <c r="P503" s="1771"/>
      <c r="Q503" s="1766"/>
      <c r="R503" s="1766"/>
      <c r="S503" s="1696"/>
      <c r="U503" s="1772"/>
      <c r="V503" s="1696"/>
      <c r="W503" s="1772"/>
      <c r="X503" s="1696"/>
      <c r="Y503" s="1696"/>
      <c r="Z503" s="1696"/>
    </row>
    <row r="504">
      <c r="A504" s="1766"/>
      <c r="B504" s="1780"/>
      <c r="C504" s="1766"/>
      <c r="D504" s="1766"/>
      <c r="E504" s="1766"/>
      <c r="F504" s="1766"/>
      <c r="G504" s="1766"/>
      <c r="H504" s="1766"/>
      <c r="I504" s="1766"/>
      <c r="J504" s="1766"/>
      <c r="K504" s="1766"/>
      <c r="L504" s="1766"/>
      <c r="M504" s="1766"/>
      <c r="N504" s="1781"/>
      <c r="O504" s="1766"/>
      <c r="P504" s="1766"/>
      <c r="Q504" s="1766"/>
      <c r="R504" s="1766"/>
      <c r="S504" s="1696"/>
      <c r="T504" s="1696"/>
      <c r="U504" s="1772"/>
      <c r="V504" s="1696"/>
      <c r="W504" s="1772"/>
      <c r="X504" s="1696"/>
      <c r="Y504" s="1696"/>
      <c r="Z504" s="1696"/>
    </row>
    <row r="505">
      <c r="A505" s="1765"/>
      <c r="B505" s="1782"/>
      <c r="C505" s="1765"/>
      <c r="D505" s="1765"/>
      <c r="E505" s="1765"/>
      <c r="F505" s="1765"/>
      <c r="G505" s="1765"/>
      <c r="H505" s="1765"/>
      <c r="I505" s="1765"/>
      <c r="J505" s="1765"/>
      <c r="K505" s="1765"/>
      <c r="L505" s="1765"/>
      <c r="M505" s="1765"/>
      <c r="N505" s="1765"/>
      <c r="O505" s="1765"/>
      <c r="P505" s="1765"/>
      <c r="Q505" s="1766"/>
      <c r="R505" s="1766"/>
      <c r="S505" s="1696"/>
      <c r="U505" s="1772"/>
      <c r="V505" s="1696"/>
      <c r="W505" s="1772"/>
      <c r="X505" s="1696"/>
      <c r="Y505" s="1696"/>
      <c r="Z505" s="1773"/>
    </row>
    <row r="506">
      <c r="A506" s="1771"/>
      <c r="B506" s="1777"/>
      <c r="C506" s="1771"/>
      <c r="D506" s="1771"/>
      <c r="E506" s="1771"/>
      <c r="F506" s="1771"/>
      <c r="G506" s="1770"/>
      <c r="H506" s="1771"/>
      <c r="I506" s="1778"/>
      <c r="J506" s="1771"/>
      <c r="K506" s="1771"/>
      <c r="L506" s="1771"/>
      <c r="M506" s="1771"/>
      <c r="N506" s="1779"/>
      <c r="O506" s="1770"/>
      <c r="P506" s="1771"/>
      <c r="Q506" s="1766"/>
      <c r="R506" s="1766"/>
      <c r="S506" s="1696"/>
      <c r="U506" s="1772"/>
      <c r="V506" s="1696"/>
      <c r="W506" s="1772"/>
      <c r="X506" s="1696"/>
      <c r="Y506" s="1696"/>
      <c r="Z506" s="1773"/>
    </row>
    <row r="507">
      <c r="A507" s="1766"/>
      <c r="B507" s="1780"/>
      <c r="C507" s="1766"/>
      <c r="D507" s="1766"/>
      <c r="E507" s="1766"/>
      <c r="F507" s="1766"/>
      <c r="G507" s="1766"/>
      <c r="H507" s="1766"/>
      <c r="I507" s="1766"/>
      <c r="J507" s="1766"/>
      <c r="K507" s="1766"/>
      <c r="L507" s="1766"/>
      <c r="M507" s="1766"/>
      <c r="N507" s="1781"/>
      <c r="O507" s="1766"/>
      <c r="P507" s="1766"/>
      <c r="Q507" s="1766"/>
      <c r="R507" s="1766"/>
      <c r="S507" s="1696"/>
      <c r="U507" s="1772"/>
      <c r="V507" s="1696"/>
      <c r="W507" s="1772"/>
      <c r="X507" s="1696"/>
      <c r="Y507" s="1696"/>
      <c r="Z507" s="1773"/>
    </row>
    <row r="508">
      <c r="A508" s="1765"/>
      <c r="B508" s="1782"/>
      <c r="C508" s="1765"/>
      <c r="D508" s="1765"/>
      <c r="E508" s="1765"/>
      <c r="F508" s="1765"/>
      <c r="G508" s="1765"/>
      <c r="H508" s="1765"/>
      <c r="I508" s="1765"/>
      <c r="J508" s="1765"/>
      <c r="K508" s="1765"/>
      <c r="L508" s="1765"/>
      <c r="M508" s="1765"/>
      <c r="N508" s="1765"/>
      <c r="O508" s="1765"/>
      <c r="P508" s="1765"/>
      <c r="Q508" s="1766"/>
      <c r="R508" s="1766"/>
      <c r="S508" s="1696"/>
      <c r="U508" s="1772"/>
      <c r="V508" s="1696"/>
      <c r="W508" s="1772"/>
      <c r="X508" s="1696"/>
      <c r="Y508" s="1696"/>
      <c r="Z508" s="1773"/>
    </row>
    <row r="509">
      <c r="A509" s="1771"/>
      <c r="B509" s="1777"/>
      <c r="C509" s="1771"/>
      <c r="D509" s="1771"/>
      <c r="E509" s="1771"/>
      <c r="F509" s="1771"/>
      <c r="G509" s="1771"/>
      <c r="H509" s="1771"/>
      <c r="I509" s="1778"/>
      <c r="J509" s="1771"/>
      <c r="K509" s="1771"/>
      <c r="L509" s="1771"/>
      <c r="M509" s="1771"/>
      <c r="N509" s="1779"/>
      <c r="O509" s="1770"/>
      <c r="P509" s="1771"/>
      <c r="Q509" s="1766"/>
      <c r="R509" s="1766"/>
      <c r="S509" s="1696"/>
      <c r="U509" s="1772"/>
      <c r="V509" s="1696"/>
      <c r="W509" s="1772"/>
      <c r="X509" s="1696"/>
      <c r="Y509" s="1696"/>
      <c r="Z509" s="1773"/>
    </row>
    <row r="510">
      <c r="A510" s="1766"/>
      <c r="B510" s="1780"/>
      <c r="C510" s="1766"/>
      <c r="D510" s="1766"/>
      <c r="E510" s="1766"/>
      <c r="F510" s="1766"/>
      <c r="G510" s="1766"/>
      <c r="H510" s="1766"/>
      <c r="I510" s="1766"/>
      <c r="J510" s="1766"/>
      <c r="K510" s="1766"/>
      <c r="L510" s="1766"/>
      <c r="M510" s="1766"/>
      <c r="N510" s="1781"/>
      <c r="O510" s="1766"/>
      <c r="P510" s="1766"/>
      <c r="Q510" s="1766"/>
      <c r="R510" s="1766"/>
      <c r="S510" s="1696"/>
      <c r="U510" s="1772"/>
      <c r="V510" s="1696"/>
      <c r="W510" s="1772"/>
      <c r="X510" s="1696"/>
      <c r="Y510" s="1696"/>
      <c r="Z510" s="1773"/>
    </row>
    <row r="511">
      <c r="A511" s="1765"/>
      <c r="B511" s="1782"/>
      <c r="C511" s="1765"/>
      <c r="D511" s="1765"/>
      <c r="E511" s="1765"/>
      <c r="F511" s="1765"/>
      <c r="G511" s="1765"/>
      <c r="H511" s="1765"/>
      <c r="I511" s="1765"/>
      <c r="J511" s="1765"/>
      <c r="K511" s="1765"/>
      <c r="L511" s="1765"/>
      <c r="M511" s="1765"/>
      <c r="N511" s="1765"/>
      <c r="O511" s="1765"/>
      <c r="P511" s="1765"/>
      <c r="Q511" s="1766"/>
      <c r="R511" s="1766"/>
      <c r="S511" s="1696"/>
      <c r="U511" s="1772"/>
      <c r="V511" s="1696"/>
      <c r="W511" s="1772"/>
      <c r="X511" s="1696"/>
      <c r="Y511" s="1696"/>
      <c r="Z511" s="1773"/>
    </row>
    <row r="512">
      <c r="A512" s="1771"/>
      <c r="B512" s="1777"/>
      <c r="C512" s="1771"/>
      <c r="D512" s="1771"/>
      <c r="E512" s="1771"/>
      <c r="F512" s="1771"/>
      <c r="G512" s="1771"/>
      <c r="H512" s="1771"/>
      <c r="I512" s="1778"/>
      <c r="J512" s="1771"/>
      <c r="K512" s="1771"/>
      <c r="L512" s="1771"/>
      <c r="M512" s="1771"/>
      <c r="N512" s="1779"/>
      <c r="O512" s="1770"/>
      <c r="P512" s="1771"/>
      <c r="Q512" s="1766"/>
      <c r="R512" s="1766"/>
      <c r="S512" s="1696"/>
      <c r="T512" s="1696"/>
      <c r="U512" s="1772"/>
      <c r="V512" s="1696"/>
      <c r="W512" s="1772"/>
      <c r="X512" s="1696"/>
      <c r="Y512" s="1696"/>
      <c r="Z512" s="1696"/>
    </row>
    <row r="513">
      <c r="A513" s="1766"/>
      <c r="B513" s="1780"/>
      <c r="C513" s="1766"/>
      <c r="D513" s="1766"/>
      <c r="E513" s="1766"/>
      <c r="F513" s="1766"/>
      <c r="G513" s="1766"/>
      <c r="H513" s="1766"/>
      <c r="I513" s="1766"/>
      <c r="J513" s="1766"/>
      <c r="K513" s="1766"/>
      <c r="L513" s="1766"/>
      <c r="M513" s="1766"/>
      <c r="N513" s="1781"/>
      <c r="O513" s="1766"/>
      <c r="P513" s="1766"/>
      <c r="Q513" s="1766"/>
      <c r="R513" s="1766"/>
      <c r="S513" s="1696"/>
      <c r="T513" s="1696"/>
      <c r="U513" s="1772"/>
      <c r="V513" s="1696"/>
      <c r="W513" s="1772"/>
      <c r="X513" s="1696"/>
      <c r="Y513" s="1696"/>
      <c r="Z513" s="1773"/>
    </row>
    <row r="514">
      <c r="A514" s="1765"/>
      <c r="B514" s="1782"/>
      <c r="C514" s="1765"/>
      <c r="D514" s="1765"/>
      <c r="E514" s="1765"/>
      <c r="F514" s="1765"/>
      <c r="G514" s="1765"/>
      <c r="H514" s="1765"/>
      <c r="I514" s="1765"/>
      <c r="J514" s="1765"/>
      <c r="K514" s="1765"/>
      <c r="L514" s="1765"/>
      <c r="M514" s="1765"/>
      <c r="N514" s="1765"/>
      <c r="O514" s="1765"/>
      <c r="P514" s="1765"/>
      <c r="Q514" s="1766"/>
      <c r="R514" s="1766"/>
      <c r="S514" s="1696"/>
      <c r="T514" s="1696"/>
      <c r="U514" s="1772"/>
      <c r="V514" s="1696"/>
      <c r="W514" s="1772"/>
      <c r="X514" s="1696"/>
      <c r="Y514" s="1696"/>
      <c r="Z514" s="1773"/>
    </row>
    <row r="515">
      <c r="A515" s="1771"/>
      <c r="B515" s="1777"/>
      <c r="C515" s="1771"/>
      <c r="D515" s="1771"/>
      <c r="E515" s="1771"/>
      <c r="F515" s="1771"/>
      <c r="G515" s="1770"/>
      <c r="H515" s="1771"/>
      <c r="I515" s="1778"/>
      <c r="J515" s="1771"/>
      <c r="K515" s="1771"/>
      <c r="L515" s="1771"/>
      <c r="M515" s="1771"/>
      <c r="N515" s="1779"/>
      <c r="O515" s="1770"/>
      <c r="P515" s="1771"/>
      <c r="Q515" s="1766"/>
      <c r="R515" s="1766"/>
      <c r="S515" s="1696"/>
      <c r="T515" s="1696"/>
      <c r="U515" s="1772"/>
      <c r="V515" s="1696"/>
      <c r="W515" s="1772"/>
      <c r="X515" s="1696"/>
      <c r="Y515" s="1696"/>
      <c r="Z515" s="1696"/>
    </row>
    <row r="516">
      <c r="A516" s="1766"/>
      <c r="B516" s="1780"/>
      <c r="C516" s="1766"/>
      <c r="D516" s="1766"/>
      <c r="E516" s="1766"/>
      <c r="F516" s="1766"/>
      <c r="G516" s="1766"/>
      <c r="H516" s="1766"/>
      <c r="I516" s="1766"/>
      <c r="J516" s="1766"/>
      <c r="K516" s="1766"/>
      <c r="L516" s="1766"/>
      <c r="M516" s="1766"/>
      <c r="N516" s="1781"/>
      <c r="O516" s="1766"/>
      <c r="P516" s="1766"/>
      <c r="Q516" s="1766"/>
      <c r="R516" s="1766"/>
      <c r="S516" s="1696"/>
      <c r="T516" s="1696"/>
      <c r="U516" s="1772"/>
      <c r="V516" s="1696"/>
      <c r="W516" s="1772"/>
      <c r="X516" s="1696"/>
      <c r="Y516" s="1696"/>
      <c r="Z516" s="1773"/>
    </row>
    <row r="517">
      <c r="A517" s="1765"/>
      <c r="B517" s="1782"/>
      <c r="C517" s="1765"/>
      <c r="D517" s="1765"/>
      <c r="E517" s="1765"/>
      <c r="F517" s="1765"/>
      <c r="G517" s="1765"/>
      <c r="H517" s="1765"/>
      <c r="I517" s="1765"/>
      <c r="J517" s="1765"/>
      <c r="K517" s="1765"/>
      <c r="L517" s="1765"/>
      <c r="M517" s="1765"/>
      <c r="N517" s="1765"/>
      <c r="O517" s="1765"/>
      <c r="P517" s="1765"/>
      <c r="Q517" s="1766"/>
      <c r="R517" s="1766"/>
      <c r="S517" s="1696"/>
      <c r="T517" s="1696"/>
      <c r="U517" s="1772"/>
      <c r="V517" s="1696"/>
      <c r="W517" s="1772"/>
      <c r="X517" s="1696"/>
      <c r="Y517" s="1696"/>
      <c r="Z517" s="1773"/>
    </row>
    <row r="518">
      <c r="A518" s="1771"/>
      <c r="B518" s="1777"/>
      <c r="C518" s="1771"/>
      <c r="D518" s="1771"/>
      <c r="E518" s="1771"/>
      <c r="F518" s="1771"/>
      <c r="G518" s="1770"/>
      <c r="H518" s="1771"/>
      <c r="I518" s="1778"/>
      <c r="J518" s="1771"/>
      <c r="K518" s="1771"/>
      <c r="L518" s="1771"/>
      <c r="M518" s="1771"/>
      <c r="N518" s="1779"/>
      <c r="O518" s="1770"/>
      <c r="P518" s="1771"/>
      <c r="Q518" s="1766"/>
      <c r="R518" s="1766"/>
      <c r="S518" s="1696"/>
      <c r="T518" s="1696"/>
      <c r="U518" s="1772"/>
      <c r="V518" s="1696"/>
      <c r="W518" s="1772"/>
      <c r="X518" s="1696"/>
      <c r="Y518" s="1696"/>
      <c r="Z518" s="1696"/>
    </row>
    <row r="519">
      <c r="A519" s="1766"/>
      <c r="B519" s="1780"/>
      <c r="C519" s="1766"/>
      <c r="D519" s="1766"/>
      <c r="E519" s="1766"/>
      <c r="F519" s="1766"/>
      <c r="G519" s="1766"/>
      <c r="H519" s="1766"/>
      <c r="I519" s="1766"/>
      <c r="J519" s="1766"/>
      <c r="K519" s="1766"/>
      <c r="L519" s="1766"/>
      <c r="M519" s="1781"/>
      <c r="N519" s="1781"/>
      <c r="O519" s="1766"/>
      <c r="P519" s="1766"/>
      <c r="Q519" s="1766"/>
      <c r="R519" s="1766"/>
      <c r="S519" s="1696"/>
      <c r="T519" s="1696"/>
      <c r="U519" s="1772"/>
      <c r="V519" s="1696"/>
      <c r="W519" s="1772"/>
      <c r="X519" s="1696"/>
      <c r="Y519" s="1696"/>
      <c r="Z519" s="1696"/>
    </row>
    <row r="520">
      <c r="A520" s="1765"/>
      <c r="B520" s="1782"/>
      <c r="C520" s="1765"/>
      <c r="D520" s="1765"/>
      <c r="E520" s="1765"/>
      <c r="F520" s="1765"/>
      <c r="G520" s="1765"/>
      <c r="H520" s="1765"/>
      <c r="I520" s="1765"/>
      <c r="J520" s="1765"/>
      <c r="K520" s="1765"/>
      <c r="L520" s="1765"/>
      <c r="M520" s="1765"/>
      <c r="N520" s="1765"/>
      <c r="O520" s="1765"/>
      <c r="P520" s="1765"/>
      <c r="Q520" s="1766"/>
      <c r="R520" s="1766"/>
      <c r="S520" s="1696"/>
      <c r="T520" s="1696"/>
      <c r="U520" s="1772"/>
      <c r="V520" s="1696"/>
      <c r="W520" s="1772"/>
      <c r="X520" s="1696"/>
      <c r="Y520" s="1696"/>
      <c r="Z520" s="1696"/>
    </row>
    <row r="521">
      <c r="A521" s="1771"/>
      <c r="B521" s="1777"/>
      <c r="C521" s="1771"/>
      <c r="D521" s="1771"/>
      <c r="E521" s="1771"/>
      <c r="F521" s="1771"/>
      <c r="G521" s="1770"/>
      <c r="H521" s="1771"/>
      <c r="I521" s="1778"/>
      <c r="J521" s="1771"/>
      <c r="K521" s="1771"/>
      <c r="L521" s="1771"/>
      <c r="M521" s="1771"/>
      <c r="N521" s="1779"/>
      <c r="O521" s="1770"/>
      <c r="P521" s="1771"/>
      <c r="Q521" s="1766"/>
      <c r="R521" s="1766"/>
      <c r="S521" s="1696"/>
      <c r="T521" s="1696"/>
      <c r="U521" s="1772"/>
      <c r="V521" s="1696"/>
      <c r="W521" s="1772"/>
      <c r="X521" s="1696"/>
      <c r="Y521" s="1696"/>
      <c r="Z521" s="1696"/>
    </row>
    <row r="522">
      <c r="A522" s="1766"/>
      <c r="B522" s="1780"/>
      <c r="C522" s="1766"/>
      <c r="D522" s="1766"/>
      <c r="E522" s="1766"/>
      <c r="F522" s="1766"/>
      <c r="G522" s="1766"/>
      <c r="H522" s="1766"/>
      <c r="I522" s="1766"/>
      <c r="J522" s="1766"/>
      <c r="K522" s="1766"/>
      <c r="L522" s="1766"/>
      <c r="M522" s="1766"/>
      <c r="N522" s="1781"/>
      <c r="O522" s="1766"/>
      <c r="P522" s="1766"/>
      <c r="Q522" s="1766"/>
      <c r="R522" s="1766"/>
      <c r="S522" s="1696"/>
      <c r="T522" s="1696"/>
      <c r="U522" s="1772"/>
      <c r="V522" s="1696"/>
      <c r="W522" s="1772"/>
      <c r="X522" s="1696"/>
      <c r="Y522" s="1696"/>
      <c r="Z522" s="1773"/>
    </row>
    <row r="523">
      <c r="A523" s="1765"/>
      <c r="B523" s="1782"/>
      <c r="C523" s="1765"/>
      <c r="D523" s="1765"/>
      <c r="E523" s="1765"/>
      <c r="F523" s="1765"/>
      <c r="G523" s="1765"/>
      <c r="H523" s="1765"/>
      <c r="I523" s="1765"/>
      <c r="J523" s="1765"/>
      <c r="K523" s="1765"/>
      <c r="L523" s="1765"/>
      <c r="M523" s="1765"/>
      <c r="N523" s="1765"/>
      <c r="O523" s="1765"/>
      <c r="P523" s="1765"/>
      <c r="Q523" s="1766"/>
      <c r="R523" s="1766"/>
      <c r="S523" s="1696"/>
      <c r="T523" s="1696"/>
      <c r="U523" s="1772"/>
      <c r="V523" s="1696"/>
      <c r="W523" s="1772"/>
      <c r="X523" s="1696"/>
      <c r="Y523" s="1696"/>
      <c r="Z523" s="1696"/>
    </row>
    <row r="524">
      <c r="A524" s="1771"/>
      <c r="B524" s="1777"/>
      <c r="C524" s="1771"/>
      <c r="D524" s="1771"/>
      <c r="E524" s="1771"/>
      <c r="F524" s="1771"/>
      <c r="G524" s="1771"/>
      <c r="H524" s="1771"/>
      <c r="I524" s="1778"/>
      <c r="J524" s="1771"/>
      <c r="K524" s="1771"/>
      <c r="L524" s="1771"/>
      <c r="M524" s="1771"/>
      <c r="N524" s="1779"/>
      <c r="O524" s="1770"/>
      <c r="P524" s="1771"/>
      <c r="Q524" s="1766"/>
      <c r="R524" s="1766"/>
      <c r="S524" s="1696"/>
      <c r="U524" s="1772"/>
      <c r="V524" s="1696"/>
      <c r="W524" s="1772"/>
      <c r="X524" s="1696"/>
      <c r="Y524" s="1696"/>
      <c r="Z524" s="1773"/>
    </row>
    <row r="525">
      <c r="A525" s="1766"/>
      <c r="B525" s="1780"/>
      <c r="C525" s="1766"/>
      <c r="D525" s="1766"/>
      <c r="E525" s="1766"/>
      <c r="F525" s="1766"/>
      <c r="G525" s="1766"/>
      <c r="H525" s="1766"/>
      <c r="I525" s="1766"/>
      <c r="J525" s="1766"/>
      <c r="K525" s="1766"/>
      <c r="L525" s="1766"/>
      <c r="M525" s="1766"/>
      <c r="N525" s="1781"/>
      <c r="O525" s="1766"/>
      <c r="P525" s="1766"/>
      <c r="Q525" s="1766"/>
      <c r="R525" s="1766"/>
      <c r="S525" s="1696"/>
      <c r="T525" s="1696"/>
      <c r="U525" s="1772"/>
      <c r="V525" s="1696"/>
      <c r="W525" s="1772"/>
      <c r="X525" s="1696"/>
      <c r="Y525" s="1696"/>
      <c r="Z525" s="1696"/>
    </row>
    <row r="526">
      <c r="A526" s="1765"/>
      <c r="B526" s="1782"/>
      <c r="C526" s="1765"/>
      <c r="D526" s="1765"/>
      <c r="E526" s="1765"/>
      <c r="F526" s="1765"/>
      <c r="G526" s="1765"/>
      <c r="H526" s="1765"/>
      <c r="I526" s="1765"/>
      <c r="J526" s="1765"/>
      <c r="K526" s="1765"/>
      <c r="L526" s="1765"/>
      <c r="M526" s="1765"/>
      <c r="N526" s="1765"/>
      <c r="O526" s="1765"/>
      <c r="P526" s="1765"/>
      <c r="Q526" s="1766"/>
      <c r="R526" s="1766"/>
      <c r="S526" s="1696"/>
      <c r="T526" s="1696"/>
      <c r="U526" s="1772"/>
      <c r="V526" s="1696"/>
      <c r="W526" s="1772"/>
      <c r="X526" s="1696"/>
      <c r="Y526" s="1696"/>
      <c r="Z526" s="1696"/>
    </row>
    <row r="527">
      <c r="A527" s="1771"/>
      <c r="B527" s="1777"/>
      <c r="C527" s="1771"/>
      <c r="D527" s="1771"/>
      <c r="E527" s="1771"/>
      <c r="F527" s="1771"/>
      <c r="G527" s="1770"/>
      <c r="H527" s="1771"/>
      <c r="I527" s="1778"/>
      <c r="J527" s="1771"/>
      <c r="K527" s="1771"/>
      <c r="L527" s="1771"/>
      <c r="M527" s="1771"/>
      <c r="N527" s="1779"/>
      <c r="O527" s="1770"/>
      <c r="P527" s="1771"/>
      <c r="Q527" s="1766"/>
      <c r="R527" s="1766"/>
      <c r="S527" s="1696"/>
      <c r="T527" s="1696"/>
      <c r="U527" s="1772"/>
      <c r="V527" s="1696"/>
      <c r="W527" s="1772"/>
      <c r="X527" s="1696"/>
      <c r="Y527" s="1696"/>
      <c r="Z527" s="1696"/>
    </row>
    <row r="528">
      <c r="A528" s="1766"/>
      <c r="B528" s="1780"/>
      <c r="C528" s="1766"/>
      <c r="D528" s="1766"/>
      <c r="E528" s="1766"/>
      <c r="F528" s="1766"/>
      <c r="G528" s="1766"/>
      <c r="H528" s="1766"/>
      <c r="I528" s="1766"/>
      <c r="J528" s="1766"/>
      <c r="K528" s="1766"/>
      <c r="L528" s="1766"/>
      <c r="M528" s="1781"/>
      <c r="N528" s="1781"/>
      <c r="O528" s="1766"/>
      <c r="P528" s="1766"/>
      <c r="Q528" s="1766"/>
      <c r="R528" s="1766"/>
      <c r="S528" s="1696"/>
      <c r="T528" s="1696"/>
      <c r="U528" s="1772"/>
      <c r="V528" s="1696"/>
      <c r="W528" s="1772"/>
      <c r="X528" s="1696"/>
      <c r="Y528" s="1696"/>
      <c r="Z528" s="1773"/>
    </row>
    <row r="529">
      <c r="A529" s="1765"/>
      <c r="B529" s="1782"/>
      <c r="C529" s="1765"/>
      <c r="D529" s="1765"/>
      <c r="E529" s="1765"/>
      <c r="F529" s="1765"/>
      <c r="G529" s="1765"/>
      <c r="H529" s="1765"/>
      <c r="I529" s="1765"/>
      <c r="J529" s="1765"/>
      <c r="K529" s="1765"/>
      <c r="L529" s="1765"/>
      <c r="M529" s="1765"/>
      <c r="N529" s="1765"/>
      <c r="O529" s="1765"/>
      <c r="P529" s="1765"/>
      <c r="Q529" s="1766"/>
      <c r="R529" s="1766"/>
      <c r="S529" s="1696"/>
      <c r="T529" s="1696"/>
      <c r="U529" s="1772"/>
      <c r="V529" s="1696"/>
      <c r="W529" s="1772"/>
      <c r="X529" s="1696"/>
      <c r="Y529" s="1696"/>
      <c r="Z529" s="1773"/>
    </row>
    <row r="530">
      <c r="A530" s="1771"/>
      <c r="B530" s="1777"/>
      <c r="C530" s="1771"/>
      <c r="D530" s="1771"/>
      <c r="E530" s="1771"/>
      <c r="F530" s="1771"/>
      <c r="G530" s="1771"/>
      <c r="H530" s="1771"/>
      <c r="I530" s="1778"/>
      <c r="J530" s="1771"/>
      <c r="K530" s="1771"/>
      <c r="L530" s="1771"/>
      <c r="M530" s="1771"/>
      <c r="N530" s="1779"/>
      <c r="O530" s="1770"/>
      <c r="P530" s="1771"/>
      <c r="Q530" s="1766"/>
      <c r="R530" s="1766"/>
      <c r="S530" s="1696"/>
      <c r="T530" s="1696"/>
      <c r="U530" s="1772"/>
      <c r="V530" s="1696"/>
      <c r="W530" s="1772"/>
      <c r="X530" s="1696"/>
      <c r="Y530" s="1696"/>
      <c r="Z530" s="1773"/>
    </row>
    <row r="531">
      <c r="A531" s="1766"/>
      <c r="B531" s="1780"/>
      <c r="C531" s="1766"/>
      <c r="D531" s="1766"/>
      <c r="E531" s="1766"/>
      <c r="F531" s="1766"/>
      <c r="G531" s="1766"/>
      <c r="H531" s="1766"/>
      <c r="I531" s="1766"/>
      <c r="J531" s="1766"/>
      <c r="K531" s="1766"/>
      <c r="L531" s="1766"/>
      <c r="M531" s="1781"/>
      <c r="N531" s="1781"/>
      <c r="O531" s="1766"/>
      <c r="P531" s="1766"/>
      <c r="Q531" s="1766"/>
      <c r="R531" s="1766"/>
      <c r="S531" s="1696"/>
      <c r="T531" s="1696"/>
      <c r="U531" s="1772"/>
      <c r="V531" s="1696"/>
      <c r="W531" s="1772"/>
      <c r="X531" s="1696"/>
      <c r="Y531" s="1696"/>
      <c r="Z531" s="1773"/>
    </row>
    <row r="532">
      <c r="A532" s="1765"/>
      <c r="B532" s="1782"/>
      <c r="C532" s="1765"/>
      <c r="D532" s="1765"/>
      <c r="E532" s="1765"/>
      <c r="F532" s="1765"/>
      <c r="G532" s="1765"/>
      <c r="H532" s="1765"/>
      <c r="I532" s="1765"/>
      <c r="J532" s="1765"/>
      <c r="K532" s="1765"/>
      <c r="L532" s="1765"/>
      <c r="M532" s="1765"/>
      <c r="N532" s="1765"/>
      <c r="O532" s="1765"/>
      <c r="P532" s="1765"/>
      <c r="Q532" s="1766"/>
      <c r="R532" s="1766"/>
      <c r="S532" s="1696"/>
      <c r="T532" s="1696"/>
      <c r="U532" s="1772"/>
      <c r="V532" s="1696"/>
      <c r="W532" s="1772"/>
      <c r="X532" s="1696"/>
      <c r="Y532" s="1696"/>
      <c r="Z532" s="1696"/>
    </row>
    <row r="533">
      <c r="A533" s="1771"/>
      <c r="B533" s="1777"/>
      <c r="C533" s="1771"/>
      <c r="D533" s="1771"/>
      <c r="E533" s="1771"/>
      <c r="F533" s="1771"/>
      <c r="G533" s="1771"/>
      <c r="H533" s="1771"/>
      <c r="I533" s="1778"/>
      <c r="J533" s="1771"/>
      <c r="K533" s="1771"/>
      <c r="L533" s="1771"/>
      <c r="M533" s="1771"/>
      <c r="N533" s="1779"/>
      <c r="O533" s="1770"/>
      <c r="P533" s="1771"/>
      <c r="Q533" s="1766"/>
      <c r="R533" s="1766"/>
      <c r="S533" s="1696"/>
      <c r="T533" s="1696"/>
      <c r="U533" s="1772"/>
      <c r="V533" s="1696"/>
      <c r="W533" s="1772"/>
      <c r="X533" s="1696"/>
      <c r="Y533" s="1696"/>
      <c r="Z533" s="1773"/>
    </row>
    <row r="534">
      <c r="A534" s="1766"/>
      <c r="B534" s="1780"/>
      <c r="C534" s="1766"/>
      <c r="D534" s="1766"/>
      <c r="E534" s="1766"/>
      <c r="F534" s="1766"/>
      <c r="G534" s="1766"/>
      <c r="H534" s="1766"/>
      <c r="I534" s="1766"/>
      <c r="J534" s="1766"/>
      <c r="K534" s="1766"/>
      <c r="L534" s="1766"/>
      <c r="M534" s="1781"/>
      <c r="N534" s="1781"/>
      <c r="O534" s="1766"/>
      <c r="P534" s="1766"/>
      <c r="Q534" s="1766"/>
      <c r="R534" s="1766"/>
      <c r="S534" s="1696"/>
      <c r="T534" s="1696"/>
      <c r="U534" s="1772"/>
      <c r="V534" s="1696"/>
      <c r="W534" s="1772"/>
      <c r="X534" s="1696"/>
      <c r="Y534" s="1696"/>
      <c r="Z534" s="1773"/>
    </row>
    <row r="535">
      <c r="A535" s="1765"/>
      <c r="B535" s="1782"/>
      <c r="C535" s="1765"/>
      <c r="D535" s="1765"/>
      <c r="E535" s="1765"/>
      <c r="F535" s="1765"/>
      <c r="G535" s="1765"/>
      <c r="H535" s="1765"/>
      <c r="I535" s="1765"/>
      <c r="J535" s="1765"/>
      <c r="K535" s="1765"/>
      <c r="L535" s="1765"/>
      <c r="M535" s="1765"/>
      <c r="N535" s="1765"/>
      <c r="O535" s="1765"/>
      <c r="P535" s="1765"/>
      <c r="Q535" s="1766"/>
      <c r="R535" s="1766"/>
      <c r="S535" s="1696"/>
      <c r="T535" s="1696"/>
      <c r="U535" s="1772"/>
      <c r="V535" s="1696"/>
      <c r="W535" s="1772"/>
      <c r="X535" s="1696"/>
      <c r="Y535" s="1696"/>
      <c r="Z535" s="1773"/>
    </row>
    <row r="536">
      <c r="A536" s="1771"/>
      <c r="B536" s="1777"/>
      <c r="C536" s="1771"/>
      <c r="D536" s="1771"/>
      <c r="E536" s="1771"/>
      <c r="F536" s="1771"/>
      <c r="G536" s="1770"/>
      <c r="H536" s="1771"/>
      <c r="I536" s="1778"/>
      <c r="J536" s="1771"/>
      <c r="K536" s="1771"/>
      <c r="L536" s="1771"/>
      <c r="M536" s="1771"/>
      <c r="N536" s="1779"/>
      <c r="O536" s="1770"/>
      <c r="P536" s="1771"/>
      <c r="Q536" s="1766"/>
      <c r="R536" s="1766"/>
      <c r="S536" s="1696"/>
      <c r="T536" s="1696"/>
      <c r="U536" s="1772"/>
      <c r="V536" s="1696"/>
      <c r="W536" s="1772"/>
      <c r="X536" s="1696"/>
      <c r="Y536" s="1696"/>
      <c r="Z536" s="1773"/>
    </row>
    <row r="537">
      <c r="A537" s="1766"/>
      <c r="B537" s="1780"/>
      <c r="C537" s="1766"/>
      <c r="D537" s="1766"/>
      <c r="E537" s="1766"/>
      <c r="F537" s="1766"/>
      <c r="G537" s="1766"/>
      <c r="H537" s="1766"/>
      <c r="I537" s="1766"/>
      <c r="J537" s="1766"/>
      <c r="K537" s="1766"/>
      <c r="L537" s="1766"/>
      <c r="M537" s="1781"/>
      <c r="N537" s="1781"/>
      <c r="O537" s="1766"/>
      <c r="P537" s="1766"/>
      <c r="Q537" s="1766"/>
      <c r="R537" s="1766"/>
      <c r="S537" s="1696"/>
      <c r="T537" s="1696"/>
      <c r="U537" s="1772"/>
      <c r="V537" s="1696"/>
      <c r="W537" s="1772"/>
      <c r="X537" s="1696"/>
      <c r="Y537" s="1696"/>
      <c r="Z537" s="1773"/>
    </row>
    <row r="538">
      <c r="A538" s="1765"/>
      <c r="B538" s="1782"/>
      <c r="C538" s="1765"/>
      <c r="D538" s="1765"/>
      <c r="E538" s="1765"/>
      <c r="F538" s="1765"/>
      <c r="G538" s="1765"/>
      <c r="H538" s="1765"/>
      <c r="I538" s="1765"/>
      <c r="J538" s="1765"/>
      <c r="K538" s="1765"/>
      <c r="L538" s="1765"/>
      <c r="M538" s="1765"/>
      <c r="N538" s="1765"/>
      <c r="O538" s="1765"/>
      <c r="P538" s="1765"/>
      <c r="Q538" s="1766"/>
      <c r="R538" s="1766"/>
      <c r="S538" s="1696"/>
      <c r="U538" s="1772"/>
      <c r="V538" s="1696"/>
      <c r="W538" s="1772"/>
      <c r="X538" s="1696"/>
      <c r="Y538" s="1696"/>
      <c r="Z538" s="1696"/>
    </row>
    <row r="539">
      <c r="A539" s="1771"/>
      <c r="B539" s="1777"/>
      <c r="C539" s="1771"/>
      <c r="D539" s="1771"/>
      <c r="E539" s="1771"/>
      <c r="F539" s="1771"/>
      <c r="G539" s="1771"/>
      <c r="H539" s="1771"/>
      <c r="I539" s="1778"/>
      <c r="J539" s="1771"/>
      <c r="K539" s="1771"/>
      <c r="L539" s="1771"/>
      <c r="M539" s="1771"/>
      <c r="N539" s="1779"/>
      <c r="O539" s="1770"/>
      <c r="P539" s="1771"/>
      <c r="Q539" s="1766"/>
      <c r="R539" s="1766"/>
      <c r="S539" s="1696"/>
      <c r="U539" s="1772"/>
      <c r="V539" s="1696"/>
      <c r="W539" s="1772"/>
      <c r="X539" s="1696"/>
      <c r="Y539" s="1696"/>
      <c r="Z539" s="1773"/>
    </row>
    <row r="540">
      <c r="A540" s="1766"/>
      <c r="B540" s="1780"/>
      <c r="C540" s="1766"/>
      <c r="D540" s="1766"/>
      <c r="E540" s="1766"/>
      <c r="F540" s="1766"/>
      <c r="G540" s="1766"/>
      <c r="H540" s="1766"/>
      <c r="I540" s="1766"/>
      <c r="J540" s="1766"/>
      <c r="K540" s="1766"/>
      <c r="L540" s="1766"/>
      <c r="M540" s="1766"/>
      <c r="N540" s="1781"/>
      <c r="O540" s="1766"/>
      <c r="P540" s="1766"/>
      <c r="Q540" s="1766"/>
      <c r="R540" s="1766"/>
      <c r="S540" s="1696"/>
      <c r="U540" s="1772"/>
      <c r="V540" s="1696"/>
      <c r="W540" s="1772"/>
      <c r="X540" s="1696"/>
      <c r="Y540" s="1696"/>
      <c r="Z540" s="1696"/>
    </row>
    <row r="541">
      <c r="A541" s="1765"/>
      <c r="B541" s="1782"/>
      <c r="C541" s="1765"/>
      <c r="D541" s="1765"/>
      <c r="E541" s="1765"/>
      <c r="F541" s="1765"/>
      <c r="G541" s="1765"/>
      <c r="H541" s="1765"/>
      <c r="I541" s="1765"/>
      <c r="J541" s="1765"/>
      <c r="K541" s="1765"/>
      <c r="L541" s="1765"/>
      <c r="M541" s="1765"/>
      <c r="N541" s="1765"/>
      <c r="O541" s="1765"/>
      <c r="P541" s="1765"/>
      <c r="Q541" s="1766"/>
      <c r="R541" s="1766"/>
      <c r="S541" s="1696"/>
      <c r="U541" s="1772"/>
      <c r="V541" s="1696"/>
      <c r="W541" s="1772"/>
      <c r="X541" s="1696"/>
      <c r="Y541" s="1696"/>
      <c r="Z541" s="1696"/>
    </row>
    <row r="542">
      <c r="A542" s="1771"/>
      <c r="B542" s="1777"/>
      <c r="C542" s="1771"/>
      <c r="D542" s="1771"/>
      <c r="E542" s="1771"/>
      <c r="F542" s="1771"/>
      <c r="G542" s="1770"/>
      <c r="H542" s="1771"/>
      <c r="I542" s="1778"/>
      <c r="J542" s="1771"/>
      <c r="K542" s="1771"/>
      <c r="L542" s="1771"/>
      <c r="M542" s="1771"/>
      <c r="N542" s="1779"/>
      <c r="O542" s="1770"/>
      <c r="P542" s="1771"/>
      <c r="Q542" s="1766"/>
      <c r="R542" s="1766"/>
      <c r="S542" s="1696"/>
      <c r="T542" s="1696"/>
      <c r="U542" s="1772"/>
      <c r="V542" s="1696"/>
      <c r="W542" s="1772"/>
      <c r="X542" s="1696"/>
      <c r="Y542" s="1696"/>
      <c r="Z542" s="1773"/>
    </row>
    <row r="543">
      <c r="A543" s="1766"/>
      <c r="B543" s="1780"/>
      <c r="C543" s="1766"/>
      <c r="D543" s="1766"/>
      <c r="E543" s="1766"/>
      <c r="F543" s="1766"/>
      <c r="G543" s="1766"/>
      <c r="H543" s="1766"/>
      <c r="I543" s="1766"/>
      <c r="J543" s="1766"/>
      <c r="K543" s="1766"/>
      <c r="L543" s="1766"/>
      <c r="M543" s="1781"/>
      <c r="N543" s="1781"/>
      <c r="O543" s="1766"/>
      <c r="P543" s="1766"/>
      <c r="Q543" s="1766"/>
      <c r="R543" s="1766"/>
      <c r="S543" s="1696"/>
      <c r="T543" s="1696"/>
      <c r="U543" s="1772"/>
      <c r="V543" s="1696"/>
      <c r="W543" s="1772"/>
      <c r="X543" s="1696"/>
      <c r="Y543" s="1696"/>
      <c r="Z543" s="1773"/>
    </row>
    <row r="544">
      <c r="A544" s="1765"/>
      <c r="B544" s="1782"/>
      <c r="C544" s="1765"/>
      <c r="D544" s="1765"/>
      <c r="E544" s="1765"/>
      <c r="F544" s="1765"/>
      <c r="G544" s="1765"/>
      <c r="H544" s="1765"/>
      <c r="I544" s="1765"/>
      <c r="J544" s="1765"/>
      <c r="K544" s="1765"/>
      <c r="L544" s="1765"/>
      <c r="M544" s="1765"/>
      <c r="N544" s="1765"/>
      <c r="O544" s="1765"/>
      <c r="P544" s="1765"/>
      <c r="Q544" s="1766"/>
      <c r="R544" s="1766"/>
      <c r="S544" s="1696"/>
      <c r="T544" s="1696"/>
      <c r="U544" s="1772"/>
      <c r="V544" s="1696"/>
      <c r="W544" s="1772"/>
      <c r="X544" s="1696"/>
      <c r="Y544" s="1696"/>
      <c r="Z544" s="1773"/>
    </row>
    <row r="545">
      <c r="A545" s="1771"/>
      <c r="B545" s="1777"/>
      <c r="C545" s="1771"/>
      <c r="D545" s="1771"/>
      <c r="E545" s="1771"/>
      <c r="F545" s="1771"/>
      <c r="G545" s="1771"/>
      <c r="H545" s="1771"/>
      <c r="I545" s="1778"/>
      <c r="J545" s="1771"/>
      <c r="K545" s="1771"/>
      <c r="L545" s="1771"/>
      <c r="M545" s="1771"/>
      <c r="N545" s="1779"/>
      <c r="O545" s="1770"/>
      <c r="P545" s="1771"/>
      <c r="Q545" s="1766"/>
      <c r="R545" s="1766"/>
      <c r="S545" s="1696"/>
      <c r="T545" s="1696"/>
      <c r="U545" s="1772"/>
      <c r="V545" s="1696"/>
      <c r="W545" s="1772"/>
      <c r="X545" s="1696"/>
      <c r="Y545" s="1696"/>
      <c r="Z545" s="1773"/>
    </row>
    <row r="546">
      <c r="A546" s="1766"/>
      <c r="B546" s="1780"/>
      <c r="C546" s="1766"/>
      <c r="D546" s="1766"/>
      <c r="E546" s="1766"/>
      <c r="F546" s="1766"/>
      <c r="G546" s="1766"/>
      <c r="H546" s="1766"/>
      <c r="I546" s="1766"/>
      <c r="J546" s="1766"/>
      <c r="K546" s="1766"/>
      <c r="L546" s="1766"/>
      <c r="M546" s="1781"/>
      <c r="N546" s="1781"/>
      <c r="O546" s="1766"/>
      <c r="P546" s="1766"/>
      <c r="Q546" s="1766"/>
      <c r="R546" s="1766"/>
      <c r="S546" s="1696"/>
      <c r="T546" s="1696"/>
      <c r="U546" s="1772"/>
      <c r="V546" s="1696"/>
      <c r="W546" s="1772"/>
      <c r="X546" s="1696"/>
      <c r="Y546" s="1696"/>
      <c r="Z546" s="1773"/>
    </row>
    <row r="547">
      <c r="A547" s="1765"/>
      <c r="B547" s="1782"/>
      <c r="C547" s="1765"/>
      <c r="D547" s="1765"/>
      <c r="E547" s="1765"/>
      <c r="F547" s="1765"/>
      <c r="G547" s="1765"/>
      <c r="H547" s="1765"/>
      <c r="I547" s="1765"/>
      <c r="J547" s="1765"/>
      <c r="K547" s="1765"/>
      <c r="L547" s="1765"/>
      <c r="M547" s="1765"/>
      <c r="N547" s="1765"/>
      <c r="O547" s="1765"/>
      <c r="P547" s="1765"/>
      <c r="Q547" s="1766"/>
      <c r="R547" s="1766"/>
      <c r="S547" s="1696"/>
      <c r="T547" s="1696"/>
      <c r="U547" s="1772"/>
      <c r="V547" s="1696"/>
      <c r="W547" s="1772"/>
      <c r="X547" s="1696"/>
      <c r="Y547" s="1696"/>
      <c r="Z547" s="1696"/>
    </row>
    <row r="548">
      <c r="A548" s="1771"/>
      <c r="B548" s="1777"/>
      <c r="C548" s="1771"/>
      <c r="D548" s="1771"/>
      <c r="E548" s="1771"/>
      <c r="F548" s="1771"/>
      <c r="G548" s="1770"/>
      <c r="H548" s="1771"/>
      <c r="I548" s="1778"/>
      <c r="J548" s="1771"/>
      <c r="K548" s="1771"/>
      <c r="L548" s="1771"/>
      <c r="M548" s="1771"/>
      <c r="N548" s="1770"/>
      <c r="O548" s="1770"/>
      <c r="P548" s="1771"/>
      <c r="Q548" s="1766"/>
      <c r="R548" s="1766"/>
      <c r="S548" s="1696"/>
      <c r="U548" s="1772"/>
      <c r="V548" s="1696"/>
      <c r="W548" s="1772"/>
      <c r="X548" s="1696"/>
      <c r="Y548" s="1696"/>
      <c r="Z548" s="1773"/>
    </row>
    <row r="549">
      <c r="A549" s="1766"/>
      <c r="B549" s="1780"/>
      <c r="C549" s="1766"/>
      <c r="D549" s="1766"/>
      <c r="E549" s="1766"/>
      <c r="F549" s="1766"/>
      <c r="G549" s="1766"/>
      <c r="H549" s="1766"/>
      <c r="I549" s="1766"/>
      <c r="J549" s="1766"/>
      <c r="K549" s="1766"/>
      <c r="L549" s="1766"/>
      <c r="M549" s="1766"/>
      <c r="N549" s="1781"/>
      <c r="O549" s="1766"/>
      <c r="P549" s="1766"/>
      <c r="Q549" s="1766"/>
      <c r="R549" s="1766"/>
      <c r="S549" s="1696"/>
      <c r="T549" s="1696"/>
      <c r="U549" s="1772"/>
      <c r="V549" s="1696"/>
      <c r="W549" s="1772"/>
      <c r="X549" s="1696"/>
      <c r="Y549" s="1696"/>
      <c r="Z549" s="1773"/>
    </row>
    <row r="550">
      <c r="A550" s="1765"/>
      <c r="B550" s="1782"/>
      <c r="C550" s="1765"/>
      <c r="D550" s="1765"/>
      <c r="E550" s="1765"/>
      <c r="F550" s="1765"/>
      <c r="G550" s="1765"/>
      <c r="H550" s="1765"/>
      <c r="I550" s="1765"/>
      <c r="J550" s="1765"/>
      <c r="K550" s="1765"/>
      <c r="L550" s="1765"/>
      <c r="M550" s="1765"/>
      <c r="N550" s="1765"/>
      <c r="O550" s="1765"/>
      <c r="P550" s="1765"/>
      <c r="Q550" s="1766"/>
      <c r="R550" s="1766"/>
      <c r="S550" s="1696"/>
      <c r="U550" s="1772"/>
      <c r="V550" s="1696"/>
      <c r="W550" s="1772"/>
      <c r="X550" s="1696"/>
      <c r="Y550" s="1696"/>
      <c r="Z550" s="1696"/>
    </row>
    <row r="551">
      <c r="A551" s="1771"/>
      <c r="B551" s="1777"/>
      <c r="C551" s="1771"/>
      <c r="D551" s="1771"/>
      <c r="E551" s="1771"/>
      <c r="F551" s="1771"/>
      <c r="G551" s="1770"/>
      <c r="H551" s="1771"/>
      <c r="I551" s="1778"/>
      <c r="J551" s="1771"/>
      <c r="K551" s="1771"/>
      <c r="L551" s="1771"/>
      <c r="M551" s="1771"/>
      <c r="N551" s="1779"/>
      <c r="O551" s="1770"/>
      <c r="P551" s="1771"/>
      <c r="Q551" s="1766"/>
      <c r="R551" s="1766"/>
      <c r="S551" s="1696"/>
      <c r="T551" s="1696"/>
      <c r="U551" s="1772"/>
      <c r="V551" s="1696"/>
      <c r="W551" s="1772"/>
      <c r="X551" s="1696"/>
      <c r="Y551" s="1696"/>
      <c r="Z551" s="1773"/>
    </row>
    <row r="552">
      <c r="A552" s="1766"/>
      <c r="B552" s="1780"/>
      <c r="C552" s="1766"/>
      <c r="D552" s="1766"/>
      <c r="E552" s="1766"/>
      <c r="F552" s="1766"/>
      <c r="G552" s="1766"/>
      <c r="H552" s="1766"/>
      <c r="I552" s="1766"/>
      <c r="J552" s="1766"/>
      <c r="K552" s="1766"/>
      <c r="L552" s="1766"/>
      <c r="M552" s="1781"/>
      <c r="N552" s="1781"/>
      <c r="O552" s="1766"/>
      <c r="P552" s="1766"/>
      <c r="Q552" s="1766"/>
      <c r="R552" s="1766"/>
      <c r="S552" s="1696"/>
      <c r="T552" s="1696"/>
      <c r="U552" s="1772"/>
      <c r="V552" s="1696"/>
      <c r="W552" s="1772"/>
      <c r="X552" s="1696"/>
      <c r="Y552" s="1696"/>
      <c r="Z552" s="1773"/>
    </row>
    <row r="553">
      <c r="A553" s="1765"/>
      <c r="B553" s="1782"/>
      <c r="C553" s="1765"/>
      <c r="D553" s="1765"/>
      <c r="E553" s="1765"/>
      <c r="F553" s="1765"/>
      <c r="G553" s="1765"/>
      <c r="H553" s="1765"/>
      <c r="I553" s="1765"/>
      <c r="J553" s="1765"/>
      <c r="K553" s="1765"/>
      <c r="L553" s="1765"/>
      <c r="M553" s="1765"/>
      <c r="N553" s="1765"/>
      <c r="O553" s="1765"/>
      <c r="P553" s="1765"/>
      <c r="Q553" s="1766"/>
      <c r="R553" s="1766"/>
      <c r="S553" s="1696"/>
      <c r="T553" s="1696"/>
      <c r="U553" s="1772"/>
      <c r="V553" s="1696"/>
      <c r="W553" s="1772"/>
      <c r="X553" s="1696"/>
      <c r="Y553" s="1696"/>
      <c r="Z553" s="1773"/>
    </row>
    <row r="554">
      <c r="A554" s="1771"/>
      <c r="B554" s="1777"/>
      <c r="C554" s="1771"/>
      <c r="D554" s="1771"/>
      <c r="E554" s="1771"/>
      <c r="F554" s="1771"/>
      <c r="G554" s="1770"/>
      <c r="H554" s="1771"/>
      <c r="I554" s="1778"/>
      <c r="J554" s="1771"/>
      <c r="K554" s="1771"/>
      <c r="L554" s="1771"/>
      <c r="M554" s="1771"/>
      <c r="N554" s="1779"/>
      <c r="O554" s="1770"/>
      <c r="P554" s="1771"/>
      <c r="Q554" s="1766"/>
      <c r="R554" s="1766"/>
      <c r="S554" s="1696"/>
      <c r="T554" s="1696"/>
      <c r="U554" s="1772"/>
      <c r="V554" s="1696"/>
      <c r="W554" s="1772"/>
      <c r="X554" s="1696"/>
      <c r="Y554" s="1696"/>
      <c r="Z554" s="1773"/>
    </row>
    <row r="555">
      <c r="A555" s="1766"/>
      <c r="B555" s="1780"/>
      <c r="C555" s="1766"/>
      <c r="D555" s="1766"/>
      <c r="E555" s="1766"/>
      <c r="F555" s="1766"/>
      <c r="G555" s="1766"/>
      <c r="H555" s="1766"/>
      <c r="I555" s="1766"/>
      <c r="J555" s="1766"/>
      <c r="K555" s="1766"/>
      <c r="L555" s="1766"/>
      <c r="M555" s="1781"/>
      <c r="N555" s="1781"/>
      <c r="O555" s="1766"/>
      <c r="P555" s="1766"/>
      <c r="Q555" s="1766"/>
      <c r="R555" s="1766"/>
      <c r="S555" s="1696"/>
      <c r="T555" s="1696"/>
      <c r="U555" s="1772"/>
      <c r="V555" s="1696"/>
      <c r="W555" s="1772"/>
      <c r="X555" s="1696"/>
      <c r="Y555" s="1696"/>
      <c r="Z555" s="1773"/>
    </row>
    <row r="556">
      <c r="A556" s="1765"/>
      <c r="B556" s="1782"/>
      <c r="C556" s="1765"/>
      <c r="D556" s="1765"/>
      <c r="E556" s="1765"/>
      <c r="F556" s="1765"/>
      <c r="G556" s="1765"/>
      <c r="H556" s="1765"/>
      <c r="I556" s="1765"/>
      <c r="J556" s="1765"/>
      <c r="K556" s="1765"/>
      <c r="L556" s="1765"/>
      <c r="M556" s="1765"/>
      <c r="N556" s="1765"/>
      <c r="O556" s="1765"/>
      <c r="P556" s="1765"/>
      <c r="Q556" s="1766"/>
      <c r="R556" s="1766"/>
      <c r="S556" s="1696"/>
      <c r="T556" s="1696"/>
      <c r="U556" s="1772"/>
      <c r="V556" s="1696"/>
      <c r="W556" s="1772"/>
      <c r="X556" s="1696"/>
      <c r="Y556" s="1696"/>
      <c r="Z556" s="1773"/>
    </row>
    <row r="557">
      <c r="A557" s="1771"/>
      <c r="B557" s="1777"/>
      <c r="C557" s="1771"/>
      <c r="D557" s="1771"/>
      <c r="E557" s="1771"/>
      <c r="F557" s="1771"/>
      <c r="G557" s="1770"/>
      <c r="H557" s="1771"/>
      <c r="I557" s="1778"/>
      <c r="J557" s="1771"/>
      <c r="K557" s="1771"/>
      <c r="L557" s="1771"/>
      <c r="M557" s="1771"/>
      <c r="N557" s="1779"/>
      <c r="O557" s="1770"/>
      <c r="P557" s="1771"/>
      <c r="Q557" s="1766"/>
      <c r="R557" s="1766"/>
      <c r="S557" s="1696"/>
      <c r="T557" s="1696"/>
      <c r="U557" s="1772"/>
      <c r="V557" s="1696"/>
      <c r="W557" s="1772"/>
      <c r="X557" s="1696"/>
      <c r="Y557" s="1696"/>
      <c r="Z557" s="1773"/>
    </row>
    <row r="558">
      <c r="A558" s="1766"/>
      <c r="B558" s="1780"/>
      <c r="C558" s="1766"/>
      <c r="D558" s="1766"/>
      <c r="E558" s="1766"/>
      <c r="F558" s="1766"/>
      <c r="G558" s="1766"/>
      <c r="H558" s="1766"/>
      <c r="I558" s="1766"/>
      <c r="J558" s="1766"/>
      <c r="K558" s="1766"/>
      <c r="L558" s="1766"/>
      <c r="M558" s="1781"/>
      <c r="N558" s="1781"/>
      <c r="O558" s="1766"/>
      <c r="P558" s="1766"/>
      <c r="Q558" s="1766"/>
      <c r="R558" s="1766"/>
      <c r="S558" s="1696"/>
      <c r="T558" s="1696"/>
      <c r="U558" s="1772"/>
      <c r="V558" s="1696"/>
      <c r="W558" s="1772"/>
      <c r="X558" s="1696"/>
      <c r="Y558" s="1696"/>
      <c r="Z558" s="1773"/>
    </row>
    <row r="559">
      <c r="A559" s="1765"/>
      <c r="B559" s="1782"/>
      <c r="C559" s="1765"/>
      <c r="D559" s="1765"/>
      <c r="E559" s="1765"/>
      <c r="F559" s="1765"/>
      <c r="G559" s="1765"/>
      <c r="H559" s="1765"/>
      <c r="I559" s="1765"/>
      <c r="J559" s="1765"/>
      <c r="K559" s="1765"/>
      <c r="L559" s="1765"/>
      <c r="M559" s="1765"/>
      <c r="N559" s="1765"/>
      <c r="O559" s="1765"/>
      <c r="P559" s="1765"/>
      <c r="Q559" s="1766"/>
      <c r="R559" s="1766"/>
      <c r="S559" s="1696"/>
      <c r="T559" s="1696"/>
      <c r="U559" s="1772"/>
      <c r="V559" s="1696"/>
      <c r="W559" s="1772"/>
      <c r="X559" s="1696"/>
      <c r="Y559" s="1696"/>
      <c r="Z559" s="1773"/>
    </row>
    <row r="560">
      <c r="A560" s="1771"/>
      <c r="B560" s="1777"/>
      <c r="C560" s="1771"/>
      <c r="D560" s="1771"/>
      <c r="E560" s="1771"/>
      <c r="F560" s="1771"/>
      <c r="G560" s="1770"/>
      <c r="H560" s="1771"/>
      <c r="I560" s="1778"/>
      <c r="J560" s="1771"/>
      <c r="K560" s="1771"/>
      <c r="L560" s="1771"/>
      <c r="M560" s="1771"/>
      <c r="N560" s="1779"/>
      <c r="O560" s="1770"/>
      <c r="P560" s="1771"/>
      <c r="Q560" s="1766"/>
      <c r="R560" s="1766"/>
      <c r="S560" s="1696"/>
      <c r="T560" s="1696"/>
      <c r="U560" s="1772"/>
      <c r="V560" s="1696"/>
      <c r="W560" s="1772"/>
      <c r="X560" s="1696"/>
      <c r="Y560" s="1696"/>
      <c r="Z560" s="1773"/>
    </row>
    <row r="561">
      <c r="A561" s="1766"/>
      <c r="B561" s="1780"/>
      <c r="C561" s="1766"/>
      <c r="D561" s="1766"/>
      <c r="E561" s="1766"/>
      <c r="F561" s="1766"/>
      <c r="G561" s="1766"/>
      <c r="H561" s="1766"/>
      <c r="I561" s="1766"/>
      <c r="J561" s="1766"/>
      <c r="K561" s="1766"/>
      <c r="L561" s="1766"/>
      <c r="M561" s="1781"/>
      <c r="N561" s="1781"/>
      <c r="O561" s="1766"/>
      <c r="P561" s="1766"/>
      <c r="Q561" s="1766"/>
      <c r="R561" s="1766"/>
      <c r="S561" s="1696"/>
      <c r="T561" s="1696"/>
      <c r="U561" s="1772"/>
      <c r="V561" s="1696"/>
      <c r="W561" s="1772"/>
      <c r="X561" s="1696"/>
      <c r="Y561" s="1696"/>
      <c r="Z561" s="1773"/>
    </row>
    <row r="562">
      <c r="A562" s="1765"/>
      <c r="B562" s="1782"/>
      <c r="C562" s="1765"/>
      <c r="D562" s="1765"/>
      <c r="E562" s="1765"/>
      <c r="F562" s="1765"/>
      <c r="G562" s="1765"/>
      <c r="H562" s="1765"/>
      <c r="I562" s="1765"/>
      <c r="J562" s="1765"/>
      <c r="K562" s="1765"/>
      <c r="L562" s="1765"/>
      <c r="M562" s="1765"/>
      <c r="N562" s="1765"/>
      <c r="O562" s="1765"/>
      <c r="P562" s="1765"/>
      <c r="Q562" s="1766"/>
      <c r="R562" s="1766"/>
      <c r="S562" s="1696"/>
      <c r="T562" s="1696"/>
      <c r="U562" s="1772"/>
      <c r="V562" s="1696"/>
      <c r="W562" s="1772"/>
      <c r="X562" s="1696"/>
      <c r="Y562" s="1696"/>
      <c r="Z562" s="1773"/>
    </row>
    <row r="563">
      <c r="A563" s="1771"/>
      <c r="B563" s="1777"/>
      <c r="C563" s="1771"/>
      <c r="D563" s="1771"/>
      <c r="E563" s="1771"/>
      <c r="F563" s="1771"/>
      <c r="G563" s="1770"/>
      <c r="H563" s="1771"/>
      <c r="I563" s="1778"/>
      <c r="J563" s="1771"/>
      <c r="K563" s="1771"/>
      <c r="L563" s="1771"/>
      <c r="M563" s="1771"/>
      <c r="N563" s="1779"/>
      <c r="O563" s="1770"/>
      <c r="P563" s="1771"/>
      <c r="Q563" s="1766"/>
      <c r="R563" s="1766"/>
      <c r="S563" s="1696"/>
      <c r="T563" s="1696"/>
      <c r="U563" s="1772"/>
      <c r="V563" s="1696"/>
      <c r="W563" s="1772"/>
      <c r="X563" s="1696"/>
      <c r="Y563" s="1696"/>
      <c r="Z563" s="1773"/>
    </row>
    <row r="564">
      <c r="A564" s="1766"/>
      <c r="B564" s="1780"/>
      <c r="C564" s="1766"/>
      <c r="D564" s="1766"/>
      <c r="E564" s="1766"/>
      <c r="F564" s="1766"/>
      <c r="G564" s="1766"/>
      <c r="H564" s="1766"/>
      <c r="I564" s="1766"/>
      <c r="J564" s="1766"/>
      <c r="K564" s="1766"/>
      <c r="L564" s="1766"/>
      <c r="M564" s="1781"/>
      <c r="N564" s="1781"/>
      <c r="O564" s="1766"/>
      <c r="P564" s="1766"/>
      <c r="Q564" s="1766"/>
      <c r="R564" s="1766"/>
      <c r="S564" s="1696"/>
      <c r="T564" s="1696"/>
      <c r="U564" s="1772"/>
      <c r="V564" s="1696"/>
      <c r="W564" s="1772"/>
      <c r="X564" s="1696"/>
      <c r="Y564" s="1696"/>
      <c r="Z564" s="1773"/>
    </row>
    <row r="565">
      <c r="A565" s="1765"/>
      <c r="B565" s="1782"/>
      <c r="C565" s="1765"/>
      <c r="D565" s="1765"/>
      <c r="E565" s="1765"/>
      <c r="F565" s="1765"/>
      <c r="G565" s="1765"/>
      <c r="H565" s="1765"/>
      <c r="I565" s="1765"/>
      <c r="J565" s="1765"/>
      <c r="K565" s="1765"/>
      <c r="L565" s="1765"/>
      <c r="M565" s="1765"/>
      <c r="N565" s="1765"/>
      <c r="O565" s="1765"/>
      <c r="P565" s="1765"/>
      <c r="Q565" s="1766"/>
      <c r="R565" s="1766"/>
      <c r="S565" s="1696"/>
      <c r="T565" s="1696"/>
      <c r="U565" s="1772"/>
      <c r="V565" s="1696"/>
      <c r="W565" s="1772"/>
      <c r="X565" s="1696"/>
      <c r="Y565" s="1696"/>
      <c r="Z565" s="1773"/>
    </row>
    <row r="566">
      <c r="A566" s="1771"/>
      <c r="B566" s="1777"/>
      <c r="C566" s="1771"/>
      <c r="D566" s="1771"/>
      <c r="E566" s="1771"/>
      <c r="F566" s="1771"/>
      <c r="G566" s="1770"/>
      <c r="H566" s="1771"/>
      <c r="I566" s="1778"/>
      <c r="J566" s="1771"/>
      <c r="K566" s="1771"/>
      <c r="L566" s="1771"/>
      <c r="M566" s="1771"/>
      <c r="N566" s="1779"/>
      <c r="O566" s="1783"/>
      <c r="P566" s="1771"/>
      <c r="Q566" s="1773"/>
      <c r="R566" s="1773"/>
      <c r="S566" s="1773"/>
      <c r="T566" s="1773"/>
      <c r="U566" s="1773"/>
      <c r="V566" s="1773"/>
      <c r="W566" s="1773"/>
      <c r="X566" s="1773"/>
      <c r="Y566" s="1773"/>
      <c r="Z566" s="1773"/>
    </row>
    <row r="567">
      <c r="A567" s="1766"/>
      <c r="B567" s="1780"/>
      <c r="C567" s="1766"/>
      <c r="D567" s="1766"/>
      <c r="E567" s="1766"/>
      <c r="F567" s="1766"/>
      <c r="G567" s="1766"/>
      <c r="H567" s="1766"/>
      <c r="I567" s="1766"/>
      <c r="J567" s="1766"/>
      <c r="K567" s="1766"/>
      <c r="L567" s="1766"/>
      <c r="M567" s="1766"/>
      <c r="N567" s="1766"/>
      <c r="O567" s="1766"/>
      <c r="P567" s="1766"/>
      <c r="Q567" s="1766"/>
      <c r="R567" s="1766"/>
      <c r="S567" s="1696"/>
      <c r="T567" s="1696"/>
      <c r="U567" s="1772"/>
      <c r="V567" s="1696"/>
      <c r="W567" s="1772"/>
      <c r="X567" s="1696"/>
      <c r="Y567" s="1696"/>
      <c r="Z567" s="1696"/>
    </row>
    <row r="568">
      <c r="A568" s="1765"/>
      <c r="B568" s="1782"/>
      <c r="C568" s="1765"/>
      <c r="D568" s="1765"/>
      <c r="E568" s="1765"/>
      <c r="F568" s="1765"/>
      <c r="G568" s="1765"/>
      <c r="H568" s="1765"/>
      <c r="I568" s="1765"/>
      <c r="J568" s="1765"/>
      <c r="K568" s="1765"/>
      <c r="L568" s="1765"/>
      <c r="M568" s="1765"/>
      <c r="N568" s="1765"/>
      <c r="O568" s="1765"/>
      <c r="P568" s="1765"/>
      <c r="Q568" s="1766"/>
      <c r="R568" s="1766"/>
      <c r="S568" s="1696"/>
      <c r="T568" s="1696"/>
      <c r="U568" s="1772"/>
      <c r="V568" s="1696"/>
      <c r="W568" s="1772"/>
      <c r="X568" s="1696"/>
      <c r="Y568" s="1696"/>
      <c r="Z568" s="1696"/>
    </row>
    <row r="569">
      <c r="A569" s="1771"/>
      <c r="B569" s="1777"/>
      <c r="C569" s="1771"/>
      <c r="D569" s="1771"/>
      <c r="E569" s="1771"/>
      <c r="F569" s="1771"/>
      <c r="G569" s="1770"/>
      <c r="H569" s="1771"/>
      <c r="I569" s="1778"/>
      <c r="J569" s="1771"/>
      <c r="K569" s="1771"/>
      <c r="L569" s="1771"/>
      <c r="M569" s="1771"/>
      <c r="N569" s="1770"/>
      <c r="O569" s="1770"/>
      <c r="P569" s="1771"/>
      <c r="Q569" s="1766"/>
      <c r="R569" s="1766"/>
      <c r="S569" s="1696"/>
      <c r="T569" s="1696"/>
      <c r="U569" s="1772"/>
      <c r="V569" s="1696"/>
      <c r="W569" s="1772"/>
      <c r="X569" s="1696"/>
      <c r="Y569" s="1696"/>
      <c r="Z569" s="1773"/>
    </row>
    <row r="570">
      <c r="A570" s="1766"/>
      <c r="B570" s="1780"/>
      <c r="C570" s="1766"/>
      <c r="D570" s="1766"/>
      <c r="E570" s="1766"/>
      <c r="F570" s="1766"/>
      <c r="G570" s="1766"/>
      <c r="H570" s="1766"/>
      <c r="I570" s="1766"/>
      <c r="J570" s="1766"/>
      <c r="K570" s="1766"/>
      <c r="L570" s="1766"/>
      <c r="M570" s="1781"/>
      <c r="N570" s="1781"/>
      <c r="O570" s="1766"/>
      <c r="P570" s="1766"/>
      <c r="Q570" s="1766"/>
      <c r="R570" s="1766"/>
      <c r="S570" s="1696"/>
      <c r="T570" s="1696"/>
      <c r="U570" s="1772"/>
      <c r="V570" s="1696"/>
      <c r="W570" s="1772"/>
      <c r="X570" s="1696"/>
      <c r="Y570" s="1696"/>
      <c r="Z570" s="1773"/>
    </row>
    <row r="571">
      <c r="A571" s="1765"/>
      <c r="B571" s="1782"/>
      <c r="C571" s="1765"/>
      <c r="D571" s="1765"/>
      <c r="E571" s="1765"/>
      <c r="F571" s="1765"/>
      <c r="G571" s="1765"/>
      <c r="H571" s="1765"/>
      <c r="I571" s="1765"/>
      <c r="J571" s="1765"/>
      <c r="K571" s="1765"/>
      <c r="L571" s="1765"/>
      <c r="M571" s="1765"/>
      <c r="N571" s="1765"/>
      <c r="O571" s="1765"/>
      <c r="P571" s="1765"/>
      <c r="Q571" s="1766"/>
      <c r="R571" s="1766"/>
      <c r="S571" s="1696"/>
      <c r="T571" s="1696"/>
      <c r="U571" s="1772"/>
      <c r="V571" s="1696"/>
      <c r="W571" s="1772"/>
      <c r="X571" s="1696"/>
      <c r="Y571" s="1696"/>
      <c r="Z571" s="1773"/>
    </row>
    <row r="572">
      <c r="A572" s="1771"/>
      <c r="B572" s="1777"/>
      <c r="C572" s="1771"/>
      <c r="D572" s="1771"/>
      <c r="E572" s="1771"/>
      <c r="F572" s="1771"/>
      <c r="G572" s="1770"/>
      <c r="H572" s="1771"/>
      <c r="I572" s="1778"/>
      <c r="J572" s="1771"/>
      <c r="K572" s="1771"/>
      <c r="L572" s="1771"/>
      <c r="M572" s="1771"/>
      <c r="N572" s="1779"/>
      <c r="O572" s="1770"/>
      <c r="P572" s="1771"/>
      <c r="Q572" s="1766"/>
      <c r="R572" s="1766"/>
      <c r="S572" s="1696"/>
      <c r="U572" s="1772"/>
      <c r="V572" s="1696"/>
      <c r="W572" s="1772"/>
      <c r="X572" s="1696"/>
      <c r="Y572" s="1696"/>
      <c r="Z572" s="1773"/>
    </row>
    <row r="573">
      <c r="A573" s="1766"/>
      <c r="B573" s="1780"/>
      <c r="C573" s="1766"/>
      <c r="D573" s="1766"/>
      <c r="E573" s="1766"/>
      <c r="F573" s="1766"/>
      <c r="G573" s="1766"/>
      <c r="H573" s="1766"/>
      <c r="I573" s="1766"/>
      <c r="J573" s="1766"/>
      <c r="K573" s="1766"/>
      <c r="L573" s="1766"/>
      <c r="M573" s="1781"/>
      <c r="N573" s="1781"/>
      <c r="O573" s="1766"/>
      <c r="P573" s="1766"/>
      <c r="Q573" s="1766"/>
      <c r="R573" s="1766"/>
      <c r="S573" s="1696"/>
      <c r="U573" s="1772"/>
      <c r="V573" s="1696"/>
      <c r="W573" s="1772"/>
      <c r="X573" s="1696"/>
      <c r="Y573" s="1696"/>
      <c r="Z573" s="1773"/>
    </row>
    <row r="574">
      <c r="A574" s="1765"/>
      <c r="B574" s="1782"/>
      <c r="C574" s="1765"/>
      <c r="D574" s="1765"/>
      <c r="E574" s="1765"/>
      <c r="F574" s="1765"/>
      <c r="G574" s="1765"/>
      <c r="H574" s="1765"/>
      <c r="I574" s="1765"/>
      <c r="J574" s="1765"/>
      <c r="K574" s="1765"/>
      <c r="L574" s="1765"/>
      <c r="M574" s="1765"/>
      <c r="N574" s="1765"/>
      <c r="O574" s="1765"/>
      <c r="P574" s="1765"/>
      <c r="Q574" s="1766"/>
      <c r="R574" s="1766"/>
      <c r="S574" s="1696"/>
      <c r="U574" s="1772"/>
      <c r="V574" s="1696"/>
      <c r="W574" s="1772"/>
      <c r="X574" s="1696"/>
      <c r="Y574" s="1696"/>
      <c r="Z574" s="1773"/>
    </row>
    <row r="575">
      <c r="A575" s="1771"/>
      <c r="B575" s="1777"/>
      <c r="C575" s="1771"/>
      <c r="D575" s="1771"/>
      <c r="E575" s="1771"/>
      <c r="F575" s="1771"/>
      <c r="G575" s="1771"/>
      <c r="H575" s="1771"/>
      <c r="I575" s="1778"/>
      <c r="J575" s="1771"/>
      <c r="K575" s="1771"/>
      <c r="L575" s="1771"/>
      <c r="M575" s="1771"/>
      <c r="N575" s="1779"/>
      <c r="O575" s="1770"/>
      <c r="P575" s="1771"/>
      <c r="Q575" s="1766"/>
      <c r="R575" s="1766"/>
      <c r="S575" s="1696"/>
      <c r="U575" s="1772"/>
      <c r="V575" s="1696"/>
      <c r="W575" s="1772"/>
      <c r="X575" s="1696"/>
      <c r="Y575" s="1696"/>
      <c r="Z575" s="1696"/>
    </row>
    <row r="576">
      <c r="A576" s="1766"/>
      <c r="B576" s="1780"/>
      <c r="C576" s="1766"/>
      <c r="D576" s="1766"/>
      <c r="E576" s="1766"/>
      <c r="F576" s="1766"/>
      <c r="G576" s="1766"/>
      <c r="H576" s="1766"/>
      <c r="I576" s="1766"/>
      <c r="J576" s="1766"/>
      <c r="K576" s="1766"/>
      <c r="L576" s="1766"/>
      <c r="M576" s="1781"/>
      <c r="N576" s="1781"/>
      <c r="O576" s="1766"/>
      <c r="P576" s="1766"/>
      <c r="Q576" s="1766"/>
      <c r="R576" s="1766"/>
      <c r="S576" s="1696"/>
      <c r="U576" s="1772"/>
      <c r="V576" s="1696"/>
      <c r="W576" s="1772"/>
      <c r="X576" s="1696"/>
      <c r="Y576" s="1696"/>
      <c r="Z576" s="1696"/>
    </row>
    <row r="577">
      <c r="A577" s="1765"/>
      <c r="B577" s="1782"/>
      <c r="C577" s="1765"/>
      <c r="D577" s="1765"/>
      <c r="E577" s="1765"/>
      <c r="F577" s="1765"/>
      <c r="G577" s="1765"/>
      <c r="H577" s="1765"/>
      <c r="I577" s="1765"/>
      <c r="J577" s="1765"/>
      <c r="K577" s="1765"/>
      <c r="L577" s="1765"/>
      <c r="M577" s="1765"/>
      <c r="N577" s="1765"/>
      <c r="O577" s="1765"/>
      <c r="P577" s="1765"/>
      <c r="Q577" s="1766"/>
      <c r="R577" s="1766"/>
      <c r="S577" s="1696"/>
      <c r="T577" s="1696"/>
      <c r="U577" s="1772"/>
      <c r="V577" s="1696"/>
      <c r="W577" s="1772"/>
      <c r="X577" s="1696"/>
      <c r="Y577" s="1696"/>
      <c r="Z577" s="1773"/>
    </row>
    <row r="578">
      <c r="A578" s="1771"/>
      <c r="B578" s="1777"/>
      <c r="C578" s="1771"/>
      <c r="D578" s="1771"/>
      <c r="E578" s="1771"/>
      <c r="F578" s="1771"/>
      <c r="G578" s="1770"/>
      <c r="H578" s="1771"/>
      <c r="I578" s="1778"/>
      <c r="J578" s="1771"/>
      <c r="K578" s="1771"/>
      <c r="L578" s="1771"/>
      <c r="M578" s="1771"/>
      <c r="N578" s="1779"/>
      <c r="O578" s="1770"/>
      <c r="P578" s="1771"/>
      <c r="Q578" s="1766"/>
      <c r="R578" s="1766"/>
      <c r="S578" s="1696"/>
      <c r="T578" s="1696"/>
      <c r="U578" s="1772"/>
      <c r="V578" s="1696"/>
      <c r="W578" s="1772"/>
      <c r="X578" s="1696"/>
      <c r="Y578" s="1696"/>
      <c r="Z578" s="1773"/>
    </row>
    <row r="579">
      <c r="A579" s="1766"/>
      <c r="B579" s="1780"/>
      <c r="C579" s="1766"/>
      <c r="D579" s="1766"/>
      <c r="E579" s="1766"/>
      <c r="F579" s="1766"/>
      <c r="G579" s="1766"/>
      <c r="H579" s="1766"/>
      <c r="I579" s="1766"/>
      <c r="J579" s="1766"/>
      <c r="K579" s="1766"/>
      <c r="L579" s="1766"/>
      <c r="M579" s="1781"/>
      <c r="N579" s="1781"/>
      <c r="O579" s="1766"/>
      <c r="P579" s="1766"/>
      <c r="Q579" s="1766"/>
      <c r="R579" s="1766"/>
      <c r="S579" s="1696"/>
      <c r="T579" s="1696"/>
      <c r="U579" s="1772"/>
      <c r="V579" s="1696"/>
      <c r="W579" s="1772"/>
      <c r="X579" s="1696"/>
      <c r="Y579" s="1696"/>
      <c r="Z579" s="1773"/>
    </row>
    <row r="580">
      <c r="A580" s="1765"/>
      <c r="B580" s="1782"/>
      <c r="C580" s="1765"/>
      <c r="D580" s="1765"/>
      <c r="E580" s="1765"/>
      <c r="F580" s="1765"/>
      <c r="G580" s="1765"/>
      <c r="H580" s="1765"/>
      <c r="I580" s="1765"/>
      <c r="J580" s="1765"/>
      <c r="K580" s="1765"/>
      <c r="L580" s="1765"/>
      <c r="M580" s="1765"/>
      <c r="N580" s="1765"/>
      <c r="O580" s="1765"/>
      <c r="P580" s="1765"/>
      <c r="Q580" s="1766"/>
      <c r="R580" s="1766"/>
      <c r="S580" s="1696"/>
      <c r="T580" s="1696"/>
      <c r="U580" s="1772"/>
      <c r="V580" s="1696"/>
      <c r="W580" s="1772"/>
      <c r="X580" s="1696"/>
      <c r="Y580" s="1696"/>
      <c r="Z580" s="1773"/>
    </row>
    <row r="581">
      <c r="A581" s="1771"/>
      <c r="B581" s="1777"/>
      <c r="C581" s="1771"/>
      <c r="D581" s="1771"/>
      <c r="E581" s="1771"/>
      <c r="F581" s="1771"/>
      <c r="G581" s="1770"/>
      <c r="H581" s="1771"/>
      <c r="I581" s="1778"/>
      <c r="J581" s="1771"/>
      <c r="K581" s="1771"/>
      <c r="L581" s="1771"/>
      <c r="M581" s="1771"/>
      <c r="N581" s="1779"/>
      <c r="O581" s="1770"/>
      <c r="P581" s="1771"/>
      <c r="Q581" s="1766"/>
      <c r="R581" s="1766"/>
      <c r="S581" s="1696"/>
      <c r="T581" s="1696"/>
      <c r="U581" s="1772"/>
      <c r="V581" s="1696"/>
      <c r="W581" s="1772"/>
      <c r="X581" s="1696"/>
      <c r="Y581" s="1696"/>
      <c r="Z581" s="1696"/>
    </row>
    <row r="582">
      <c r="A582" s="1766"/>
      <c r="B582" s="1780"/>
      <c r="C582" s="1766"/>
      <c r="D582" s="1766"/>
      <c r="E582" s="1766"/>
      <c r="F582" s="1766"/>
      <c r="G582" s="1766"/>
      <c r="H582" s="1766"/>
      <c r="I582" s="1766"/>
      <c r="J582" s="1766"/>
      <c r="K582" s="1766"/>
      <c r="L582" s="1766"/>
      <c r="M582" s="1781"/>
      <c r="N582" s="1781"/>
      <c r="O582" s="1766"/>
      <c r="P582" s="1766"/>
      <c r="Q582" s="1766"/>
      <c r="R582" s="1766"/>
      <c r="S582" s="1696"/>
      <c r="T582" s="1696"/>
      <c r="U582" s="1772"/>
      <c r="V582" s="1696"/>
      <c r="W582" s="1772"/>
      <c r="X582" s="1696"/>
      <c r="Y582" s="1696"/>
      <c r="Z582" s="1696"/>
    </row>
    <row r="583">
      <c r="A583" s="1765"/>
      <c r="B583" s="1782"/>
      <c r="C583" s="1765"/>
      <c r="D583" s="1765"/>
      <c r="E583" s="1765"/>
      <c r="F583" s="1765"/>
      <c r="G583" s="1765"/>
      <c r="H583" s="1765"/>
      <c r="I583" s="1765"/>
      <c r="J583" s="1765"/>
      <c r="K583" s="1765"/>
      <c r="L583" s="1765"/>
      <c r="M583" s="1765"/>
      <c r="N583" s="1765"/>
      <c r="O583" s="1765"/>
      <c r="P583" s="1765"/>
      <c r="Q583" s="1766"/>
      <c r="R583" s="1766"/>
      <c r="S583" s="1696"/>
      <c r="T583" s="1696"/>
      <c r="U583" s="1772"/>
      <c r="V583" s="1696"/>
      <c r="W583" s="1772"/>
      <c r="X583" s="1696"/>
      <c r="Y583" s="1696"/>
      <c r="Z583" s="1773"/>
    </row>
    <row r="584">
      <c r="A584" s="1771"/>
      <c r="B584" s="1777"/>
      <c r="C584" s="1771"/>
      <c r="D584" s="1771"/>
      <c r="E584" s="1771"/>
      <c r="F584" s="1771"/>
      <c r="G584" s="1770"/>
      <c r="H584" s="1771"/>
      <c r="I584" s="1770"/>
      <c r="J584" s="1771"/>
      <c r="K584" s="1771"/>
      <c r="L584" s="1771"/>
      <c r="M584" s="1771"/>
      <c r="N584" s="1779"/>
      <c r="O584" s="1770"/>
      <c r="P584" s="1771"/>
      <c r="Q584" s="1766"/>
      <c r="R584" s="1766"/>
      <c r="S584" s="1696"/>
      <c r="T584" s="1696"/>
      <c r="U584" s="1772"/>
      <c r="V584" s="1696"/>
      <c r="W584" s="1772"/>
      <c r="X584" s="1696"/>
      <c r="Y584" s="1696"/>
      <c r="Z584" s="1773"/>
    </row>
    <row r="585">
      <c r="A585" s="1766"/>
      <c r="B585" s="1780"/>
      <c r="C585" s="1766"/>
      <c r="D585" s="1766"/>
      <c r="E585" s="1766"/>
      <c r="F585" s="1766"/>
      <c r="G585" s="1766"/>
      <c r="H585" s="1766"/>
      <c r="I585" s="1766"/>
      <c r="J585" s="1766"/>
      <c r="K585" s="1766"/>
      <c r="L585" s="1766"/>
      <c r="M585" s="1781"/>
      <c r="N585" s="1781"/>
      <c r="O585" s="1766"/>
      <c r="P585" s="1766"/>
      <c r="Q585" s="1766"/>
      <c r="R585" s="1766"/>
      <c r="S585" s="1696"/>
      <c r="T585" s="1696"/>
      <c r="U585" s="1772"/>
      <c r="V585" s="1696"/>
      <c r="W585" s="1772"/>
      <c r="X585" s="1696"/>
      <c r="Y585" s="1696"/>
      <c r="Z585" s="1773"/>
    </row>
    <row r="586">
      <c r="A586" s="1765"/>
      <c r="B586" s="1782"/>
      <c r="C586" s="1765"/>
      <c r="D586" s="1765"/>
      <c r="E586" s="1765"/>
      <c r="F586" s="1765"/>
      <c r="G586" s="1765"/>
      <c r="H586" s="1765"/>
      <c r="I586" s="1765"/>
      <c r="J586" s="1765"/>
      <c r="K586" s="1765"/>
      <c r="L586" s="1765"/>
      <c r="M586" s="1765"/>
      <c r="N586" s="1765"/>
      <c r="O586" s="1765"/>
      <c r="P586" s="1765"/>
      <c r="Q586" s="1766"/>
      <c r="R586" s="1766"/>
      <c r="S586" s="1696"/>
      <c r="T586" s="1696"/>
      <c r="U586" s="1772"/>
      <c r="V586" s="1696"/>
      <c r="W586" s="1772"/>
      <c r="X586" s="1696"/>
      <c r="Y586" s="1696"/>
      <c r="Z586" s="1773"/>
    </row>
    <row r="587">
      <c r="A587" s="1771"/>
      <c r="B587" s="1777"/>
      <c r="C587" s="1771"/>
      <c r="D587" s="1771"/>
      <c r="E587" s="1771"/>
      <c r="F587" s="1771"/>
      <c r="G587" s="1770"/>
      <c r="H587" s="1771"/>
      <c r="I587" s="1770"/>
      <c r="J587" s="1771"/>
      <c r="K587" s="1771"/>
      <c r="L587" s="1771"/>
      <c r="M587" s="1771"/>
      <c r="N587" s="1779"/>
      <c r="O587" s="1770"/>
      <c r="P587" s="1771"/>
      <c r="Q587" s="1766"/>
      <c r="R587" s="1766"/>
      <c r="S587" s="1696"/>
      <c r="U587" s="1772"/>
      <c r="V587" s="1696"/>
      <c r="W587" s="1772"/>
      <c r="X587" s="1696"/>
      <c r="Y587" s="1696"/>
      <c r="Z587" s="1696"/>
    </row>
    <row r="588">
      <c r="A588" s="1766"/>
      <c r="B588" s="1780"/>
      <c r="C588" s="1766"/>
      <c r="D588" s="1766"/>
      <c r="E588" s="1766"/>
      <c r="F588" s="1766"/>
      <c r="G588" s="1766"/>
      <c r="H588" s="1766"/>
      <c r="I588" s="1766"/>
      <c r="J588" s="1766"/>
      <c r="K588" s="1766"/>
      <c r="L588" s="1766"/>
      <c r="M588" s="1781"/>
      <c r="N588" s="1781"/>
      <c r="O588" s="1766"/>
      <c r="P588" s="1766"/>
      <c r="Q588" s="1766"/>
      <c r="R588" s="1766"/>
      <c r="S588" s="1696"/>
      <c r="U588" s="1772"/>
      <c r="V588" s="1696"/>
      <c r="W588" s="1772"/>
      <c r="X588" s="1696"/>
      <c r="Y588" s="1696"/>
      <c r="Z588" s="1773"/>
    </row>
    <row r="589">
      <c r="A589" s="1765"/>
      <c r="B589" s="1782"/>
      <c r="C589" s="1765"/>
      <c r="D589" s="1765"/>
      <c r="E589" s="1765"/>
      <c r="F589" s="1765"/>
      <c r="G589" s="1765"/>
      <c r="H589" s="1765"/>
      <c r="I589" s="1765"/>
      <c r="J589" s="1765"/>
      <c r="K589" s="1765"/>
      <c r="L589" s="1765"/>
      <c r="M589" s="1765"/>
      <c r="N589" s="1765"/>
      <c r="O589" s="1765"/>
      <c r="P589" s="1765"/>
      <c r="Q589" s="1766"/>
      <c r="R589" s="1766"/>
      <c r="S589" s="1696"/>
      <c r="U589" s="1772"/>
      <c r="V589" s="1696"/>
      <c r="W589" s="1772"/>
      <c r="X589" s="1696"/>
      <c r="Y589" s="1696"/>
      <c r="Z589" s="1773"/>
    </row>
    <row r="590">
      <c r="A590" s="1771"/>
      <c r="B590" s="1777"/>
      <c r="C590" s="1771"/>
      <c r="D590" s="1771"/>
      <c r="E590" s="1771"/>
      <c r="F590" s="1771"/>
      <c r="G590" s="1770"/>
      <c r="H590" s="1771"/>
      <c r="I590" s="1778"/>
      <c r="J590" s="1771"/>
      <c r="K590" s="1771"/>
      <c r="L590" s="1771"/>
      <c r="M590" s="1771"/>
      <c r="N590" s="1779"/>
      <c r="O590" s="1770"/>
      <c r="P590" s="1771"/>
      <c r="Q590" s="1766"/>
      <c r="R590" s="1766"/>
      <c r="S590" s="1696"/>
      <c r="T590" s="1696"/>
      <c r="U590" s="1772"/>
      <c r="V590" s="1696"/>
      <c r="W590" s="1772"/>
      <c r="X590" s="1696"/>
      <c r="Y590" s="1696"/>
      <c r="Z590" s="1773"/>
    </row>
    <row r="591">
      <c r="A591" s="1766"/>
      <c r="B591" s="1780"/>
      <c r="C591" s="1766"/>
      <c r="D591" s="1766"/>
      <c r="E591" s="1766"/>
      <c r="F591" s="1766"/>
      <c r="G591" s="1766"/>
      <c r="H591" s="1766"/>
      <c r="I591" s="1766"/>
      <c r="J591" s="1766"/>
      <c r="K591" s="1766"/>
      <c r="L591" s="1766"/>
      <c r="M591" s="1781"/>
      <c r="N591" s="1781"/>
      <c r="O591" s="1766"/>
      <c r="P591" s="1766"/>
      <c r="Q591" s="1766"/>
      <c r="R591" s="1766"/>
      <c r="S591" s="1696"/>
      <c r="T591" s="1696"/>
      <c r="U591" s="1772"/>
      <c r="V591" s="1696"/>
      <c r="W591" s="1772"/>
      <c r="X591" s="1696"/>
      <c r="Y591" s="1696"/>
      <c r="Z591" s="1773"/>
    </row>
    <row r="592">
      <c r="A592" s="1765"/>
      <c r="B592" s="1782"/>
      <c r="C592" s="1765"/>
      <c r="D592" s="1765"/>
      <c r="E592" s="1765"/>
      <c r="F592" s="1765"/>
      <c r="G592" s="1765"/>
      <c r="H592" s="1765"/>
      <c r="I592" s="1765"/>
      <c r="J592" s="1765"/>
      <c r="K592" s="1765"/>
      <c r="L592" s="1765"/>
      <c r="M592" s="1765"/>
      <c r="N592" s="1765"/>
      <c r="O592" s="1765"/>
      <c r="P592" s="1765"/>
      <c r="Q592" s="1766"/>
      <c r="R592" s="1766"/>
      <c r="S592" s="1696"/>
      <c r="T592" s="1696"/>
      <c r="U592" s="1772"/>
      <c r="V592" s="1696"/>
      <c r="W592" s="1772"/>
      <c r="X592" s="1696"/>
      <c r="Y592" s="1696"/>
      <c r="Z592" s="1773"/>
    </row>
    <row r="593">
      <c r="A593" s="1771"/>
      <c r="B593" s="1777"/>
      <c r="C593" s="1771"/>
      <c r="D593" s="1771"/>
      <c r="E593" s="1771"/>
      <c r="F593" s="1771"/>
      <c r="G593" s="1770"/>
      <c r="H593" s="1771"/>
      <c r="I593" s="1770"/>
      <c r="J593" s="1771"/>
      <c r="K593" s="1771"/>
      <c r="L593" s="1771"/>
      <c r="M593" s="1771"/>
      <c r="N593" s="1779"/>
      <c r="O593" s="1770"/>
      <c r="P593" s="1771"/>
      <c r="Q593" s="1766"/>
      <c r="R593" s="1766"/>
      <c r="S593" s="1696"/>
      <c r="T593" s="1696"/>
      <c r="U593" s="1772"/>
      <c r="V593" s="1696"/>
      <c r="W593" s="1772"/>
      <c r="X593" s="1696"/>
      <c r="Y593" s="1696"/>
      <c r="Z593" s="1773"/>
    </row>
    <row r="594">
      <c r="A594" s="1766"/>
      <c r="B594" s="1780"/>
      <c r="C594" s="1766"/>
      <c r="D594" s="1766"/>
      <c r="E594" s="1766"/>
      <c r="F594" s="1766"/>
      <c r="G594" s="1766"/>
      <c r="H594" s="1766"/>
      <c r="I594" s="1766"/>
      <c r="J594" s="1766"/>
      <c r="K594" s="1766"/>
      <c r="L594" s="1766"/>
      <c r="M594" s="1781"/>
      <c r="N594" s="1781"/>
      <c r="O594" s="1766"/>
      <c r="P594" s="1766"/>
      <c r="Q594" s="1766"/>
      <c r="R594" s="1766"/>
      <c r="S594" s="1696"/>
      <c r="U594" s="1772"/>
      <c r="V594" s="1696"/>
      <c r="W594" s="1772"/>
      <c r="X594" s="1696"/>
      <c r="Y594" s="1696"/>
      <c r="Z594" s="1773"/>
    </row>
    <row r="595">
      <c r="A595" s="1765"/>
      <c r="B595" s="1782"/>
      <c r="C595" s="1765"/>
      <c r="D595" s="1765"/>
      <c r="E595" s="1765"/>
      <c r="F595" s="1765"/>
      <c r="G595" s="1765"/>
      <c r="H595" s="1765"/>
      <c r="I595" s="1765"/>
      <c r="J595" s="1765"/>
      <c r="K595" s="1765"/>
      <c r="L595" s="1765"/>
      <c r="M595" s="1765"/>
      <c r="N595" s="1765"/>
      <c r="O595" s="1765"/>
      <c r="P595" s="1765"/>
      <c r="Q595" s="1766"/>
      <c r="R595" s="1766"/>
      <c r="S595" s="1696"/>
      <c r="U595" s="1772"/>
      <c r="V595" s="1696"/>
      <c r="W595" s="1772"/>
      <c r="X595" s="1696"/>
      <c r="Y595" s="1696"/>
      <c r="Z595" s="1773"/>
    </row>
    <row r="596">
      <c r="A596" s="1771"/>
      <c r="B596" s="1777"/>
      <c r="C596" s="1771"/>
      <c r="D596" s="1771"/>
      <c r="E596" s="1771"/>
      <c r="F596" s="1771"/>
      <c r="G596" s="1771"/>
      <c r="H596" s="1771"/>
      <c r="I596" s="1770"/>
      <c r="J596" s="1771"/>
      <c r="K596" s="1771"/>
      <c r="L596" s="1771"/>
      <c r="M596" s="1771"/>
      <c r="N596" s="1779"/>
      <c r="O596" s="1770"/>
      <c r="P596" s="1771"/>
      <c r="Q596" s="1766"/>
      <c r="R596" s="1766"/>
      <c r="S596" s="1696"/>
      <c r="U596" s="1772"/>
      <c r="V596" s="1696"/>
      <c r="W596" s="1772"/>
      <c r="X596" s="1696"/>
      <c r="Y596" s="1696"/>
      <c r="Z596" s="1773"/>
    </row>
    <row r="597">
      <c r="A597" s="1766"/>
      <c r="B597" s="1780"/>
      <c r="C597" s="1766"/>
      <c r="D597" s="1766"/>
      <c r="E597" s="1766"/>
      <c r="F597" s="1766"/>
      <c r="G597" s="1766"/>
      <c r="H597" s="1766"/>
      <c r="I597" s="1766"/>
      <c r="J597" s="1766"/>
      <c r="K597" s="1766"/>
      <c r="L597" s="1766"/>
      <c r="M597" s="1781"/>
      <c r="N597" s="1781"/>
      <c r="O597" s="1766"/>
      <c r="P597" s="1766"/>
      <c r="Q597" s="1766"/>
      <c r="R597" s="1766"/>
      <c r="S597" s="1696"/>
      <c r="T597" s="1696"/>
      <c r="U597" s="1772"/>
      <c r="V597" s="1696"/>
      <c r="W597" s="1772"/>
      <c r="X597" s="1696"/>
      <c r="Y597" s="1696"/>
      <c r="Z597" s="1773"/>
    </row>
    <row r="598">
      <c r="A598" s="1765"/>
      <c r="B598" s="1782"/>
      <c r="C598" s="1765"/>
      <c r="D598" s="1765"/>
      <c r="E598" s="1765"/>
      <c r="F598" s="1765"/>
      <c r="G598" s="1765"/>
      <c r="H598" s="1765"/>
      <c r="I598" s="1765"/>
      <c r="J598" s="1765"/>
      <c r="K598" s="1765"/>
      <c r="L598" s="1765"/>
      <c r="M598" s="1765"/>
      <c r="N598" s="1765"/>
      <c r="O598" s="1765"/>
      <c r="P598" s="1765"/>
      <c r="Q598" s="1766"/>
      <c r="R598" s="1766"/>
      <c r="S598" s="1696"/>
      <c r="T598" s="1696"/>
      <c r="U598" s="1772"/>
      <c r="V598" s="1696"/>
      <c r="W598" s="1772"/>
      <c r="X598" s="1696"/>
      <c r="Y598" s="1696"/>
      <c r="Z598" s="1773"/>
    </row>
    <row r="599">
      <c r="A599" s="1771"/>
      <c r="B599" s="1777"/>
      <c r="C599" s="1771"/>
      <c r="D599" s="1771"/>
      <c r="E599" s="1771"/>
      <c r="F599" s="1771"/>
      <c r="G599" s="1771"/>
      <c r="H599" s="1771"/>
      <c r="I599" s="1770"/>
      <c r="J599" s="1771"/>
      <c r="K599" s="1771"/>
      <c r="L599" s="1771"/>
      <c r="M599" s="1771"/>
      <c r="N599" s="1779"/>
      <c r="O599" s="1770"/>
      <c r="P599" s="1771"/>
      <c r="Q599" s="1766"/>
      <c r="R599" s="1766"/>
      <c r="S599" s="1696"/>
      <c r="T599" s="1696"/>
      <c r="U599" s="1772"/>
      <c r="V599" s="1696"/>
      <c r="W599" s="1772"/>
      <c r="X599" s="1696"/>
      <c r="Y599" s="1696"/>
      <c r="Z599" s="1773"/>
    </row>
    <row r="600">
      <c r="A600" s="1766"/>
      <c r="B600" s="1780"/>
      <c r="C600" s="1766"/>
      <c r="D600" s="1766"/>
      <c r="E600" s="1766"/>
      <c r="F600" s="1766"/>
      <c r="G600" s="1766"/>
      <c r="H600" s="1766"/>
      <c r="I600" s="1766"/>
      <c r="J600" s="1766"/>
      <c r="K600" s="1766"/>
      <c r="L600" s="1766"/>
      <c r="M600" s="1781"/>
      <c r="N600" s="1781"/>
      <c r="O600" s="1766"/>
      <c r="P600" s="1766"/>
      <c r="Q600" s="1766"/>
      <c r="R600" s="1766"/>
      <c r="S600" s="1696"/>
      <c r="T600" s="1696"/>
      <c r="U600" s="1772"/>
      <c r="V600" s="1696"/>
      <c r="W600" s="1772"/>
      <c r="X600" s="1696"/>
      <c r="Y600" s="1696"/>
      <c r="Z600" s="1773"/>
    </row>
    <row r="601">
      <c r="A601" s="1765"/>
      <c r="B601" s="1782"/>
      <c r="C601" s="1765"/>
      <c r="D601" s="1765"/>
      <c r="E601" s="1765"/>
      <c r="F601" s="1765"/>
      <c r="G601" s="1765"/>
      <c r="H601" s="1765"/>
      <c r="I601" s="1765"/>
      <c r="J601" s="1765"/>
      <c r="K601" s="1765"/>
      <c r="L601" s="1765"/>
      <c r="M601" s="1765"/>
      <c r="N601" s="1765"/>
      <c r="O601" s="1765"/>
      <c r="P601" s="1765"/>
      <c r="Q601" s="1766"/>
      <c r="R601" s="1766"/>
      <c r="S601" s="1696"/>
      <c r="U601" s="1772"/>
      <c r="V601" s="1696"/>
      <c r="W601" s="1772"/>
      <c r="X601" s="1696"/>
      <c r="Y601" s="1696"/>
      <c r="Z601" s="1773"/>
    </row>
    <row r="602">
      <c r="A602" s="1771"/>
      <c r="B602" s="1777"/>
      <c r="C602" s="1771"/>
      <c r="D602" s="1771"/>
      <c r="E602" s="1771"/>
      <c r="F602" s="1771"/>
      <c r="G602" s="1770"/>
      <c r="H602" s="1771"/>
      <c r="I602" s="1770"/>
      <c r="J602" s="1771"/>
      <c r="K602" s="1771"/>
      <c r="L602" s="1771"/>
      <c r="M602" s="1771"/>
      <c r="N602" s="1779"/>
      <c r="O602" s="1770"/>
      <c r="P602" s="1771"/>
      <c r="Q602" s="1766"/>
      <c r="R602" s="1766"/>
      <c r="S602" s="1696"/>
      <c r="T602" s="1696"/>
      <c r="U602" s="1772"/>
      <c r="V602" s="1696"/>
      <c r="W602" s="1772"/>
      <c r="X602" s="1696"/>
      <c r="Y602" s="1696"/>
      <c r="Z602" s="1773"/>
    </row>
    <row r="603">
      <c r="A603" s="1766"/>
      <c r="B603" s="1780"/>
      <c r="C603" s="1766"/>
      <c r="D603" s="1766"/>
      <c r="E603" s="1766"/>
      <c r="F603" s="1766"/>
      <c r="G603" s="1766"/>
      <c r="H603" s="1766"/>
      <c r="I603" s="1766"/>
      <c r="J603" s="1766"/>
      <c r="K603" s="1766"/>
      <c r="L603" s="1766"/>
      <c r="M603" s="1781"/>
      <c r="N603" s="1781"/>
      <c r="O603" s="1766"/>
      <c r="P603" s="1766"/>
      <c r="Q603" s="1766"/>
      <c r="R603" s="1766"/>
      <c r="S603" s="1696"/>
      <c r="T603" s="1696"/>
      <c r="U603" s="1772"/>
      <c r="V603" s="1696"/>
      <c r="W603" s="1772"/>
      <c r="X603" s="1696"/>
      <c r="Y603" s="1696"/>
      <c r="Z603" s="1773"/>
    </row>
    <row r="604">
      <c r="A604" s="1765"/>
      <c r="B604" s="1782"/>
      <c r="C604" s="1765"/>
      <c r="D604" s="1765"/>
      <c r="E604" s="1765"/>
      <c r="F604" s="1765"/>
      <c r="G604" s="1765"/>
      <c r="H604" s="1765"/>
      <c r="I604" s="1765"/>
      <c r="J604" s="1765"/>
      <c r="K604" s="1765"/>
      <c r="L604" s="1765"/>
      <c r="M604" s="1765"/>
      <c r="N604" s="1765"/>
      <c r="O604" s="1765"/>
      <c r="P604" s="1765"/>
      <c r="Q604" s="1766"/>
      <c r="R604" s="1766"/>
      <c r="S604" s="1696"/>
      <c r="T604" s="1696"/>
      <c r="U604" s="1772"/>
      <c r="V604" s="1696"/>
      <c r="W604" s="1772"/>
      <c r="X604" s="1696"/>
      <c r="Y604" s="1696"/>
      <c r="Z604" s="1773"/>
    </row>
    <row r="605">
      <c r="A605" s="1771"/>
      <c r="B605" s="1777"/>
      <c r="C605" s="1771"/>
      <c r="D605" s="1771"/>
      <c r="E605" s="1771"/>
      <c r="F605" s="1771"/>
      <c r="G605" s="1770"/>
      <c r="H605" s="1771"/>
      <c r="I605" s="1770"/>
      <c r="J605" s="1771"/>
      <c r="K605" s="1771"/>
      <c r="L605" s="1771"/>
      <c r="M605" s="1771"/>
      <c r="N605" s="1779"/>
      <c r="O605" s="1770"/>
      <c r="P605" s="1771"/>
      <c r="Q605" s="1766"/>
      <c r="R605" s="1766"/>
      <c r="S605" s="1696"/>
      <c r="T605" s="1696"/>
      <c r="U605" s="1772"/>
      <c r="V605" s="1696"/>
      <c r="W605" s="1772"/>
      <c r="X605" s="1696"/>
      <c r="Y605" s="1696"/>
      <c r="Z605" s="1773"/>
    </row>
    <row r="606">
      <c r="A606" s="1766"/>
      <c r="B606" s="1780"/>
      <c r="C606" s="1766"/>
      <c r="D606" s="1766"/>
      <c r="E606" s="1766"/>
      <c r="F606" s="1766"/>
      <c r="G606" s="1766"/>
      <c r="H606" s="1766"/>
      <c r="I606" s="1766"/>
      <c r="J606" s="1766"/>
      <c r="K606" s="1766"/>
      <c r="L606" s="1766"/>
      <c r="M606" s="1781"/>
      <c r="N606" s="1781"/>
      <c r="O606" s="1766"/>
      <c r="P606" s="1766"/>
      <c r="Q606" s="1766"/>
      <c r="R606" s="1766"/>
      <c r="S606" s="1696"/>
      <c r="U606" s="1772"/>
      <c r="V606" s="1696"/>
      <c r="W606" s="1772"/>
      <c r="X606" s="1696"/>
      <c r="Y606" s="1696"/>
      <c r="Z606" s="1773"/>
    </row>
    <row r="607">
      <c r="A607" s="1765"/>
      <c r="B607" s="1782"/>
      <c r="C607" s="1765"/>
      <c r="D607" s="1765"/>
      <c r="E607" s="1765"/>
      <c r="F607" s="1765"/>
      <c r="G607" s="1765"/>
      <c r="H607" s="1765"/>
      <c r="I607" s="1765"/>
      <c r="J607" s="1765"/>
      <c r="K607" s="1765"/>
      <c r="L607" s="1765"/>
      <c r="M607" s="1765"/>
      <c r="N607" s="1765"/>
      <c r="O607" s="1765"/>
      <c r="P607" s="1765"/>
      <c r="Q607" s="1766"/>
      <c r="R607" s="1766"/>
      <c r="S607" s="1696"/>
      <c r="T607" s="1696"/>
      <c r="U607" s="1772"/>
      <c r="V607" s="1696"/>
      <c r="W607" s="1772"/>
      <c r="X607" s="1696"/>
      <c r="Y607" s="1696"/>
      <c r="Z607" s="1773"/>
    </row>
    <row r="608">
      <c r="A608" s="1771"/>
      <c r="B608" s="1777"/>
      <c r="C608" s="1771"/>
      <c r="D608" s="1771"/>
      <c r="E608" s="1771"/>
      <c r="F608" s="1771"/>
      <c r="G608" s="1770"/>
      <c r="H608" s="1771"/>
      <c r="I608" s="1770"/>
      <c r="J608" s="1771"/>
      <c r="K608" s="1771"/>
      <c r="L608" s="1771"/>
      <c r="M608" s="1771"/>
      <c r="N608" s="1779"/>
      <c r="O608" s="1770"/>
      <c r="P608" s="1771"/>
      <c r="Q608" s="1766"/>
      <c r="R608" s="1766"/>
      <c r="S608" s="1696"/>
      <c r="T608" s="1696"/>
      <c r="U608" s="1772"/>
      <c r="V608" s="1696"/>
      <c r="W608" s="1772"/>
      <c r="X608" s="1696"/>
      <c r="Y608" s="1696"/>
      <c r="Z608" s="1773"/>
    </row>
    <row r="609">
      <c r="A609" s="1766"/>
      <c r="B609" s="1780"/>
      <c r="C609" s="1766"/>
      <c r="D609" s="1766"/>
      <c r="E609" s="1766"/>
      <c r="F609" s="1766"/>
      <c r="G609" s="1766"/>
      <c r="H609" s="1766"/>
      <c r="I609" s="1766"/>
      <c r="J609" s="1766"/>
      <c r="K609" s="1766"/>
      <c r="L609" s="1766"/>
      <c r="M609" s="1781"/>
      <c r="N609" s="1781"/>
      <c r="O609" s="1766"/>
      <c r="P609" s="1766"/>
      <c r="Q609" s="1766"/>
      <c r="R609" s="1766"/>
      <c r="S609" s="1696"/>
      <c r="T609" s="1696"/>
      <c r="U609" s="1772"/>
      <c r="V609" s="1696"/>
      <c r="W609" s="1772"/>
      <c r="X609" s="1696"/>
      <c r="Y609" s="1696"/>
      <c r="Z609" s="1773"/>
    </row>
    <row r="610">
      <c r="A610" s="1765"/>
      <c r="B610" s="1782"/>
      <c r="C610" s="1765"/>
      <c r="D610" s="1765"/>
      <c r="E610" s="1765"/>
      <c r="F610" s="1765"/>
      <c r="G610" s="1765"/>
      <c r="H610" s="1765"/>
      <c r="I610" s="1765"/>
      <c r="J610" s="1765"/>
      <c r="K610" s="1765"/>
      <c r="L610" s="1765"/>
      <c r="M610" s="1765"/>
      <c r="N610" s="1765"/>
      <c r="O610" s="1765"/>
      <c r="P610" s="1765"/>
      <c r="Q610" s="1766"/>
      <c r="R610" s="1766"/>
      <c r="S610" s="1696"/>
      <c r="T610" s="1696"/>
      <c r="U610" s="1772"/>
      <c r="V610" s="1696"/>
      <c r="W610" s="1772"/>
      <c r="X610" s="1696"/>
      <c r="Y610" s="1696"/>
      <c r="Z610" s="1773"/>
    </row>
    <row r="611">
      <c r="A611" s="1771"/>
      <c r="B611" s="1777"/>
      <c r="C611" s="1771"/>
      <c r="D611" s="1771"/>
      <c r="E611" s="1771"/>
      <c r="F611" s="1771"/>
      <c r="G611" s="1770"/>
      <c r="H611" s="1771"/>
      <c r="I611" s="1770"/>
      <c r="J611" s="1771"/>
      <c r="K611" s="1771"/>
      <c r="L611" s="1771"/>
      <c r="M611" s="1771"/>
      <c r="N611" s="1779"/>
      <c r="O611" s="1770"/>
      <c r="P611" s="1771"/>
      <c r="Q611" s="1766"/>
      <c r="R611" s="1766"/>
      <c r="S611" s="1696"/>
      <c r="T611" s="1696"/>
      <c r="U611" s="1772"/>
      <c r="V611" s="1696"/>
      <c r="W611" s="1772"/>
      <c r="X611" s="1696"/>
      <c r="Y611" s="1696"/>
      <c r="Z611" s="1773"/>
    </row>
    <row r="612">
      <c r="A612" s="1766"/>
      <c r="B612" s="1780"/>
      <c r="C612" s="1766"/>
      <c r="D612" s="1766"/>
      <c r="E612" s="1766"/>
      <c r="F612" s="1766"/>
      <c r="G612" s="1766"/>
      <c r="H612" s="1766"/>
      <c r="I612" s="1766"/>
      <c r="J612" s="1766"/>
      <c r="K612" s="1766"/>
      <c r="L612" s="1766"/>
      <c r="M612" s="1781"/>
      <c r="N612" s="1781"/>
      <c r="O612" s="1766"/>
      <c r="P612" s="1766"/>
      <c r="Q612" s="1766"/>
      <c r="R612" s="1766"/>
      <c r="S612" s="1696"/>
      <c r="T612" s="1696"/>
      <c r="U612" s="1772"/>
      <c r="V612" s="1696"/>
      <c r="W612" s="1772"/>
      <c r="X612" s="1696"/>
      <c r="Y612" s="1696"/>
      <c r="Z612" s="1773"/>
    </row>
    <row r="613">
      <c r="A613" s="1765"/>
      <c r="B613" s="1782"/>
      <c r="C613" s="1765"/>
      <c r="D613" s="1765"/>
      <c r="E613" s="1765"/>
      <c r="F613" s="1765"/>
      <c r="G613" s="1765"/>
      <c r="H613" s="1765"/>
      <c r="I613" s="1765"/>
      <c r="J613" s="1765"/>
      <c r="K613" s="1765"/>
      <c r="L613" s="1765"/>
      <c r="M613" s="1765"/>
      <c r="N613" s="1765"/>
      <c r="O613" s="1765"/>
      <c r="P613" s="1765"/>
      <c r="Q613" s="1766"/>
      <c r="R613" s="1766"/>
      <c r="S613" s="1696"/>
      <c r="T613" s="1696"/>
      <c r="U613" s="1772"/>
      <c r="V613" s="1696"/>
      <c r="W613" s="1772"/>
      <c r="X613" s="1696"/>
      <c r="Y613" s="1696"/>
      <c r="Z613" s="1773"/>
    </row>
    <row r="614">
      <c r="A614" s="1771"/>
      <c r="B614" s="1777"/>
      <c r="C614" s="1771"/>
      <c r="D614" s="1771"/>
      <c r="E614" s="1771"/>
      <c r="F614" s="1771"/>
      <c r="G614" s="1770"/>
      <c r="H614" s="1771"/>
      <c r="I614" s="1770"/>
      <c r="J614" s="1771"/>
      <c r="K614" s="1771"/>
      <c r="L614" s="1771"/>
      <c r="M614" s="1771"/>
      <c r="N614" s="1779"/>
      <c r="O614" s="1770"/>
      <c r="P614" s="1771"/>
      <c r="Q614" s="1766"/>
      <c r="R614" s="1766"/>
      <c r="S614" s="1696"/>
      <c r="U614" s="1772"/>
      <c r="V614" s="1696"/>
      <c r="W614" s="1772"/>
      <c r="X614" s="1696"/>
      <c r="Y614" s="1696"/>
      <c r="Z614" s="1773"/>
    </row>
    <row r="615">
      <c r="A615" s="1766"/>
      <c r="B615" s="1780"/>
      <c r="C615" s="1766"/>
      <c r="D615" s="1766"/>
      <c r="E615" s="1766"/>
      <c r="F615" s="1766"/>
      <c r="G615" s="1766"/>
      <c r="H615" s="1766"/>
      <c r="I615" s="1766"/>
      <c r="J615" s="1766"/>
      <c r="K615" s="1766"/>
      <c r="L615" s="1766"/>
      <c r="M615" s="1781"/>
      <c r="N615" s="1781"/>
      <c r="O615" s="1766"/>
      <c r="P615" s="1766"/>
      <c r="Q615" s="1766"/>
      <c r="R615" s="1766"/>
      <c r="S615" s="1696"/>
      <c r="U615" s="1772"/>
      <c r="V615" s="1696"/>
      <c r="W615" s="1772"/>
      <c r="X615" s="1696"/>
      <c r="Y615" s="1696"/>
      <c r="Z615" s="1773"/>
    </row>
    <row r="616">
      <c r="A616" s="1765"/>
      <c r="B616" s="1782"/>
      <c r="C616" s="1765"/>
      <c r="D616" s="1765"/>
      <c r="E616" s="1765"/>
      <c r="F616" s="1765"/>
      <c r="G616" s="1765"/>
      <c r="H616" s="1765"/>
      <c r="I616" s="1765"/>
      <c r="J616" s="1765"/>
      <c r="K616" s="1765"/>
      <c r="L616" s="1765"/>
      <c r="M616" s="1765"/>
      <c r="N616" s="1765"/>
      <c r="O616" s="1765"/>
      <c r="P616" s="1765"/>
      <c r="Q616" s="1766"/>
      <c r="R616" s="1766"/>
      <c r="S616" s="1696"/>
      <c r="T616" s="1696"/>
      <c r="U616" s="1772"/>
      <c r="V616" s="1696"/>
      <c r="W616" s="1772"/>
      <c r="X616" s="1696"/>
      <c r="Y616" s="1696"/>
      <c r="Z616" s="1773"/>
    </row>
    <row r="617">
      <c r="A617" s="1771"/>
      <c r="B617" s="1777"/>
      <c r="C617" s="1771"/>
      <c r="D617" s="1771"/>
      <c r="E617" s="1771"/>
      <c r="F617" s="1771"/>
      <c r="G617" s="1770"/>
      <c r="H617" s="1771"/>
      <c r="I617" s="1770"/>
      <c r="J617" s="1771"/>
      <c r="K617" s="1771"/>
      <c r="L617" s="1771"/>
      <c r="M617" s="1771"/>
      <c r="N617" s="1779"/>
      <c r="O617" s="1770"/>
      <c r="P617" s="1771"/>
      <c r="Q617" s="1766"/>
      <c r="R617" s="1766"/>
      <c r="S617" s="1696"/>
      <c r="T617" s="1696"/>
      <c r="U617" s="1772"/>
      <c r="V617" s="1696"/>
      <c r="W617" s="1772"/>
      <c r="X617" s="1696"/>
      <c r="Y617" s="1696"/>
      <c r="Z617" s="1773"/>
    </row>
    <row r="618">
      <c r="A618" s="1766"/>
      <c r="B618" s="1780"/>
      <c r="C618" s="1766"/>
      <c r="D618" s="1766"/>
      <c r="E618" s="1766"/>
      <c r="F618" s="1766"/>
      <c r="G618" s="1766"/>
      <c r="H618" s="1766"/>
      <c r="I618" s="1766"/>
      <c r="J618" s="1766"/>
      <c r="K618" s="1766"/>
      <c r="L618" s="1766"/>
      <c r="M618" s="1781"/>
      <c r="N618" s="1781"/>
      <c r="O618" s="1766"/>
      <c r="P618" s="1766"/>
      <c r="Q618" s="1766"/>
      <c r="R618" s="1766"/>
      <c r="S618" s="1696"/>
      <c r="T618" s="1696"/>
      <c r="U618" s="1772"/>
      <c r="V618" s="1696"/>
      <c r="W618" s="1772"/>
      <c r="X618" s="1696"/>
      <c r="Y618" s="1696"/>
      <c r="Z618" s="1773"/>
    </row>
    <row r="619">
      <c r="A619" s="1765"/>
      <c r="B619" s="1782"/>
      <c r="C619" s="1765"/>
      <c r="D619" s="1765"/>
      <c r="E619" s="1765"/>
      <c r="F619" s="1765"/>
      <c r="G619" s="1765"/>
      <c r="H619" s="1765"/>
      <c r="I619" s="1765"/>
      <c r="J619" s="1765"/>
      <c r="K619" s="1765"/>
      <c r="L619" s="1765"/>
      <c r="M619" s="1765"/>
      <c r="N619" s="1765"/>
      <c r="O619" s="1765"/>
      <c r="P619" s="1765"/>
      <c r="Q619" s="1766"/>
      <c r="R619" s="1766"/>
      <c r="S619" s="1696"/>
      <c r="T619" s="1696"/>
      <c r="U619" s="1772"/>
      <c r="V619" s="1696"/>
      <c r="W619" s="1772"/>
      <c r="X619" s="1696"/>
      <c r="Y619" s="1696"/>
      <c r="Z619" s="1773"/>
    </row>
    <row r="620">
      <c r="A620" s="1771"/>
      <c r="B620" s="1777"/>
      <c r="C620" s="1771"/>
      <c r="D620" s="1771"/>
      <c r="E620" s="1771"/>
      <c r="F620" s="1771"/>
      <c r="G620" s="1777"/>
      <c r="H620" s="1771"/>
      <c r="I620" s="1770"/>
      <c r="J620" s="1771"/>
      <c r="K620" s="1771"/>
      <c r="L620" s="1771"/>
      <c r="M620" s="1771"/>
      <c r="N620" s="1779"/>
      <c r="O620" s="1770"/>
      <c r="P620" s="1771"/>
      <c r="Q620" s="1766"/>
      <c r="R620" s="1766"/>
      <c r="S620" s="1696"/>
      <c r="T620" s="1696"/>
      <c r="U620" s="1772"/>
      <c r="V620" s="1696"/>
      <c r="W620" s="1772"/>
      <c r="X620" s="1696"/>
      <c r="Y620" s="1696"/>
      <c r="Z620" s="1773"/>
    </row>
    <row r="621">
      <c r="A621" s="1766"/>
      <c r="B621" s="1780"/>
      <c r="C621" s="1766"/>
      <c r="D621" s="1766"/>
      <c r="E621" s="1766"/>
      <c r="F621" s="1766"/>
      <c r="G621" s="1766"/>
      <c r="H621" s="1766"/>
      <c r="I621" s="1766"/>
      <c r="J621" s="1766"/>
      <c r="K621" s="1766"/>
      <c r="L621" s="1766"/>
      <c r="M621" s="1781"/>
      <c r="N621" s="1781"/>
      <c r="O621" s="1766"/>
      <c r="P621" s="1766"/>
      <c r="Q621" s="1766"/>
      <c r="R621" s="1766"/>
      <c r="S621" s="1696"/>
      <c r="T621" s="1696"/>
      <c r="U621" s="1772"/>
      <c r="V621" s="1696"/>
      <c r="W621" s="1772"/>
      <c r="X621" s="1696"/>
      <c r="Y621" s="1696"/>
      <c r="Z621" s="1773"/>
    </row>
    <row r="622">
      <c r="A622" s="1765"/>
      <c r="B622" s="1782"/>
      <c r="C622" s="1765"/>
      <c r="D622" s="1765"/>
      <c r="E622" s="1765"/>
      <c r="F622" s="1765"/>
      <c r="G622" s="1765"/>
      <c r="H622" s="1765"/>
      <c r="I622" s="1765"/>
      <c r="J622" s="1765"/>
      <c r="K622" s="1765"/>
      <c r="L622" s="1765"/>
      <c r="M622" s="1765"/>
      <c r="N622" s="1765"/>
      <c r="O622" s="1765"/>
      <c r="P622" s="1765"/>
      <c r="Q622" s="1766"/>
      <c r="R622" s="1766"/>
      <c r="S622" s="1696"/>
      <c r="T622" s="1696"/>
      <c r="U622" s="1772"/>
      <c r="V622" s="1696"/>
      <c r="W622" s="1772"/>
      <c r="X622" s="1696"/>
      <c r="Y622" s="1696"/>
      <c r="Z622" s="1773"/>
    </row>
    <row r="623">
      <c r="A623" s="1771"/>
      <c r="B623" s="1777"/>
      <c r="C623" s="1771"/>
      <c r="D623" s="1771"/>
      <c r="E623" s="1771"/>
      <c r="F623" s="1771"/>
      <c r="G623" s="1770"/>
      <c r="H623" s="1771"/>
      <c r="I623" s="1770"/>
      <c r="J623" s="1771"/>
      <c r="K623" s="1771"/>
      <c r="L623" s="1771"/>
      <c r="M623" s="1771"/>
      <c r="N623" s="1779"/>
      <c r="O623" s="1770"/>
      <c r="P623" s="1771"/>
      <c r="Q623" s="1766"/>
      <c r="R623" s="1766"/>
      <c r="S623" s="1696"/>
      <c r="T623" s="1696"/>
      <c r="U623" s="1772"/>
      <c r="V623" s="1696"/>
      <c r="W623" s="1772"/>
      <c r="X623" s="1696"/>
      <c r="Y623" s="1696"/>
      <c r="Z623" s="1773"/>
    </row>
    <row r="624">
      <c r="A624" s="1766"/>
      <c r="B624" s="1780"/>
      <c r="C624" s="1766"/>
      <c r="D624" s="1766"/>
      <c r="E624" s="1766"/>
      <c r="F624" s="1766"/>
      <c r="G624" s="1766"/>
      <c r="H624" s="1766"/>
      <c r="I624" s="1766"/>
      <c r="J624" s="1766"/>
      <c r="K624" s="1766"/>
      <c r="L624" s="1766"/>
      <c r="M624" s="1781"/>
      <c r="N624" s="1781"/>
      <c r="O624" s="1766"/>
      <c r="P624" s="1766"/>
      <c r="Q624" s="1766"/>
      <c r="R624" s="1766"/>
      <c r="S624" s="1696"/>
      <c r="T624" s="1696"/>
      <c r="U624" s="1772"/>
      <c r="V624" s="1696"/>
      <c r="W624" s="1772"/>
      <c r="X624" s="1696"/>
      <c r="Y624" s="1696"/>
      <c r="Z624" s="1773"/>
    </row>
    <row r="625">
      <c r="A625" s="1765"/>
      <c r="B625" s="1782"/>
      <c r="C625" s="1765"/>
      <c r="D625" s="1765"/>
      <c r="E625" s="1765"/>
      <c r="F625" s="1765"/>
      <c r="G625" s="1765"/>
      <c r="H625" s="1765"/>
      <c r="I625" s="1765"/>
      <c r="J625" s="1765"/>
      <c r="K625" s="1765"/>
      <c r="L625" s="1765"/>
      <c r="M625" s="1765"/>
      <c r="N625" s="1765"/>
      <c r="O625" s="1765"/>
      <c r="P625" s="1765"/>
      <c r="Q625" s="1766"/>
      <c r="R625" s="1766"/>
      <c r="S625" s="1696"/>
      <c r="T625" s="1696"/>
      <c r="U625" s="1772"/>
      <c r="V625" s="1696"/>
      <c r="W625" s="1772"/>
      <c r="X625" s="1696"/>
      <c r="Y625" s="1696"/>
      <c r="Z625" s="1773"/>
    </row>
    <row r="626">
      <c r="A626" s="1771"/>
      <c r="B626" s="1777"/>
      <c r="C626" s="1771"/>
      <c r="D626" s="1771"/>
      <c r="E626" s="1771"/>
      <c r="F626" s="1771"/>
      <c r="G626" s="1771"/>
      <c r="H626" s="1771"/>
      <c r="I626" s="1770"/>
      <c r="J626" s="1771"/>
      <c r="K626" s="1771"/>
      <c r="L626" s="1771"/>
      <c r="M626" s="1771"/>
      <c r="N626" s="1779"/>
      <c r="O626" s="1770"/>
      <c r="P626" s="1771"/>
      <c r="Q626" s="1766"/>
      <c r="R626" s="1766"/>
      <c r="S626" s="1696"/>
      <c r="T626" s="1696"/>
      <c r="U626" s="1772"/>
      <c r="V626" s="1696"/>
      <c r="W626" s="1772"/>
      <c r="X626" s="1696"/>
      <c r="Y626" s="1696"/>
      <c r="Z626" s="1773"/>
    </row>
    <row r="627">
      <c r="A627" s="1766"/>
      <c r="B627" s="1780"/>
      <c r="C627" s="1766"/>
      <c r="D627" s="1766"/>
      <c r="E627" s="1766"/>
      <c r="F627" s="1766"/>
      <c r="G627" s="1766"/>
      <c r="H627" s="1766"/>
      <c r="I627" s="1766"/>
      <c r="J627" s="1766"/>
      <c r="K627" s="1766"/>
      <c r="L627" s="1766"/>
      <c r="M627" s="1781"/>
      <c r="N627" s="1781"/>
      <c r="O627" s="1766"/>
      <c r="P627" s="1766"/>
      <c r="Q627" s="1766"/>
      <c r="R627" s="1766"/>
      <c r="S627" s="1696"/>
      <c r="T627" s="1696"/>
      <c r="U627" s="1772"/>
      <c r="V627" s="1696"/>
      <c r="W627" s="1772"/>
      <c r="X627" s="1696"/>
      <c r="Y627" s="1696"/>
      <c r="Z627" s="1773"/>
    </row>
    <row r="628">
      <c r="A628" s="1765"/>
      <c r="B628" s="1782"/>
      <c r="C628" s="1765"/>
      <c r="D628" s="1765"/>
      <c r="E628" s="1765"/>
      <c r="F628" s="1765"/>
      <c r="G628" s="1765"/>
      <c r="H628" s="1765"/>
      <c r="I628" s="1765"/>
      <c r="J628" s="1765"/>
      <c r="K628" s="1765"/>
      <c r="L628" s="1765"/>
      <c r="M628" s="1765"/>
      <c r="N628" s="1765"/>
      <c r="O628" s="1765"/>
      <c r="P628" s="1765"/>
      <c r="Q628" s="1766"/>
      <c r="R628" s="1766"/>
      <c r="S628" s="1696"/>
      <c r="T628" s="1696"/>
      <c r="U628" s="1772"/>
      <c r="V628" s="1696"/>
      <c r="W628" s="1772"/>
      <c r="X628" s="1696"/>
      <c r="Y628" s="1696"/>
      <c r="Z628" s="1773"/>
    </row>
    <row r="629">
      <c r="A629" s="1771"/>
      <c r="B629" s="1777"/>
      <c r="C629" s="1771"/>
      <c r="D629" s="1771"/>
      <c r="E629" s="1771"/>
      <c r="F629" s="1771"/>
      <c r="G629" s="1770"/>
      <c r="H629" s="1771"/>
      <c r="I629" s="1770"/>
      <c r="J629" s="1771"/>
      <c r="K629" s="1771"/>
      <c r="L629" s="1771"/>
      <c r="M629" s="1771"/>
      <c r="N629" s="1779"/>
      <c r="O629" s="1770"/>
      <c r="P629" s="1771"/>
      <c r="Q629" s="1766"/>
      <c r="R629" s="1766"/>
      <c r="S629" s="1696"/>
      <c r="T629" s="1696"/>
      <c r="U629" s="1772"/>
      <c r="V629" s="1696"/>
      <c r="W629" s="1772"/>
      <c r="X629" s="1696"/>
      <c r="Y629" s="1696"/>
      <c r="Z629" s="1773"/>
    </row>
    <row r="630">
      <c r="A630" s="1766"/>
      <c r="B630" s="1780"/>
      <c r="C630" s="1766"/>
      <c r="D630" s="1766"/>
      <c r="E630" s="1766"/>
      <c r="F630" s="1766"/>
      <c r="G630" s="1766"/>
      <c r="H630" s="1766"/>
      <c r="I630" s="1766"/>
      <c r="J630" s="1766"/>
      <c r="K630" s="1766"/>
      <c r="L630" s="1766"/>
      <c r="M630" s="1781"/>
      <c r="N630" s="1781"/>
      <c r="O630" s="1766"/>
      <c r="P630" s="1766"/>
      <c r="Q630" s="1766"/>
      <c r="R630" s="1766"/>
      <c r="S630" s="1696"/>
      <c r="T630" s="1696"/>
      <c r="U630" s="1772"/>
      <c r="V630" s="1696"/>
      <c r="W630" s="1772"/>
      <c r="X630" s="1696"/>
      <c r="Y630" s="1696"/>
      <c r="Z630" s="1773"/>
    </row>
    <row r="631">
      <c r="A631" s="1765"/>
      <c r="B631" s="1782"/>
      <c r="C631" s="1765"/>
      <c r="D631" s="1765"/>
      <c r="E631" s="1765"/>
      <c r="F631" s="1765"/>
      <c r="G631" s="1765"/>
      <c r="H631" s="1765"/>
      <c r="I631" s="1765"/>
      <c r="J631" s="1765"/>
      <c r="K631" s="1765"/>
      <c r="L631" s="1765"/>
      <c r="M631" s="1765"/>
      <c r="N631" s="1765"/>
      <c r="O631" s="1765"/>
      <c r="P631" s="1765"/>
      <c r="Q631" s="1766"/>
      <c r="R631" s="1766"/>
      <c r="S631" s="1696"/>
      <c r="T631" s="1696"/>
      <c r="U631" s="1772"/>
      <c r="V631" s="1696"/>
      <c r="W631" s="1772"/>
      <c r="X631" s="1696"/>
      <c r="Y631" s="1696"/>
      <c r="Z631" s="1773"/>
    </row>
    <row r="632">
      <c r="A632" s="1771"/>
      <c r="B632" s="1777"/>
      <c r="C632" s="1771"/>
      <c r="D632" s="1771"/>
      <c r="E632" s="1771"/>
      <c r="F632" s="1771"/>
      <c r="G632" s="1771"/>
      <c r="H632" s="1771"/>
      <c r="I632" s="1770"/>
      <c r="J632" s="1771"/>
      <c r="K632" s="1771"/>
      <c r="L632" s="1771"/>
      <c r="M632" s="1771"/>
      <c r="N632" s="1779"/>
      <c r="O632" s="1770"/>
      <c r="P632" s="1771"/>
      <c r="Q632" s="1766"/>
      <c r="R632" s="1766"/>
      <c r="S632" s="1696"/>
      <c r="T632" s="1696"/>
      <c r="U632" s="1772"/>
      <c r="V632" s="1696"/>
      <c r="W632" s="1772"/>
      <c r="X632" s="1696"/>
      <c r="Y632" s="1696"/>
      <c r="Z632" s="1773"/>
    </row>
    <row r="633">
      <c r="A633" s="1766"/>
      <c r="B633" s="1780"/>
      <c r="C633" s="1766"/>
      <c r="D633" s="1766"/>
      <c r="E633" s="1766"/>
      <c r="F633" s="1766"/>
      <c r="G633" s="1766"/>
      <c r="H633" s="1766"/>
      <c r="I633" s="1766"/>
      <c r="J633" s="1766"/>
      <c r="K633" s="1766"/>
      <c r="L633" s="1766"/>
      <c r="M633" s="1781"/>
      <c r="N633" s="1781"/>
      <c r="O633" s="1766"/>
      <c r="P633" s="1766"/>
      <c r="Q633" s="1766"/>
      <c r="R633" s="1766"/>
      <c r="S633" s="1696"/>
      <c r="T633" s="1696"/>
      <c r="U633" s="1772"/>
      <c r="V633" s="1696"/>
      <c r="W633" s="1772"/>
      <c r="X633" s="1696"/>
      <c r="Y633" s="1696"/>
      <c r="Z633" s="1773"/>
    </row>
    <row r="634">
      <c r="A634" s="1765"/>
      <c r="B634" s="1782"/>
      <c r="C634" s="1765"/>
      <c r="D634" s="1765"/>
      <c r="E634" s="1765"/>
      <c r="F634" s="1765"/>
      <c r="G634" s="1765"/>
      <c r="H634" s="1765"/>
      <c r="I634" s="1765"/>
      <c r="J634" s="1765"/>
      <c r="K634" s="1765"/>
      <c r="L634" s="1765"/>
      <c r="M634" s="1765"/>
      <c r="N634" s="1765"/>
      <c r="O634" s="1765"/>
      <c r="P634" s="1765"/>
      <c r="Q634" s="1766"/>
      <c r="R634" s="1766"/>
      <c r="S634" s="1696"/>
      <c r="T634" s="1696"/>
      <c r="U634" s="1772"/>
      <c r="V634" s="1696"/>
      <c r="W634" s="1772"/>
      <c r="X634" s="1696"/>
      <c r="Y634" s="1696"/>
      <c r="Z634" s="1773"/>
    </row>
    <row r="635">
      <c r="A635" s="1771"/>
      <c r="B635" s="1777"/>
      <c r="C635" s="1771"/>
      <c r="D635" s="1771"/>
      <c r="E635" s="1771"/>
      <c r="F635" s="1771"/>
      <c r="G635" s="1777"/>
      <c r="H635" s="1771"/>
      <c r="I635" s="1770"/>
      <c r="J635" s="1771"/>
      <c r="K635" s="1771"/>
      <c r="L635" s="1771"/>
      <c r="M635" s="1771"/>
      <c r="N635" s="1779"/>
      <c r="O635" s="1770"/>
      <c r="P635" s="1771"/>
      <c r="Q635" s="1766"/>
      <c r="R635" s="1766"/>
      <c r="S635" s="1696"/>
      <c r="T635" s="1696"/>
      <c r="U635" s="1772"/>
      <c r="V635" s="1696"/>
      <c r="W635" s="1772"/>
      <c r="X635" s="1696"/>
      <c r="Y635" s="1696"/>
      <c r="Z635" s="1773"/>
    </row>
    <row r="636">
      <c r="A636" s="1766"/>
      <c r="B636" s="1780"/>
      <c r="C636" s="1766"/>
      <c r="D636" s="1766"/>
      <c r="E636" s="1766"/>
      <c r="F636" s="1766"/>
      <c r="G636" s="1766"/>
      <c r="H636" s="1766"/>
      <c r="I636" s="1766"/>
      <c r="J636" s="1766"/>
      <c r="K636" s="1766"/>
      <c r="L636" s="1766"/>
      <c r="M636" s="1781"/>
      <c r="N636" s="1781"/>
      <c r="O636" s="1766"/>
      <c r="P636" s="1766"/>
      <c r="Q636" s="1766"/>
      <c r="R636" s="1766"/>
      <c r="S636" s="1696"/>
      <c r="T636" s="1696"/>
      <c r="U636" s="1772"/>
      <c r="V636" s="1696"/>
      <c r="W636" s="1772"/>
      <c r="X636" s="1696"/>
      <c r="Y636" s="1696"/>
      <c r="Z636" s="1773"/>
    </row>
    <row r="637">
      <c r="A637" s="1765"/>
      <c r="B637" s="1782"/>
      <c r="C637" s="1765"/>
      <c r="D637" s="1765"/>
      <c r="E637" s="1765"/>
      <c r="F637" s="1765"/>
      <c r="G637" s="1765"/>
      <c r="H637" s="1765"/>
      <c r="I637" s="1765"/>
      <c r="J637" s="1765"/>
      <c r="K637" s="1765"/>
      <c r="L637" s="1765"/>
      <c r="M637" s="1765"/>
      <c r="N637" s="1765"/>
      <c r="O637" s="1765"/>
      <c r="P637" s="1765"/>
      <c r="Q637" s="1766"/>
      <c r="R637" s="1766"/>
      <c r="S637" s="1696"/>
      <c r="T637" s="1696"/>
      <c r="U637" s="1772"/>
      <c r="V637" s="1696"/>
      <c r="W637" s="1772"/>
      <c r="X637" s="1696"/>
      <c r="Y637" s="1696"/>
      <c r="Z637" s="1773"/>
    </row>
    <row r="638">
      <c r="A638" s="1771"/>
      <c r="B638" s="1777"/>
      <c r="C638" s="1771"/>
      <c r="D638" s="1771"/>
      <c r="E638" s="1771"/>
      <c r="F638" s="1771"/>
      <c r="G638" s="1771"/>
      <c r="H638" s="1771"/>
      <c r="I638" s="1770"/>
      <c r="J638" s="1771"/>
      <c r="K638" s="1771"/>
      <c r="L638" s="1771"/>
      <c r="M638" s="1771"/>
      <c r="N638" s="1779"/>
      <c r="O638" s="1770"/>
      <c r="P638" s="1771"/>
      <c r="Q638" s="1766"/>
      <c r="R638" s="1766"/>
      <c r="S638" s="1696"/>
      <c r="T638" s="1696"/>
      <c r="U638" s="1772"/>
      <c r="V638" s="1696"/>
      <c r="W638" s="1772"/>
      <c r="X638" s="1696"/>
      <c r="Y638" s="1696"/>
      <c r="Z638" s="1773"/>
    </row>
    <row r="639">
      <c r="A639" s="1766"/>
      <c r="B639" s="1780"/>
      <c r="C639" s="1766"/>
      <c r="D639" s="1766"/>
      <c r="E639" s="1766"/>
      <c r="F639" s="1766"/>
      <c r="G639" s="1766"/>
      <c r="H639" s="1766"/>
      <c r="I639" s="1766"/>
      <c r="J639" s="1766"/>
      <c r="K639" s="1766"/>
      <c r="L639" s="1766"/>
      <c r="M639" s="1781"/>
      <c r="N639" s="1781"/>
      <c r="O639" s="1766"/>
      <c r="P639" s="1766"/>
      <c r="Q639" s="1766"/>
      <c r="R639" s="1766"/>
      <c r="S639" s="1696"/>
      <c r="T639" s="1696"/>
      <c r="U639" s="1772"/>
      <c r="V639" s="1696"/>
      <c r="W639" s="1772"/>
      <c r="X639" s="1696"/>
      <c r="Y639" s="1696"/>
      <c r="Z639" s="1773"/>
    </row>
    <row r="640">
      <c r="A640" s="1765"/>
      <c r="B640" s="1782"/>
      <c r="C640" s="1765"/>
      <c r="D640" s="1765"/>
      <c r="E640" s="1765"/>
      <c r="F640" s="1765"/>
      <c r="G640" s="1765"/>
      <c r="H640" s="1765"/>
      <c r="I640" s="1765"/>
      <c r="J640" s="1765"/>
      <c r="K640" s="1765"/>
      <c r="L640" s="1765"/>
      <c r="M640" s="1765"/>
      <c r="N640" s="1765"/>
      <c r="O640" s="1765"/>
      <c r="P640" s="1765"/>
      <c r="Q640" s="1766"/>
      <c r="R640" s="1766"/>
      <c r="S640" s="1696"/>
      <c r="T640" s="1696"/>
      <c r="U640" s="1772"/>
      <c r="V640" s="1696"/>
      <c r="W640" s="1772"/>
      <c r="X640" s="1696"/>
      <c r="Y640" s="1696"/>
      <c r="Z640" s="1773"/>
    </row>
    <row r="641">
      <c r="A641" s="1771"/>
      <c r="B641" s="1777"/>
      <c r="C641" s="1771"/>
      <c r="D641" s="1771"/>
      <c r="E641" s="1771"/>
      <c r="F641" s="1771"/>
      <c r="G641" s="1777"/>
      <c r="H641" s="1771"/>
      <c r="I641" s="1770"/>
      <c r="J641" s="1771"/>
      <c r="K641" s="1771"/>
      <c r="L641" s="1771"/>
      <c r="M641" s="1771"/>
      <c r="N641" s="1779"/>
      <c r="O641" s="1770"/>
      <c r="P641" s="1771"/>
      <c r="Q641" s="1766"/>
      <c r="R641" s="1766"/>
      <c r="S641" s="1696"/>
      <c r="T641" s="1696"/>
      <c r="U641" s="1772"/>
      <c r="V641" s="1696"/>
      <c r="W641" s="1772"/>
      <c r="X641" s="1696"/>
      <c r="Y641" s="1696"/>
      <c r="Z641" s="1773"/>
    </row>
    <row r="642">
      <c r="A642" s="1766"/>
      <c r="B642" s="1780"/>
      <c r="C642" s="1766"/>
      <c r="D642" s="1766"/>
      <c r="E642" s="1766"/>
      <c r="F642" s="1766"/>
      <c r="G642" s="1766"/>
      <c r="H642" s="1766"/>
      <c r="I642" s="1766"/>
      <c r="J642" s="1766"/>
      <c r="K642" s="1766"/>
      <c r="L642" s="1766"/>
      <c r="M642" s="1781"/>
      <c r="N642" s="1781"/>
      <c r="O642" s="1766"/>
      <c r="P642" s="1766"/>
      <c r="Q642" s="1766"/>
      <c r="R642" s="1766"/>
      <c r="S642" s="1696"/>
      <c r="T642" s="1696"/>
      <c r="U642" s="1772"/>
      <c r="V642" s="1696"/>
      <c r="W642" s="1772"/>
      <c r="X642" s="1696"/>
      <c r="Y642" s="1696"/>
      <c r="Z642" s="1773"/>
    </row>
    <row r="643">
      <c r="A643" s="1765"/>
      <c r="B643" s="1782"/>
      <c r="C643" s="1765"/>
      <c r="D643" s="1765"/>
      <c r="E643" s="1765"/>
      <c r="F643" s="1765"/>
      <c r="G643" s="1765"/>
      <c r="H643" s="1765"/>
      <c r="I643" s="1765"/>
      <c r="J643" s="1765"/>
      <c r="K643" s="1765"/>
      <c r="L643" s="1765"/>
      <c r="M643" s="1765"/>
      <c r="N643" s="1765"/>
      <c r="O643" s="1765"/>
      <c r="P643" s="1765"/>
      <c r="Q643" s="1766"/>
      <c r="R643" s="1766"/>
      <c r="S643" s="1696"/>
      <c r="U643" s="1772"/>
      <c r="V643" s="1696"/>
      <c r="W643" s="1772"/>
      <c r="X643" s="1696"/>
      <c r="Y643" s="1696"/>
      <c r="Z643" s="1696"/>
    </row>
    <row r="644">
      <c r="A644" s="1771"/>
      <c r="B644" s="1777"/>
      <c r="C644" s="1771"/>
      <c r="D644" s="1771"/>
      <c r="E644" s="1771"/>
      <c r="F644" s="1771"/>
      <c r="G644" s="1770"/>
      <c r="H644" s="1771"/>
      <c r="I644" s="1770"/>
      <c r="J644" s="1771"/>
      <c r="K644" s="1771"/>
      <c r="L644" s="1770"/>
      <c r="M644" s="1771"/>
      <c r="N644" s="1779"/>
      <c r="O644" s="1770"/>
      <c r="P644" s="1771"/>
      <c r="Q644" s="1766"/>
      <c r="R644" s="1766"/>
      <c r="S644" s="1696"/>
      <c r="T644" s="1696"/>
      <c r="U644" s="1772"/>
      <c r="V644" s="1696"/>
      <c r="W644" s="1772"/>
      <c r="X644" s="1696"/>
      <c r="Y644" s="1696"/>
      <c r="Z644" s="1773"/>
    </row>
    <row r="645">
      <c r="A645" s="1766"/>
      <c r="B645" s="1780"/>
      <c r="C645" s="1766"/>
      <c r="D645" s="1766"/>
      <c r="E645" s="1766"/>
      <c r="F645" s="1766"/>
      <c r="G645" s="1766"/>
      <c r="H645" s="1766"/>
      <c r="I645" s="1766"/>
      <c r="J645" s="1766"/>
      <c r="K645" s="1766"/>
      <c r="L645" s="1766"/>
      <c r="M645" s="1781"/>
      <c r="N645" s="1781"/>
      <c r="O645" s="1766"/>
      <c r="P645" s="1766"/>
      <c r="Q645" s="1766"/>
      <c r="R645" s="1766"/>
      <c r="S645" s="1696"/>
      <c r="T645" s="1696"/>
      <c r="U645" s="1772"/>
      <c r="V645" s="1696"/>
      <c r="W645" s="1772"/>
      <c r="X645" s="1696"/>
      <c r="Y645" s="1696"/>
      <c r="Z645" s="1773"/>
    </row>
    <row r="646">
      <c r="A646" s="1765"/>
      <c r="B646" s="1782"/>
      <c r="C646" s="1765"/>
      <c r="D646" s="1765"/>
      <c r="E646" s="1765"/>
      <c r="F646" s="1765"/>
      <c r="G646" s="1765"/>
      <c r="H646" s="1765"/>
      <c r="I646" s="1765"/>
      <c r="J646" s="1765"/>
      <c r="K646" s="1765"/>
      <c r="L646" s="1765"/>
      <c r="M646" s="1765"/>
      <c r="N646" s="1765"/>
      <c r="O646" s="1765"/>
      <c r="P646" s="1765"/>
      <c r="Q646" s="1766"/>
      <c r="R646" s="1766"/>
      <c r="S646" s="1696"/>
      <c r="T646" s="1696"/>
      <c r="U646" s="1772"/>
      <c r="V646" s="1696"/>
      <c r="W646" s="1772"/>
      <c r="X646" s="1696"/>
      <c r="Y646" s="1696"/>
      <c r="Z646" s="1773"/>
    </row>
    <row r="647">
      <c r="A647" s="1771"/>
      <c r="B647" s="1777"/>
      <c r="C647" s="1771"/>
      <c r="D647" s="1771"/>
      <c r="E647" s="1771"/>
      <c r="F647" s="1771"/>
      <c r="G647" s="1771"/>
      <c r="H647" s="1771"/>
      <c r="I647" s="1770"/>
      <c r="J647" s="1771"/>
      <c r="K647" s="1771"/>
      <c r="L647" s="1771"/>
      <c r="M647" s="1771"/>
      <c r="N647" s="1779"/>
      <c r="O647" s="1770"/>
      <c r="P647" s="1771"/>
      <c r="Q647" s="1766"/>
      <c r="R647" s="1766"/>
      <c r="S647" s="1696"/>
      <c r="T647" s="1696"/>
      <c r="U647" s="1772"/>
      <c r="V647" s="1696"/>
      <c r="W647" s="1772"/>
      <c r="X647" s="1696"/>
      <c r="Y647" s="1696"/>
      <c r="Z647" s="1773"/>
    </row>
    <row r="648">
      <c r="A648" s="1766"/>
      <c r="B648" s="1780"/>
      <c r="C648" s="1766"/>
      <c r="D648" s="1766"/>
      <c r="E648" s="1766"/>
      <c r="F648" s="1766"/>
      <c r="G648" s="1766"/>
      <c r="H648" s="1766"/>
      <c r="I648" s="1766"/>
      <c r="J648" s="1766"/>
      <c r="K648" s="1766"/>
      <c r="L648" s="1766"/>
      <c r="M648" s="1781"/>
      <c r="N648" s="1781"/>
      <c r="O648" s="1766"/>
      <c r="P648" s="1766"/>
      <c r="Q648" s="1766"/>
      <c r="R648" s="1766"/>
      <c r="S648" s="1696"/>
      <c r="T648" s="1696"/>
      <c r="U648" s="1772"/>
      <c r="V648" s="1696"/>
      <c r="W648" s="1772"/>
      <c r="X648" s="1696"/>
      <c r="Y648" s="1696"/>
      <c r="Z648" s="1773"/>
    </row>
    <row r="649">
      <c r="A649" s="1765"/>
      <c r="B649" s="1782"/>
      <c r="C649" s="1765"/>
      <c r="D649" s="1765"/>
      <c r="E649" s="1765"/>
      <c r="F649" s="1765"/>
      <c r="G649" s="1765"/>
      <c r="H649" s="1765"/>
      <c r="I649" s="1765"/>
      <c r="J649" s="1765"/>
      <c r="K649" s="1765"/>
      <c r="L649" s="1765"/>
      <c r="M649" s="1765"/>
      <c r="N649" s="1765"/>
      <c r="O649" s="1765"/>
      <c r="P649" s="1765"/>
      <c r="Q649" s="1766"/>
      <c r="R649" s="1766"/>
      <c r="S649" s="1696"/>
      <c r="U649" s="1772"/>
      <c r="V649" s="1696"/>
      <c r="W649" s="1772"/>
      <c r="X649" s="1696"/>
      <c r="Y649" s="1696"/>
      <c r="Z649" s="1696"/>
    </row>
    <row r="650">
      <c r="A650" s="1771"/>
      <c r="B650" s="1777"/>
      <c r="C650" s="1771"/>
      <c r="D650" s="1771"/>
      <c r="E650" s="1771"/>
      <c r="F650" s="1771"/>
      <c r="G650" s="1777"/>
      <c r="H650" s="1771"/>
      <c r="I650" s="1770"/>
      <c r="J650" s="1771"/>
      <c r="K650" s="1771"/>
      <c r="L650" s="1771"/>
      <c r="M650" s="1771"/>
      <c r="N650" s="1779"/>
      <c r="O650" s="1770"/>
      <c r="P650" s="1771"/>
      <c r="Q650" s="1766"/>
      <c r="R650" s="1766"/>
      <c r="S650" s="1696"/>
      <c r="T650" s="1696"/>
      <c r="U650" s="1772"/>
      <c r="V650" s="1696"/>
      <c r="W650" s="1772"/>
      <c r="X650" s="1696"/>
      <c r="Y650" s="1696"/>
      <c r="Z650" s="1773"/>
    </row>
    <row r="651">
      <c r="A651" s="1766"/>
      <c r="B651" s="1780"/>
      <c r="C651" s="1766"/>
      <c r="D651" s="1766"/>
      <c r="E651" s="1766"/>
      <c r="F651" s="1766"/>
      <c r="G651" s="1766"/>
      <c r="H651" s="1766"/>
      <c r="I651" s="1766"/>
      <c r="J651" s="1766"/>
      <c r="K651" s="1766"/>
      <c r="L651" s="1766"/>
      <c r="M651" s="1781"/>
      <c r="N651" s="1781"/>
      <c r="O651" s="1766"/>
      <c r="P651" s="1766"/>
      <c r="Q651" s="1766"/>
      <c r="R651" s="1766"/>
      <c r="S651" s="1696"/>
      <c r="T651" s="1696"/>
      <c r="U651" s="1772"/>
      <c r="V651" s="1696"/>
      <c r="W651" s="1772"/>
      <c r="X651" s="1696"/>
      <c r="Y651" s="1696"/>
      <c r="Z651" s="1773"/>
    </row>
    <row r="652">
      <c r="A652" s="1765"/>
      <c r="B652" s="1782"/>
      <c r="C652" s="1765"/>
      <c r="D652" s="1765"/>
      <c r="E652" s="1765"/>
      <c r="F652" s="1765"/>
      <c r="G652" s="1765"/>
      <c r="H652" s="1765"/>
      <c r="I652" s="1765"/>
      <c r="J652" s="1765"/>
      <c r="K652" s="1765"/>
      <c r="L652" s="1765"/>
      <c r="M652" s="1765"/>
      <c r="N652" s="1765"/>
      <c r="O652" s="1765"/>
      <c r="P652" s="1765"/>
      <c r="Q652" s="1766"/>
      <c r="R652" s="1766"/>
      <c r="S652" s="1696"/>
      <c r="T652" s="1696"/>
      <c r="U652" s="1772"/>
      <c r="V652" s="1696"/>
      <c r="W652" s="1772"/>
      <c r="X652" s="1696"/>
      <c r="Y652" s="1696"/>
      <c r="Z652" s="1773"/>
    </row>
    <row r="653">
      <c r="A653" s="1771"/>
      <c r="B653" s="1777"/>
      <c r="C653" s="1771"/>
      <c r="D653" s="1771"/>
      <c r="E653" s="1771"/>
      <c r="F653" s="1771"/>
      <c r="G653" s="1777"/>
      <c r="H653" s="1771"/>
      <c r="I653" s="1770"/>
      <c r="J653" s="1771"/>
      <c r="K653" s="1771"/>
      <c r="L653" s="1771"/>
      <c r="M653" s="1771"/>
      <c r="N653" s="1779"/>
      <c r="O653" s="1770"/>
      <c r="P653" s="1771"/>
      <c r="Q653" s="1766"/>
      <c r="R653" s="1766"/>
      <c r="S653" s="1696"/>
      <c r="T653" s="1696"/>
      <c r="U653" s="1772"/>
      <c r="V653" s="1696"/>
      <c r="W653" s="1772"/>
      <c r="X653" s="1696"/>
      <c r="Y653" s="1696"/>
      <c r="Z653" s="1773"/>
    </row>
    <row r="654">
      <c r="A654" s="1766"/>
      <c r="B654" s="1780"/>
      <c r="C654" s="1766"/>
      <c r="D654" s="1766"/>
      <c r="E654" s="1766"/>
      <c r="F654" s="1766"/>
      <c r="G654" s="1766"/>
      <c r="H654" s="1766"/>
      <c r="I654" s="1766"/>
      <c r="J654" s="1766"/>
      <c r="K654" s="1766"/>
      <c r="L654" s="1766"/>
      <c r="M654" s="1766"/>
      <c r="N654" s="1781"/>
      <c r="O654" s="1766"/>
      <c r="P654" s="1766"/>
      <c r="Q654" s="1766"/>
      <c r="R654" s="1766"/>
      <c r="S654" s="1696"/>
      <c r="U654" s="1772"/>
      <c r="V654" s="1696"/>
      <c r="W654" s="1772"/>
      <c r="X654" s="1696"/>
      <c r="Y654" s="1696"/>
      <c r="Z654" s="1696"/>
    </row>
    <row r="655">
      <c r="A655" s="1765"/>
      <c r="B655" s="1782"/>
      <c r="C655" s="1765"/>
      <c r="D655" s="1765"/>
      <c r="E655" s="1765"/>
      <c r="F655" s="1765"/>
      <c r="G655" s="1765"/>
      <c r="H655" s="1765"/>
      <c r="I655" s="1765"/>
      <c r="J655" s="1765"/>
      <c r="K655" s="1765"/>
      <c r="L655" s="1765"/>
      <c r="M655" s="1765"/>
      <c r="N655" s="1765"/>
      <c r="O655" s="1765"/>
      <c r="P655" s="1765"/>
      <c r="Q655" s="1766"/>
      <c r="R655" s="1766"/>
      <c r="S655" s="1696"/>
      <c r="T655" s="1696"/>
      <c r="U655" s="1772"/>
      <c r="V655" s="1696"/>
      <c r="W655" s="1772"/>
      <c r="X655" s="1696"/>
      <c r="Y655" s="1696"/>
      <c r="Z655" s="1773"/>
    </row>
    <row r="656">
      <c r="A656" s="1771"/>
      <c r="B656" s="1777"/>
      <c r="C656" s="1771"/>
      <c r="D656" s="1771"/>
      <c r="E656" s="1771"/>
      <c r="F656" s="1771"/>
      <c r="G656" s="1770"/>
      <c r="H656" s="1771"/>
      <c r="I656" s="1770"/>
      <c r="J656" s="1771"/>
      <c r="K656" s="1771"/>
      <c r="L656" s="1771"/>
      <c r="M656" s="1771"/>
      <c r="N656" s="1779"/>
      <c r="O656" s="1770"/>
      <c r="P656" s="1771"/>
      <c r="Q656" s="1766"/>
      <c r="R656" s="1766"/>
      <c r="S656" s="1696"/>
      <c r="T656" s="1696"/>
      <c r="U656" s="1772"/>
      <c r="V656" s="1696"/>
      <c r="W656" s="1772"/>
      <c r="X656" s="1696"/>
      <c r="Y656" s="1696"/>
      <c r="Z656" s="1773"/>
    </row>
    <row r="657">
      <c r="A657" s="1766"/>
      <c r="B657" s="1780"/>
      <c r="C657" s="1766"/>
      <c r="D657" s="1766"/>
      <c r="E657" s="1766"/>
      <c r="F657" s="1766"/>
      <c r="G657" s="1766"/>
      <c r="H657" s="1766"/>
      <c r="I657" s="1766"/>
      <c r="J657" s="1766"/>
      <c r="K657" s="1766"/>
      <c r="L657" s="1766"/>
      <c r="M657" s="1781"/>
      <c r="N657" s="1781"/>
      <c r="O657" s="1766"/>
      <c r="P657" s="1766"/>
      <c r="Q657" s="1766"/>
      <c r="R657" s="1766"/>
      <c r="S657" s="1696"/>
      <c r="T657" s="1696"/>
      <c r="U657" s="1772"/>
      <c r="V657" s="1696"/>
      <c r="W657" s="1772"/>
      <c r="X657" s="1696"/>
      <c r="Y657" s="1696"/>
      <c r="Z657" s="1773"/>
    </row>
    <row r="658">
      <c r="A658" s="1765"/>
      <c r="B658" s="1782"/>
      <c r="C658" s="1765"/>
      <c r="D658" s="1765"/>
      <c r="E658" s="1765"/>
      <c r="F658" s="1765"/>
      <c r="G658" s="1765"/>
      <c r="H658" s="1765"/>
      <c r="I658" s="1765"/>
      <c r="J658" s="1765"/>
      <c r="K658" s="1765"/>
      <c r="L658" s="1765"/>
      <c r="M658" s="1765"/>
      <c r="N658" s="1765"/>
      <c r="O658" s="1765"/>
      <c r="P658" s="1765"/>
      <c r="Q658" s="1766"/>
      <c r="R658" s="1766"/>
      <c r="S658" s="1696"/>
      <c r="T658" s="1696"/>
      <c r="U658" s="1772"/>
      <c r="V658" s="1696"/>
      <c r="W658" s="1772"/>
      <c r="X658" s="1696"/>
      <c r="Y658" s="1696"/>
      <c r="Z658" s="1773"/>
    </row>
    <row r="659">
      <c r="A659" s="1771"/>
      <c r="B659" s="1777"/>
      <c r="C659" s="1771"/>
      <c r="D659" s="1771"/>
      <c r="E659" s="1771"/>
      <c r="F659" s="1771"/>
      <c r="G659" s="1771"/>
      <c r="H659" s="1771"/>
      <c r="I659" s="1770"/>
      <c r="J659" s="1771"/>
      <c r="K659" s="1771"/>
      <c r="L659" s="1771"/>
      <c r="M659" s="1771"/>
      <c r="N659" s="1779"/>
      <c r="O659" s="1770"/>
      <c r="P659" s="1771"/>
      <c r="Q659" s="1766"/>
      <c r="R659" s="1766"/>
      <c r="S659" s="1696"/>
      <c r="T659" s="1696"/>
      <c r="U659" s="1772"/>
      <c r="V659" s="1696"/>
      <c r="W659" s="1772"/>
      <c r="X659" s="1696"/>
      <c r="Y659" s="1696"/>
      <c r="Z659" s="1773"/>
    </row>
    <row r="660">
      <c r="A660" s="1766"/>
      <c r="B660" s="1780"/>
      <c r="C660" s="1766"/>
      <c r="D660" s="1766"/>
      <c r="E660" s="1766"/>
      <c r="F660" s="1766"/>
      <c r="G660" s="1766"/>
      <c r="H660" s="1766"/>
      <c r="I660" s="1766"/>
      <c r="J660" s="1766"/>
      <c r="K660" s="1766"/>
      <c r="L660" s="1766"/>
      <c r="M660" s="1781"/>
      <c r="N660" s="1781"/>
      <c r="O660" s="1766"/>
      <c r="P660" s="1766"/>
      <c r="Q660" s="1766"/>
      <c r="R660" s="1766"/>
      <c r="S660" s="1696"/>
      <c r="T660" s="1696"/>
      <c r="U660" s="1772"/>
      <c r="V660" s="1696"/>
      <c r="W660" s="1772"/>
      <c r="X660" s="1696"/>
      <c r="Y660" s="1696"/>
      <c r="Z660" s="1773"/>
    </row>
    <row r="661">
      <c r="A661" s="1765"/>
      <c r="B661" s="1782"/>
      <c r="C661" s="1765"/>
      <c r="D661" s="1765"/>
      <c r="E661" s="1765"/>
      <c r="F661" s="1765"/>
      <c r="G661" s="1765"/>
      <c r="H661" s="1765"/>
      <c r="I661" s="1765"/>
      <c r="J661" s="1765"/>
      <c r="K661" s="1765"/>
      <c r="L661" s="1765"/>
      <c r="M661" s="1765"/>
      <c r="N661" s="1765"/>
      <c r="O661" s="1765"/>
      <c r="P661" s="1765"/>
      <c r="Q661" s="1766"/>
      <c r="R661" s="1766"/>
      <c r="S661" s="1696"/>
      <c r="T661" s="1696"/>
      <c r="U661" s="1772"/>
      <c r="V661" s="1696"/>
      <c r="W661" s="1772"/>
      <c r="X661" s="1696"/>
      <c r="Y661" s="1696"/>
      <c r="Z661" s="1773"/>
    </row>
    <row r="662">
      <c r="A662" s="1771"/>
      <c r="B662" s="1777"/>
      <c r="C662" s="1771"/>
      <c r="D662" s="1771"/>
      <c r="E662" s="1771"/>
      <c r="F662" s="1771"/>
      <c r="G662" s="1777"/>
      <c r="H662" s="1771"/>
      <c r="I662" s="1770"/>
      <c r="J662" s="1771"/>
      <c r="K662" s="1771"/>
      <c r="L662" s="1771"/>
      <c r="M662" s="1771"/>
      <c r="N662" s="1779"/>
      <c r="O662" s="1770"/>
      <c r="P662" s="1771"/>
      <c r="Q662" s="1766"/>
      <c r="R662" s="1766"/>
      <c r="S662" s="1696"/>
      <c r="T662" s="1696"/>
      <c r="U662" s="1772"/>
      <c r="V662" s="1696"/>
      <c r="W662" s="1772"/>
      <c r="X662" s="1696"/>
      <c r="Y662" s="1696"/>
      <c r="Z662" s="1773"/>
    </row>
    <row r="663">
      <c r="A663" s="1766"/>
      <c r="B663" s="1780"/>
      <c r="C663" s="1766"/>
      <c r="D663" s="1766"/>
      <c r="E663" s="1766"/>
      <c r="F663" s="1766"/>
      <c r="G663" s="1766"/>
      <c r="H663" s="1766"/>
      <c r="I663" s="1766"/>
      <c r="J663" s="1766"/>
      <c r="K663" s="1766"/>
      <c r="L663" s="1766"/>
      <c r="M663" s="1766"/>
      <c r="N663" s="1781"/>
      <c r="O663" s="1766"/>
      <c r="P663" s="1766"/>
      <c r="Q663" s="1766"/>
      <c r="R663" s="1766"/>
      <c r="S663" s="1696"/>
      <c r="U663" s="1772"/>
      <c r="V663" s="1696"/>
      <c r="W663" s="1772"/>
      <c r="X663" s="1696"/>
      <c r="Y663" s="1696"/>
      <c r="Z663" s="1696"/>
    </row>
    <row r="664">
      <c r="A664" s="1765"/>
      <c r="B664" s="1782"/>
      <c r="C664" s="1765"/>
      <c r="D664" s="1765"/>
      <c r="E664" s="1765"/>
      <c r="F664" s="1765"/>
      <c r="G664" s="1765"/>
      <c r="H664" s="1765"/>
      <c r="I664" s="1765"/>
      <c r="J664" s="1765"/>
      <c r="K664" s="1765"/>
      <c r="L664" s="1765"/>
      <c r="M664" s="1765"/>
      <c r="N664" s="1765"/>
      <c r="O664" s="1765"/>
      <c r="P664" s="1765"/>
      <c r="Q664" s="1766"/>
      <c r="R664" s="1766"/>
      <c r="S664" s="1696"/>
      <c r="U664" s="1772"/>
      <c r="V664" s="1696"/>
      <c r="W664" s="1772"/>
      <c r="X664" s="1696"/>
      <c r="Y664" s="1696"/>
      <c r="Z664" s="1773"/>
    </row>
    <row r="665">
      <c r="A665" s="1771"/>
      <c r="B665" s="1777"/>
      <c r="C665" s="1771"/>
      <c r="D665" s="1771"/>
      <c r="E665" s="1771"/>
      <c r="F665" s="1771"/>
      <c r="G665" s="1777"/>
      <c r="H665" s="1771"/>
      <c r="I665" s="1770"/>
      <c r="J665" s="1771"/>
      <c r="K665" s="1771"/>
      <c r="L665" s="1771"/>
      <c r="M665" s="1771"/>
      <c r="N665" s="1779"/>
      <c r="O665" s="1770"/>
      <c r="P665" s="1771"/>
      <c r="Q665" s="1766"/>
      <c r="R665" s="1766"/>
      <c r="S665" s="1696"/>
      <c r="T665" s="1696"/>
      <c r="U665" s="1772"/>
      <c r="V665" s="1696"/>
      <c r="W665" s="1772"/>
      <c r="X665" s="1696"/>
      <c r="Y665" s="1696"/>
      <c r="Z665" s="1773"/>
    </row>
    <row r="666">
      <c r="A666" s="1766"/>
      <c r="B666" s="1780"/>
      <c r="C666" s="1766"/>
      <c r="D666" s="1766"/>
      <c r="E666" s="1766"/>
      <c r="F666" s="1766"/>
      <c r="G666" s="1766"/>
      <c r="H666" s="1766"/>
      <c r="I666" s="1766"/>
      <c r="J666" s="1766"/>
      <c r="K666" s="1766"/>
      <c r="L666" s="1766"/>
      <c r="M666" s="1781"/>
      <c r="N666" s="1781"/>
      <c r="O666" s="1766"/>
      <c r="P666" s="1766"/>
      <c r="Q666" s="1766"/>
      <c r="R666" s="1766"/>
      <c r="S666" s="1696"/>
      <c r="T666" s="1696"/>
      <c r="U666" s="1772"/>
      <c r="V666" s="1696"/>
      <c r="W666" s="1772"/>
      <c r="X666" s="1696"/>
      <c r="Y666" s="1696"/>
      <c r="Z666" s="1773"/>
    </row>
    <row r="667">
      <c r="A667" s="1765"/>
      <c r="B667" s="1782"/>
      <c r="C667" s="1765"/>
      <c r="D667" s="1765"/>
      <c r="E667" s="1765"/>
      <c r="F667" s="1765"/>
      <c r="G667" s="1765"/>
      <c r="H667" s="1765"/>
      <c r="I667" s="1765"/>
      <c r="J667" s="1765"/>
      <c r="K667" s="1765"/>
      <c r="L667" s="1765"/>
      <c r="M667" s="1765"/>
      <c r="N667" s="1765"/>
      <c r="O667" s="1765"/>
      <c r="P667" s="1765"/>
      <c r="Q667" s="1766"/>
      <c r="R667" s="1766"/>
      <c r="S667" s="1696"/>
      <c r="T667" s="1696"/>
      <c r="U667" s="1772"/>
      <c r="V667" s="1696"/>
      <c r="W667" s="1772"/>
      <c r="X667" s="1696"/>
      <c r="Y667" s="1696"/>
      <c r="Z667" s="1773"/>
    </row>
    <row r="668">
      <c r="A668" s="1771"/>
      <c r="B668" s="1777"/>
      <c r="C668" s="1771"/>
      <c r="D668" s="1771"/>
      <c r="E668" s="1771"/>
      <c r="F668" s="1771"/>
      <c r="G668" s="1777"/>
      <c r="H668" s="1771"/>
      <c r="I668" s="1770"/>
      <c r="J668" s="1771"/>
      <c r="K668" s="1771"/>
      <c r="L668" s="1771"/>
      <c r="M668" s="1771"/>
      <c r="N668" s="1779"/>
      <c r="O668" s="1770"/>
      <c r="P668" s="1771"/>
      <c r="Q668" s="1766"/>
      <c r="R668" s="1766"/>
      <c r="S668" s="1696"/>
      <c r="T668" s="1696"/>
      <c r="U668" s="1772"/>
      <c r="V668" s="1696"/>
      <c r="W668" s="1772"/>
      <c r="X668" s="1696"/>
      <c r="Y668" s="1696"/>
      <c r="Z668" s="1773"/>
    </row>
    <row r="669">
      <c r="A669" s="1766"/>
      <c r="B669" s="1780"/>
      <c r="C669" s="1766"/>
      <c r="D669" s="1766"/>
      <c r="E669" s="1766"/>
      <c r="F669" s="1766"/>
      <c r="G669" s="1766"/>
      <c r="H669" s="1766"/>
      <c r="I669" s="1766"/>
      <c r="J669" s="1766"/>
      <c r="K669" s="1766"/>
      <c r="L669" s="1766"/>
      <c r="M669" s="1781"/>
      <c r="N669" s="1781"/>
      <c r="O669" s="1766"/>
      <c r="P669" s="1766"/>
      <c r="Q669" s="1766"/>
      <c r="R669" s="1766"/>
      <c r="S669" s="1696"/>
      <c r="T669" s="1696"/>
      <c r="U669" s="1772"/>
      <c r="V669" s="1696"/>
      <c r="W669" s="1772"/>
      <c r="X669" s="1696"/>
      <c r="Y669" s="1696"/>
      <c r="Z669" s="1773"/>
    </row>
    <row r="670">
      <c r="A670" s="1765"/>
      <c r="B670" s="1782"/>
      <c r="C670" s="1765"/>
      <c r="D670" s="1765"/>
      <c r="E670" s="1765"/>
      <c r="F670" s="1765"/>
      <c r="G670" s="1765"/>
      <c r="H670" s="1765"/>
      <c r="I670" s="1765"/>
      <c r="J670" s="1765"/>
      <c r="K670" s="1765"/>
      <c r="L670" s="1765"/>
      <c r="M670" s="1765"/>
      <c r="N670" s="1765"/>
      <c r="O670" s="1765"/>
      <c r="P670" s="1765"/>
      <c r="Q670" s="1766"/>
      <c r="R670" s="1766"/>
      <c r="S670" s="1696"/>
      <c r="T670" s="1696"/>
      <c r="U670" s="1772"/>
      <c r="V670" s="1696"/>
      <c r="W670" s="1772"/>
      <c r="X670" s="1696"/>
      <c r="Y670" s="1696"/>
      <c r="Z670" s="1773"/>
    </row>
    <row r="671">
      <c r="A671" s="1771"/>
      <c r="B671" s="1777"/>
      <c r="C671" s="1771"/>
      <c r="D671" s="1771"/>
      <c r="E671" s="1771"/>
      <c r="F671" s="1771"/>
      <c r="G671" s="1777"/>
      <c r="H671" s="1771"/>
      <c r="I671" s="1770"/>
      <c r="J671" s="1771"/>
      <c r="K671" s="1771"/>
      <c r="L671" s="1771"/>
      <c r="M671" s="1771"/>
      <c r="N671" s="1779"/>
      <c r="O671" s="1770"/>
      <c r="P671" s="1771"/>
      <c r="Q671" s="1766"/>
      <c r="R671" s="1766"/>
      <c r="S671" s="1696"/>
      <c r="T671" s="1696"/>
      <c r="U671" s="1772"/>
      <c r="V671" s="1696"/>
      <c r="W671" s="1772"/>
      <c r="X671" s="1696"/>
      <c r="Y671" s="1696"/>
      <c r="Z671" s="1773"/>
    </row>
    <row r="672">
      <c r="A672" s="1766"/>
      <c r="B672" s="1780"/>
      <c r="C672" s="1766"/>
      <c r="D672" s="1766"/>
      <c r="E672" s="1766"/>
      <c r="F672" s="1766"/>
      <c r="G672" s="1766"/>
      <c r="H672" s="1766"/>
      <c r="I672" s="1766"/>
      <c r="J672" s="1766"/>
      <c r="K672" s="1766"/>
      <c r="L672" s="1766"/>
      <c r="M672" s="1781"/>
      <c r="N672" s="1781"/>
      <c r="O672" s="1766"/>
      <c r="P672" s="1766"/>
      <c r="Q672" s="1766"/>
      <c r="R672" s="1766"/>
      <c r="S672" s="1696"/>
      <c r="T672" s="1696"/>
      <c r="U672" s="1772"/>
      <c r="V672" s="1696"/>
      <c r="W672" s="1772"/>
      <c r="X672" s="1696"/>
      <c r="Y672" s="1696"/>
      <c r="Z672" s="1773"/>
    </row>
    <row r="673">
      <c r="A673" s="1765"/>
      <c r="B673" s="1782"/>
      <c r="C673" s="1765"/>
      <c r="D673" s="1765"/>
      <c r="E673" s="1765"/>
      <c r="F673" s="1765"/>
      <c r="G673" s="1765"/>
      <c r="H673" s="1765"/>
      <c r="I673" s="1765"/>
      <c r="J673" s="1765"/>
      <c r="K673" s="1765"/>
      <c r="L673" s="1765"/>
      <c r="M673" s="1765"/>
      <c r="N673" s="1765"/>
      <c r="O673" s="1765"/>
      <c r="P673" s="1765"/>
      <c r="Q673" s="1766"/>
      <c r="R673" s="1766"/>
      <c r="S673" s="1696"/>
      <c r="T673" s="1696"/>
      <c r="U673" s="1772"/>
      <c r="V673" s="1696"/>
      <c r="W673" s="1772"/>
      <c r="X673" s="1696"/>
      <c r="Y673" s="1696"/>
      <c r="Z673" s="1773"/>
    </row>
    <row r="674">
      <c r="A674" s="1771"/>
      <c r="B674" s="1777"/>
      <c r="C674" s="1771"/>
      <c r="D674" s="1771"/>
      <c r="E674" s="1771"/>
      <c r="F674" s="1771"/>
      <c r="G674" s="1777"/>
      <c r="H674" s="1771"/>
      <c r="I674" s="1770"/>
      <c r="J674" s="1771"/>
      <c r="K674" s="1771"/>
      <c r="L674" s="1771"/>
      <c r="M674" s="1771"/>
      <c r="N674" s="1779"/>
      <c r="O674" s="1770"/>
      <c r="P674" s="1771"/>
      <c r="Q674" s="1766"/>
      <c r="R674" s="1766"/>
      <c r="S674" s="1696"/>
      <c r="U674" s="1772"/>
      <c r="V674" s="1696"/>
      <c r="W674" s="1772"/>
      <c r="X674" s="1696"/>
      <c r="Y674" s="1696"/>
      <c r="Z674" s="1696"/>
    </row>
    <row r="675">
      <c r="A675" s="1766"/>
      <c r="B675" s="1780"/>
      <c r="C675" s="1766"/>
      <c r="D675" s="1766"/>
      <c r="E675" s="1766"/>
      <c r="F675" s="1766"/>
      <c r="G675" s="1766"/>
      <c r="H675" s="1766"/>
      <c r="I675" s="1766"/>
      <c r="J675" s="1766"/>
      <c r="K675" s="1766"/>
      <c r="L675" s="1766"/>
      <c r="M675" s="1781"/>
      <c r="N675" s="1781"/>
      <c r="O675" s="1766"/>
      <c r="P675" s="1766"/>
      <c r="Q675" s="1766"/>
      <c r="R675" s="1766"/>
      <c r="S675" s="1696"/>
      <c r="U675" s="1772"/>
      <c r="V675" s="1696"/>
      <c r="W675" s="1772"/>
      <c r="X675" s="1696"/>
      <c r="Y675" s="1696"/>
      <c r="Z675" s="1696"/>
    </row>
    <row r="676">
      <c r="A676" s="1765"/>
      <c r="B676" s="1782"/>
      <c r="C676" s="1765"/>
      <c r="D676" s="1765"/>
      <c r="E676" s="1765"/>
      <c r="F676" s="1765"/>
      <c r="G676" s="1765"/>
      <c r="H676" s="1765"/>
      <c r="I676" s="1765"/>
      <c r="J676" s="1765"/>
      <c r="K676" s="1765"/>
      <c r="L676" s="1765"/>
      <c r="M676" s="1765"/>
      <c r="N676" s="1765"/>
      <c r="O676" s="1765"/>
      <c r="P676" s="1765"/>
      <c r="Q676" s="1766"/>
      <c r="R676" s="1766"/>
      <c r="S676" s="1696"/>
      <c r="U676" s="1772"/>
      <c r="V676" s="1696"/>
      <c r="W676" s="1772"/>
      <c r="X676" s="1696"/>
      <c r="Y676" s="1696"/>
      <c r="Z676" s="1696"/>
    </row>
    <row r="677">
      <c r="A677" s="1771"/>
      <c r="B677" s="1777"/>
      <c r="C677" s="1771"/>
      <c r="D677" s="1771"/>
      <c r="E677" s="1771"/>
      <c r="F677" s="1771"/>
      <c r="G677" s="1771"/>
      <c r="H677" s="1771"/>
      <c r="I677" s="1770"/>
      <c r="J677" s="1771"/>
      <c r="K677" s="1771"/>
      <c r="L677" s="1771"/>
      <c r="M677" s="1771"/>
      <c r="N677" s="1779"/>
      <c r="O677" s="1770"/>
      <c r="P677" s="1771"/>
      <c r="Q677" s="1766"/>
      <c r="R677" s="1766"/>
      <c r="S677" s="1696"/>
      <c r="T677" s="1696"/>
      <c r="U677" s="1772"/>
      <c r="V677" s="1696"/>
      <c r="W677" s="1772"/>
      <c r="X677" s="1696"/>
      <c r="Y677" s="1696"/>
      <c r="Z677" s="1696"/>
    </row>
    <row r="678">
      <c r="A678" s="1766"/>
      <c r="B678" s="1780"/>
      <c r="C678" s="1766"/>
      <c r="D678" s="1766"/>
      <c r="E678" s="1766"/>
      <c r="F678" s="1766"/>
      <c r="G678" s="1766"/>
      <c r="H678" s="1766"/>
      <c r="I678" s="1766"/>
      <c r="J678" s="1766"/>
      <c r="K678" s="1766"/>
      <c r="L678" s="1766"/>
      <c r="M678" s="1781"/>
      <c r="N678" s="1781"/>
      <c r="O678" s="1766"/>
      <c r="P678" s="1766"/>
      <c r="Q678" s="1766"/>
      <c r="R678" s="1766"/>
      <c r="S678" s="1696"/>
      <c r="T678" s="1696"/>
      <c r="U678" s="1772"/>
      <c r="V678" s="1696"/>
      <c r="W678" s="1772"/>
      <c r="X678" s="1696"/>
      <c r="Y678" s="1696"/>
      <c r="Z678" s="1773"/>
    </row>
    <row r="679">
      <c r="A679" s="1765"/>
      <c r="B679" s="1782"/>
      <c r="C679" s="1765"/>
      <c r="D679" s="1765"/>
      <c r="E679" s="1765"/>
      <c r="F679" s="1765"/>
      <c r="G679" s="1765"/>
      <c r="H679" s="1765"/>
      <c r="I679" s="1765"/>
      <c r="J679" s="1765"/>
      <c r="K679" s="1765"/>
      <c r="L679" s="1765"/>
      <c r="M679" s="1765"/>
      <c r="N679" s="1765"/>
      <c r="O679" s="1765"/>
      <c r="P679" s="1765"/>
      <c r="Q679" s="1766"/>
      <c r="R679" s="1766"/>
      <c r="S679" s="1696"/>
      <c r="T679" s="1696"/>
      <c r="U679" s="1772"/>
      <c r="V679" s="1696"/>
      <c r="W679" s="1772"/>
      <c r="X679" s="1696"/>
      <c r="Y679" s="1696"/>
      <c r="Z679" s="1773"/>
    </row>
    <row r="680">
      <c r="A680" s="1771"/>
      <c r="B680" s="1777"/>
      <c r="C680" s="1771"/>
      <c r="D680" s="1771"/>
      <c r="E680" s="1771"/>
      <c r="F680" s="1771"/>
      <c r="G680" s="1771"/>
      <c r="H680" s="1771"/>
      <c r="I680" s="1770"/>
      <c r="J680" s="1771"/>
      <c r="K680" s="1771"/>
      <c r="L680" s="1771"/>
      <c r="M680" s="1771"/>
      <c r="N680" s="1779"/>
      <c r="O680" s="1770"/>
      <c r="P680" s="1771"/>
      <c r="Q680" s="1766"/>
      <c r="R680" s="1766"/>
      <c r="S680" s="1696"/>
      <c r="T680" s="1696"/>
      <c r="U680" s="1772"/>
      <c r="V680" s="1696"/>
      <c r="W680" s="1772"/>
      <c r="X680" s="1696"/>
      <c r="Y680" s="1696"/>
      <c r="Z680" s="1773"/>
    </row>
    <row r="681">
      <c r="A681" s="1766"/>
      <c r="B681" s="1780"/>
      <c r="C681" s="1766"/>
      <c r="D681" s="1766"/>
      <c r="E681" s="1766"/>
      <c r="F681" s="1766"/>
      <c r="G681" s="1766"/>
      <c r="H681" s="1766"/>
      <c r="I681" s="1766"/>
      <c r="J681" s="1766"/>
      <c r="K681" s="1766"/>
      <c r="L681" s="1766"/>
      <c r="M681" s="1781"/>
      <c r="N681" s="1781"/>
      <c r="O681" s="1766"/>
      <c r="P681" s="1766"/>
      <c r="Q681" s="1766"/>
      <c r="R681" s="1766"/>
      <c r="S681" s="1696"/>
      <c r="T681" s="1696"/>
      <c r="U681" s="1772"/>
      <c r="V681" s="1696"/>
      <c r="W681" s="1772"/>
      <c r="X681" s="1696"/>
      <c r="Y681" s="1696"/>
      <c r="Z681" s="1773"/>
    </row>
    <row r="682">
      <c r="A682" s="1765"/>
      <c r="B682" s="1782"/>
      <c r="C682" s="1765"/>
      <c r="D682" s="1765"/>
      <c r="E682" s="1765"/>
      <c r="F682" s="1765"/>
      <c r="G682" s="1765"/>
      <c r="H682" s="1765"/>
      <c r="I682" s="1765"/>
      <c r="J682" s="1765"/>
      <c r="K682" s="1765"/>
      <c r="L682" s="1765"/>
      <c r="M682" s="1765"/>
      <c r="N682" s="1765"/>
      <c r="O682" s="1765"/>
      <c r="P682" s="1765"/>
      <c r="Q682" s="1766"/>
      <c r="R682" s="1766"/>
      <c r="S682" s="1696"/>
      <c r="T682" s="1696"/>
      <c r="U682" s="1772"/>
      <c r="V682" s="1696"/>
      <c r="W682" s="1772"/>
      <c r="X682" s="1696"/>
      <c r="Y682" s="1696"/>
      <c r="Z682" s="1773"/>
    </row>
    <row r="683">
      <c r="A683" s="1771"/>
      <c r="B683" s="1777"/>
      <c r="C683" s="1771"/>
      <c r="D683" s="1771"/>
      <c r="E683" s="1771"/>
      <c r="F683" s="1771"/>
      <c r="G683" s="1777"/>
      <c r="H683" s="1771"/>
      <c r="I683" s="1770"/>
      <c r="J683" s="1771"/>
      <c r="K683" s="1771"/>
      <c r="L683" s="1771"/>
      <c r="M683" s="1771"/>
      <c r="N683" s="1779"/>
      <c r="O683" s="1770"/>
      <c r="P683" s="1771"/>
      <c r="Q683" s="1766"/>
      <c r="R683" s="1766"/>
      <c r="S683" s="1696"/>
      <c r="T683" s="1696"/>
      <c r="U683" s="1772"/>
      <c r="V683" s="1696"/>
      <c r="W683" s="1772"/>
      <c r="X683" s="1696"/>
      <c r="Y683" s="1696"/>
      <c r="Z683" s="1773"/>
    </row>
    <row r="684">
      <c r="A684" s="1766"/>
      <c r="B684" s="1780"/>
      <c r="C684" s="1766"/>
      <c r="D684" s="1766"/>
      <c r="E684" s="1766"/>
      <c r="F684" s="1766"/>
      <c r="G684" s="1766"/>
      <c r="H684" s="1766"/>
      <c r="I684" s="1766"/>
      <c r="J684" s="1766"/>
      <c r="K684" s="1766"/>
      <c r="L684" s="1766"/>
      <c r="M684" s="1781"/>
      <c r="N684" s="1781"/>
      <c r="O684" s="1766"/>
      <c r="P684" s="1766"/>
      <c r="Q684" s="1766"/>
      <c r="R684" s="1766"/>
      <c r="S684" s="1696"/>
      <c r="T684" s="1696"/>
      <c r="U684" s="1772"/>
      <c r="V684" s="1696"/>
      <c r="W684" s="1772"/>
      <c r="X684" s="1696"/>
      <c r="Y684" s="1696"/>
      <c r="Z684" s="1773"/>
    </row>
    <row r="685">
      <c r="A685" s="1765"/>
      <c r="B685" s="1782"/>
      <c r="C685" s="1765"/>
      <c r="D685" s="1765"/>
      <c r="E685" s="1765"/>
      <c r="F685" s="1765"/>
      <c r="G685" s="1765"/>
      <c r="H685" s="1765"/>
      <c r="I685" s="1765"/>
      <c r="J685" s="1765"/>
      <c r="K685" s="1765"/>
      <c r="L685" s="1765"/>
      <c r="M685" s="1765"/>
      <c r="N685" s="1765"/>
      <c r="O685" s="1765"/>
      <c r="P685" s="1765"/>
      <c r="Q685" s="1766"/>
      <c r="R685" s="1766"/>
      <c r="S685" s="1696"/>
      <c r="T685" s="1696"/>
      <c r="U685" s="1772"/>
      <c r="V685" s="1696"/>
      <c r="W685" s="1772"/>
      <c r="X685" s="1696"/>
      <c r="Y685" s="1696"/>
      <c r="Z685" s="1773"/>
    </row>
    <row r="686">
      <c r="A686" s="1771"/>
      <c r="B686" s="1777"/>
      <c r="C686" s="1771"/>
      <c r="D686" s="1771"/>
      <c r="E686" s="1771"/>
      <c r="F686" s="1771"/>
      <c r="G686" s="1777"/>
      <c r="H686" s="1771"/>
      <c r="I686" s="1770"/>
      <c r="J686" s="1771"/>
      <c r="K686" s="1771"/>
      <c r="L686" s="1771"/>
      <c r="M686" s="1771"/>
      <c r="N686" s="1779"/>
      <c r="O686" s="1770"/>
      <c r="P686" s="1771"/>
      <c r="Q686" s="1766"/>
      <c r="R686" s="1766"/>
      <c r="S686" s="1696"/>
      <c r="T686" s="1696"/>
      <c r="U686" s="1772"/>
      <c r="V686" s="1696"/>
      <c r="W686" s="1772"/>
      <c r="X686" s="1696"/>
      <c r="Y686" s="1696"/>
      <c r="Z686" s="1773"/>
    </row>
    <row r="687">
      <c r="A687" s="1766"/>
      <c r="B687" s="1780"/>
      <c r="C687" s="1766"/>
      <c r="D687" s="1766"/>
      <c r="E687" s="1766"/>
      <c r="F687" s="1766"/>
      <c r="G687" s="1766"/>
      <c r="H687" s="1766"/>
      <c r="I687" s="1766"/>
      <c r="J687" s="1766"/>
      <c r="K687" s="1766"/>
      <c r="L687" s="1766"/>
      <c r="M687" s="1781"/>
      <c r="N687" s="1781"/>
      <c r="O687" s="1766"/>
      <c r="P687" s="1766"/>
      <c r="Q687" s="1766"/>
      <c r="R687" s="1766"/>
      <c r="S687" s="1696"/>
      <c r="U687" s="1772"/>
      <c r="V687" s="1696"/>
      <c r="W687" s="1772"/>
      <c r="X687" s="1696"/>
      <c r="Y687" s="1696"/>
      <c r="Z687" s="1773"/>
    </row>
    <row r="688">
      <c r="A688" s="1765"/>
      <c r="B688" s="1782"/>
      <c r="C688" s="1765"/>
      <c r="D688" s="1765"/>
      <c r="E688" s="1765"/>
      <c r="F688" s="1765"/>
      <c r="G688" s="1765"/>
      <c r="H688" s="1765"/>
      <c r="I688" s="1765"/>
      <c r="J688" s="1765"/>
      <c r="K688" s="1765"/>
      <c r="L688" s="1765"/>
      <c r="M688" s="1765"/>
      <c r="N688" s="1765"/>
      <c r="O688" s="1765"/>
      <c r="P688" s="1765"/>
      <c r="Q688" s="1766"/>
      <c r="R688" s="1766"/>
      <c r="S688" s="1696"/>
      <c r="T688" s="1696"/>
      <c r="U688" s="1772"/>
      <c r="V688" s="1696"/>
      <c r="W688" s="1772"/>
      <c r="X688" s="1696"/>
      <c r="Y688" s="1696"/>
      <c r="Z688" s="1696"/>
    </row>
    <row r="689">
      <c r="A689" s="1771"/>
      <c r="B689" s="1777"/>
      <c r="C689" s="1771"/>
      <c r="D689" s="1771"/>
      <c r="E689" s="1771"/>
      <c r="F689" s="1771"/>
      <c r="G689" s="1771"/>
      <c r="H689" s="1771"/>
      <c r="I689" s="1770"/>
      <c r="J689" s="1771"/>
      <c r="K689" s="1771"/>
      <c r="L689" s="1771"/>
      <c r="M689" s="1771"/>
      <c r="N689" s="1779"/>
      <c r="O689" s="1770"/>
      <c r="P689" s="1771"/>
      <c r="Q689" s="1766"/>
      <c r="R689" s="1766"/>
      <c r="S689" s="1696"/>
      <c r="T689" s="1696"/>
      <c r="U689" s="1772"/>
      <c r="V689" s="1696"/>
      <c r="W689" s="1772"/>
      <c r="X689" s="1696"/>
      <c r="Y689" s="1696"/>
      <c r="Z689" s="1696"/>
    </row>
    <row r="690">
      <c r="A690" s="1766"/>
      <c r="B690" s="1780"/>
      <c r="C690" s="1766"/>
      <c r="D690" s="1766"/>
      <c r="E690" s="1766"/>
      <c r="F690" s="1766"/>
      <c r="G690" s="1766"/>
      <c r="H690" s="1766"/>
      <c r="I690" s="1766"/>
      <c r="J690" s="1766"/>
      <c r="K690" s="1766"/>
      <c r="L690" s="1766"/>
      <c r="M690" s="1781"/>
      <c r="N690" s="1781"/>
      <c r="O690" s="1766"/>
      <c r="P690" s="1766"/>
      <c r="Q690" s="1766"/>
      <c r="R690" s="1766"/>
      <c r="S690" s="1696"/>
      <c r="U690" s="1772"/>
      <c r="V690" s="1696"/>
      <c r="W690" s="1772"/>
      <c r="X690" s="1696"/>
      <c r="Y690" s="1696"/>
      <c r="Z690" s="1773"/>
    </row>
    <row r="691">
      <c r="A691" s="1765"/>
      <c r="B691" s="1782"/>
      <c r="C691" s="1765"/>
      <c r="D691" s="1765"/>
      <c r="E691" s="1765"/>
      <c r="F691" s="1765"/>
      <c r="G691" s="1765"/>
      <c r="H691" s="1765"/>
      <c r="I691" s="1765"/>
      <c r="J691" s="1765"/>
      <c r="K691" s="1765"/>
      <c r="L691" s="1765"/>
      <c r="M691" s="1765"/>
      <c r="N691" s="1765"/>
      <c r="O691" s="1765"/>
      <c r="P691" s="1765"/>
      <c r="Q691" s="1766"/>
      <c r="R691" s="1766"/>
      <c r="S691" s="1696"/>
      <c r="T691" s="1696"/>
      <c r="U691" s="1772"/>
      <c r="V691" s="1696"/>
      <c r="W691" s="1772"/>
      <c r="X691" s="1696"/>
      <c r="Y691" s="1696"/>
      <c r="Z691" s="1773"/>
    </row>
    <row r="692">
      <c r="A692" s="1771"/>
      <c r="B692" s="1777"/>
      <c r="C692" s="1771"/>
      <c r="D692" s="1771"/>
      <c r="E692" s="1771"/>
      <c r="F692" s="1771"/>
      <c r="G692" s="1771"/>
      <c r="H692" s="1771"/>
      <c r="I692" s="1770"/>
      <c r="J692" s="1771"/>
      <c r="K692" s="1771"/>
      <c r="L692" s="1771"/>
      <c r="M692" s="1771"/>
      <c r="N692" s="1779"/>
      <c r="O692" s="1770"/>
      <c r="P692" s="1771"/>
      <c r="Q692" s="1766"/>
      <c r="R692" s="1766"/>
      <c r="S692" s="1696"/>
      <c r="T692" s="1696"/>
      <c r="U692" s="1772"/>
      <c r="V692" s="1696"/>
      <c r="W692" s="1772"/>
      <c r="X692" s="1696"/>
      <c r="Y692" s="1696"/>
      <c r="Z692" s="1773"/>
    </row>
    <row r="693">
      <c r="A693" s="1766"/>
      <c r="B693" s="1780"/>
      <c r="C693" s="1766"/>
      <c r="D693" s="1766"/>
      <c r="E693" s="1766"/>
      <c r="F693" s="1766"/>
      <c r="G693" s="1766"/>
      <c r="H693" s="1766"/>
      <c r="I693" s="1766"/>
      <c r="J693" s="1766"/>
      <c r="K693" s="1766"/>
      <c r="L693" s="1766"/>
      <c r="M693" s="1781"/>
      <c r="N693" s="1781"/>
      <c r="O693" s="1766"/>
      <c r="P693" s="1766"/>
      <c r="Q693" s="1766"/>
      <c r="R693" s="1766"/>
      <c r="S693" s="1696"/>
      <c r="T693" s="1696"/>
      <c r="U693" s="1772"/>
      <c r="V693" s="1696"/>
      <c r="W693" s="1772"/>
      <c r="X693" s="1696"/>
      <c r="Y693" s="1696"/>
      <c r="Z693" s="1773"/>
    </row>
    <row r="694">
      <c r="A694" s="1765"/>
      <c r="B694" s="1782"/>
      <c r="C694" s="1765"/>
      <c r="D694" s="1765"/>
      <c r="E694" s="1765"/>
      <c r="F694" s="1765"/>
      <c r="G694" s="1765"/>
      <c r="H694" s="1765"/>
      <c r="I694" s="1765"/>
      <c r="J694" s="1765"/>
      <c r="K694" s="1765"/>
      <c r="L694" s="1765"/>
      <c r="M694" s="1765"/>
      <c r="N694" s="1765"/>
      <c r="O694" s="1765"/>
      <c r="P694" s="1765"/>
      <c r="Q694" s="1766"/>
      <c r="R694" s="1766"/>
      <c r="S694" s="1696"/>
      <c r="T694" s="1696"/>
      <c r="U694" s="1772"/>
      <c r="V694" s="1696"/>
      <c r="W694" s="1772"/>
      <c r="X694" s="1696"/>
      <c r="Y694" s="1696"/>
      <c r="Z694" s="1696"/>
    </row>
    <row r="695">
      <c r="A695" s="1771"/>
      <c r="B695" s="1777"/>
      <c r="C695" s="1771"/>
      <c r="D695" s="1771"/>
      <c r="E695" s="1771"/>
      <c r="F695" s="1771"/>
      <c r="G695" s="1777"/>
      <c r="H695" s="1771"/>
      <c r="I695" s="1770"/>
      <c r="J695" s="1771"/>
      <c r="K695" s="1771"/>
      <c r="L695" s="1771"/>
      <c r="M695" s="1771"/>
      <c r="N695" s="1770"/>
      <c r="O695" s="1770"/>
      <c r="P695" s="1771"/>
      <c r="Q695" s="1766"/>
      <c r="R695" s="1766"/>
      <c r="S695" s="1696"/>
      <c r="T695" s="1696"/>
      <c r="U695" s="1772"/>
      <c r="V695" s="1696"/>
      <c r="W695" s="1772"/>
      <c r="X695" s="1696"/>
      <c r="Y695" s="1696"/>
      <c r="Z695" s="1773"/>
    </row>
    <row r="696">
      <c r="A696" s="1766"/>
      <c r="B696" s="1780"/>
      <c r="C696" s="1766"/>
      <c r="D696" s="1766"/>
      <c r="E696" s="1766"/>
      <c r="F696" s="1766"/>
      <c r="G696" s="1766"/>
      <c r="H696" s="1766"/>
      <c r="I696" s="1766"/>
      <c r="J696" s="1766"/>
      <c r="K696" s="1766"/>
      <c r="L696" s="1766"/>
      <c r="M696" s="1766"/>
      <c r="N696" s="1766"/>
      <c r="O696" s="1766"/>
      <c r="P696" s="1766"/>
      <c r="Q696" s="1766"/>
      <c r="R696" s="1766"/>
      <c r="S696" s="1696"/>
      <c r="T696" s="1696"/>
      <c r="U696" s="1772"/>
      <c r="V696" s="1696"/>
      <c r="W696" s="1772"/>
      <c r="X696" s="1696"/>
      <c r="Y696" s="1696"/>
      <c r="Z696" s="1773"/>
    </row>
    <row r="697">
      <c r="A697" s="1765"/>
      <c r="B697" s="1782"/>
      <c r="C697" s="1765"/>
      <c r="D697" s="1765"/>
      <c r="E697" s="1765"/>
      <c r="F697" s="1765"/>
      <c r="G697" s="1765"/>
      <c r="H697" s="1765"/>
      <c r="I697" s="1765"/>
      <c r="J697" s="1765"/>
      <c r="K697" s="1765"/>
      <c r="L697" s="1765"/>
      <c r="M697" s="1765"/>
      <c r="N697" s="1765"/>
      <c r="O697" s="1765"/>
      <c r="P697" s="1765"/>
      <c r="Q697" s="1766"/>
      <c r="R697" s="1766"/>
      <c r="S697" s="1696"/>
      <c r="T697" s="1696"/>
      <c r="U697" s="1772"/>
      <c r="V697" s="1696"/>
      <c r="W697" s="1772"/>
      <c r="X697" s="1696"/>
      <c r="Y697" s="1696"/>
      <c r="Z697" s="1773"/>
    </row>
    <row r="698">
      <c r="A698" s="1771"/>
      <c r="B698" s="1777"/>
      <c r="C698" s="1771"/>
      <c r="D698" s="1771"/>
      <c r="E698" s="1771"/>
      <c r="F698" s="1771"/>
      <c r="G698" s="1777"/>
      <c r="H698" s="1771"/>
      <c r="I698" s="1770"/>
      <c r="J698" s="1771"/>
      <c r="K698" s="1771"/>
      <c r="L698" s="1770"/>
      <c r="M698" s="1771"/>
      <c r="N698" s="1779"/>
      <c r="O698" s="1770"/>
      <c r="P698" s="1771"/>
      <c r="Q698" s="1766"/>
      <c r="R698" s="1766"/>
      <c r="S698" s="1696"/>
      <c r="T698" s="1696"/>
      <c r="U698" s="1772"/>
      <c r="V698" s="1696"/>
      <c r="W698" s="1772"/>
      <c r="X698" s="1696"/>
      <c r="Y698" s="1696"/>
      <c r="Z698" s="1773"/>
    </row>
    <row r="699">
      <c r="A699" s="1766"/>
      <c r="B699" s="1780"/>
      <c r="C699" s="1766"/>
      <c r="D699" s="1766"/>
      <c r="E699" s="1766"/>
      <c r="F699" s="1766"/>
      <c r="G699" s="1766"/>
      <c r="H699" s="1766"/>
      <c r="I699" s="1766"/>
      <c r="J699" s="1766"/>
      <c r="K699" s="1766"/>
      <c r="L699" s="1766"/>
      <c r="M699" s="1781"/>
      <c r="N699" s="1781"/>
      <c r="O699" s="1766"/>
      <c r="P699" s="1766"/>
      <c r="Q699" s="1766"/>
      <c r="R699" s="1766"/>
      <c r="S699" s="1696"/>
      <c r="T699" s="1696"/>
      <c r="U699" s="1772"/>
      <c r="V699" s="1696"/>
      <c r="W699" s="1772"/>
      <c r="X699" s="1696"/>
      <c r="Y699" s="1696"/>
      <c r="Z699" s="1773"/>
    </row>
    <row r="700">
      <c r="A700" s="1765"/>
      <c r="B700" s="1782"/>
      <c r="C700" s="1765"/>
      <c r="D700" s="1765"/>
      <c r="E700" s="1765"/>
      <c r="F700" s="1765"/>
      <c r="G700" s="1765"/>
      <c r="H700" s="1765"/>
      <c r="I700" s="1765"/>
      <c r="J700" s="1765"/>
      <c r="K700" s="1765"/>
      <c r="L700" s="1765"/>
      <c r="M700" s="1765"/>
      <c r="N700" s="1765"/>
      <c r="O700" s="1765"/>
      <c r="P700" s="1765"/>
      <c r="Q700" s="1766"/>
      <c r="R700" s="1766"/>
      <c r="S700" s="1696"/>
      <c r="T700" s="1696"/>
      <c r="U700" s="1772"/>
      <c r="V700" s="1696"/>
      <c r="W700" s="1772"/>
      <c r="X700" s="1696"/>
      <c r="Y700" s="1696"/>
      <c r="Z700" s="1773"/>
    </row>
    <row r="701">
      <c r="A701" s="1771"/>
      <c r="B701" s="1777"/>
      <c r="C701" s="1771"/>
      <c r="D701" s="1771"/>
      <c r="E701" s="1771"/>
      <c r="F701" s="1771"/>
      <c r="G701" s="1777"/>
      <c r="H701" s="1771"/>
      <c r="I701" s="1770"/>
      <c r="J701" s="1771"/>
      <c r="K701" s="1771"/>
      <c r="L701" s="1771"/>
      <c r="M701" s="1771"/>
      <c r="N701" s="1779"/>
      <c r="O701" s="1770"/>
      <c r="P701" s="1771"/>
      <c r="Q701" s="1766"/>
      <c r="R701" s="1766"/>
      <c r="S701" s="1696"/>
      <c r="U701" s="1772"/>
      <c r="V701" s="1696"/>
      <c r="W701" s="1772"/>
      <c r="X701" s="1696"/>
      <c r="Y701" s="1696"/>
      <c r="Z701" s="1773"/>
    </row>
    <row r="702">
      <c r="A702" s="1766"/>
      <c r="B702" s="1780"/>
      <c r="C702" s="1766"/>
      <c r="D702" s="1766"/>
      <c r="E702" s="1766"/>
      <c r="F702" s="1766"/>
      <c r="G702" s="1766"/>
      <c r="H702" s="1766"/>
      <c r="I702" s="1766"/>
      <c r="J702" s="1766"/>
      <c r="K702" s="1766"/>
      <c r="L702" s="1766"/>
      <c r="M702" s="1781"/>
      <c r="N702" s="1781"/>
      <c r="O702" s="1766"/>
      <c r="P702" s="1766"/>
      <c r="Q702" s="1766"/>
      <c r="R702" s="1766"/>
      <c r="S702" s="1696"/>
      <c r="U702" s="1772"/>
      <c r="V702" s="1696"/>
      <c r="W702" s="1772"/>
      <c r="X702" s="1696"/>
      <c r="Y702" s="1696"/>
      <c r="Z702" s="1773"/>
    </row>
    <row r="703">
      <c r="A703" s="1765"/>
      <c r="B703" s="1782"/>
      <c r="C703" s="1765"/>
      <c r="D703" s="1765"/>
      <c r="E703" s="1765"/>
      <c r="F703" s="1765"/>
      <c r="G703" s="1765"/>
      <c r="H703" s="1765"/>
      <c r="I703" s="1765"/>
      <c r="J703" s="1765"/>
      <c r="K703" s="1765"/>
      <c r="L703" s="1765"/>
      <c r="M703" s="1765"/>
      <c r="N703" s="1765"/>
      <c r="O703" s="1765"/>
      <c r="P703" s="1765"/>
      <c r="Q703" s="1766"/>
      <c r="R703" s="1766"/>
      <c r="S703" s="1696"/>
      <c r="U703" s="1772"/>
      <c r="V703" s="1696"/>
      <c r="W703" s="1772"/>
      <c r="X703" s="1696"/>
      <c r="Y703" s="1696"/>
      <c r="Z703" s="1773"/>
    </row>
    <row r="704">
      <c r="A704" s="1771"/>
      <c r="B704" s="1777"/>
      <c r="C704" s="1771"/>
      <c r="D704" s="1771"/>
      <c r="E704" s="1771"/>
      <c r="F704" s="1771"/>
      <c r="G704" s="1777"/>
      <c r="H704" s="1771"/>
      <c r="I704" s="1770"/>
      <c r="J704" s="1771"/>
      <c r="K704" s="1771"/>
      <c r="L704" s="1771"/>
      <c r="M704" s="1771"/>
      <c r="N704" s="1779"/>
      <c r="O704" s="1770"/>
      <c r="P704" s="1771"/>
      <c r="Q704" s="1766"/>
      <c r="R704" s="1766"/>
      <c r="S704" s="1696"/>
      <c r="U704" s="1772"/>
      <c r="V704" s="1696"/>
      <c r="W704" s="1772"/>
      <c r="X704" s="1696"/>
      <c r="Y704" s="1696"/>
      <c r="Z704" s="1773"/>
    </row>
    <row r="705">
      <c r="A705" s="1766"/>
      <c r="B705" s="1780"/>
      <c r="C705" s="1766"/>
      <c r="D705" s="1766"/>
      <c r="E705" s="1766"/>
      <c r="F705" s="1766"/>
      <c r="G705" s="1766"/>
      <c r="H705" s="1766"/>
      <c r="I705" s="1766"/>
      <c r="J705" s="1766"/>
      <c r="K705" s="1766"/>
      <c r="L705" s="1766"/>
      <c r="M705" s="1781"/>
      <c r="N705" s="1781"/>
      <c r="O705" s="1766"/>
      <c r="P705" s="1766"/>
      <c r="Q705" s="1766"/>
      <c r="R705" s="1766"/>
      <c r="S705" s="1696"/>
      <c r="T705" s="1696"/>
      <c r="U705" s="1772"/>
      <c r="V705" s="1696"/>
      <c r="W705" s="1772"/>
      <c r="X705" s="1696"/>
      <c r="Y705" s="1696"/>
      <c r="Z705" s="1773"/>
    </row>
    <row r="706">
      <c r="A706" s="1765"/>
      <c r="B706" s="1782"/>
      <c r="C706" s="1765"/>
      <c r="D706" s="1765"/>
      <c r="E706" s="1765"/>
      <c r="F706" s="1765"/>
      <c r="G706" s="1765"/>
      <c r="H706" s="1765"/>
      <c r="I706" s="1765"/>
      <c r="J706" s="1765"/>
      <c r="K706" s="1765"/>
      <c r="L706" s="1765"/>
      <c r="M706" s="1765"/>
      <c r="N706" s="1765"/>
      <c r="O706" s="1765"/>
      <c r="P706" s="1765"/>
      <c r="Q706" s="1766"/>
      <c r="R706" s="1766"/>
      <c r="S706" s="1696"/>
      <c r="U706" s="1772"/>
      <c r="V706" s="1696"/>
      <c r="W706" s="1772"/>
      <c r="X706" s="1696"/>
      <c r="Y706" s="1696"/>
      <c r="Z706" s="1696"/>
    </row>
    <row r="707">
      <c r="A707" s="1771"/>
      <c r="B707" s="1777"/>
      <c r="C707" s="1771"/>
      <c r="D707" s="1771"/>
      <c r="E707" s="1771"/>
      <c r="F707" s="1771"/>
      <c r="G707" s="1777"/>
      <c r="H707" s="1771"/>
      <c r="I707" s="1770"/>
      <c r="J707" s="1771"/>
      <c r="K707" s="1771"/>
      <c r="L707" s="1771"/>
      <c r="M707" s="1771"/>
      <c r="N707" s="1770"/>
      <c r="O707" s="1770"/>
      <c r="P707" s="1771"/>
      <c r="Q707" s="1766"/>
      <c r="R707" s="1766"/>
      <c r="S707" s="1696"/>
      <c r="U707" s="1772"/>
      <c r="V707" s="1696"/>
      <c r="W707" s="1772"/>
      <c r="X707" s="1696"/>
      <c r="Y707" s="1696"/>
      <c r="Z707" s="1773"/>
    </row>
    <row r="708">
      <c r="A708" s="1766"/>
      <c r="B708" s="1780"/>
      <c r="C708" s="1766"/>
      <c r="D708" s="1766"/>
      <c r="E708" s="1766"/>
      <c r="F708" s="1766"/>
      <c r="G708" s="1766"/>
      <c r="H708" s="1766"/>
      <c r="I708" s="1766"/>
      <c r="J708" s="1766"/>
      <c r="K708" s="1766"/>
      <c r="L708" s="1766"/>
      <c r="M708" s="1766"/>
      <c r="N708" s="1781"/>
      <c r="O708" s="1766"/>
      <c r="P708" s="1766"/>
      <c r="Q708" s="1766"/>
      <c r="R708" s="1766"/>
      <c r="S708" s="1696"/>
      <c r="U708" s="1772"/>
      <c r="V708" s="1696"/>
      <c r="W708" s="1772"/>
      <c r="X708" s="1696"/>
      <c r="Y708" s="1696"/>
      <c r="Z708" s="1773"/>
    </row>
    <row r="709">
      <c r="A709" s="1765"/>
      <c r="B709" s="1782"/>
      <c r="C709" s="1765"/>
      <c r="D709" s="1765"/>
      <c r="E709" s="1765"/>
      <c r="F709" s="1765"/>
      <c r="G709" s="1765"/>
      <c r="H709" s="1765"/>
      <c r="I709" s="1765"/>
      <c r="J709" s="1765"/>
      <c r="K709" s="1765"/>
      <c r="L709" s="1765"/>
      <c r="M709" s="1765"/>
      <c r="N709" s="1765"/>
      <c r="O709" s="1765"/>
      <c r="P709" s="1765"/>
      <c r="Q709" s="1766"/>
      <c r="R709" s="1766"/>
      <c r="S709" s="1696"/>
      <c r="U709" s="1772"/>
      <c r="V709" s="1696"/>
      <c r="W709" s="1772"/>
      <c r="X709" s="1696"/>
      <c r="Y709" s="1696"/>
      <c r="Z709" s="1773"/>
    </row>
    <row r="710">
      <c r="A710" s="1771"/>
      <c r="B710" s="1777"/>
      <c r="C710" s="1771"/>
      <c r="D710" s="1771"/>
      <c r="E710" s="1771"/>
      <c r="F710" s="1771"/>
      <c r="G710" s="1777"/>
      <c r="H710" s="1771"/>
      <c r="I710" s="1770"/>
      <c r="J710" s="1771"/>
      <c r="K710" s="1771"/>
      <c r="L710" s="1771"/>
      <c r="M710" s="1771"/>
      <c r="N710" s="1770"/>
      <c r="O710" s="1770"/>
      <c r="P710" s="1771"/>
      <c r="Q710" s="1766"/>
      <c r="R710" s="1766"/>
      <c r="S710" s="1696"/>
      <c r="T710" s="1696"/>
      <c r="U710" s="1772"/>
      <c r="V710" s="1696"/>
      <c r="W710" s="1772"/>
      <c r="X710" s="1696"/>
      <c r="Y710" s="1696"/>
      <c r="Z710" s="1773"/>
    </row>
    <row r="711">
      <c r="A711" s="1766"/>
      <c r="B711" s="1780"/>
      <c r="C711" s="1766"/>
      <c r="D711" s="1766"/>
      <c r="E711" s="1766"/>
      <c r="F711" s="1766"/>
      <c r="G711" s="1766"/>
      <c r="H711" s="1766"/>
      <c r="I711" s="1766"/>
      <c r="J711" s="1766"/>
      <c r="K711" s="1766"/>
      <c r="L711" s="1766"/>
      <c r="M711" s="1766"/>
      <c r="N711" s="1766"/>
      <c r="O711" s="1766"/>
      <c r="P711" s="1766"/>
      <c r="Q711" s="1766"/>
      <c r="R711" s="1766"/>
      <c r="S711" s="1696"/>
      <c r="T711" s="1696"/>
      <c r="U711" s="1772"/>
      <c r="V711" s="1696"/>
      <c r="W711" s="1772"/>
      <c r="X711" s="1696"/>
      <c r="Y711" s="1696"/>
      <c r="Z711" s="1773"/>
    </row>
    <row r="712">
      <c r="A712" s="1765"/>
      <c r="B712" s="1782"/>
      <c r="C712" s="1765"/>
      <c r="D712" s="1765"/>
      <c r="E712" s="1765"/>
      <c r="F712" s="1765"/>
      <c r="G712" s="1765"/>
      <c r="H712" s="1765"/>
      <c r="I712" s="1765"/>
      <c r="J712" s="1765"/>
      <c r="K712" s="1765"/>
      <c r="L712" s="1765"/>
      <c r="M712" s="1765"/>
      <c r="N712" s="1765"/>
      <c r="O712" s="1765"/>
      <c r="P712" s="1765"/>
      <c r="Q712" s="1766"/>
      <c r="R712" s="1766"/>
      <c r="S712" s="1696"/>
      <c r="T712" s="1696"/>
      <c r="U712" s="1772"/>
      <c r="V712" s="1696"/>
      <c r="W712" s="1772"/>
      <c r="X712" s="1696"/>
      <c r="Y712" s="1696"/>
      <c r="Z712" s="1696"/>
    </row>
    <row r="713">
      <c r="A713" s="1771"/>
      <c r="B713" s="1777"/>
      <c r="C713" s="1771"/>
      <c r="D713" s="1771"/>
      <c r="E713" s="1771"/>
      <c r="F713" s="1771"/>
      <c r="G713" s="1777"/>
      <c r="H713" s="1771"/>
      <c r="I713" s="1770"/>
      <c r="J713" s="1771"/>
      <c r="K713" s="1771"/>
      <c r="L713" s="1771"/>
      <c r="M713" s="1771"/>
      <c r="N713" s="1779"/>
      <c r="O713" s="1770"/>
      <c r="P713" s="1771"/>
      <c r="Q713" s="1766"/>
      <c r="R713" s="1766"/>
      <c r="S713" s="1696"/>
      <c r="U713" s="1772"/>
      <c r="V713" s="1696"/>
      <c r="W713" s="1772"/>
      <c r="X713" s="1696"/>
      <c r="Y713" s="1696"/>
      <c r="Z713" s="1773"/>
    </row>
    <row r="714">
      <c r="A714" s="1766"/>
      <c r="B714" s="1780"/>
      <c r="C714" s="1766"/>
      <c r="D714" s="1766"/>
      <c r="E714" s="1766"/>
      <c r="F714" s="1766"/>
      <c r="G714" s="1766"/>
      <c r="H714" s="1766"/>
      <c r="I714" s="1766"/>
      <c r="J714" s="1766"/>
      <c r="K714" s="1766"/>
      <c r="L714" s="1766"/>
      <c r="M714" s="1766"/>
      <c r="N714" s="1781"/>
      <c r="O714" s="1766"/>
      <c r="P714" s="1766"/>
      <c r="Q714" s="1766"/>
      <c r="R714" s="1766"/>
      <c r="S714" s="1696"/>
      <c r="T714" s="1696"/>
      <c r="U714" s="1772"/>
      <c r="V714" s="1696"/>
      <c r="W714" s="1772"/>
      <c r="X714" s="1696"/>
      <c r="Y714" s="1696"/>
      <c r="Z714" s="1696"/>
    </row>
    <row r="715">
      <c r="A715" s="1765"/>
      <c r="B715" s="1782"/>
      <c r="C715" s="1765"/>
      <c r="D715" s="1765"/>
      <c r="E715" s="1765"/>
      <c r="F715" s="1765"/>
      <c r="G715" s="1765"/>
      <c r="H715" s="1765"/>
      <c r="I715" s="1765"/>
      <c r="J715" s="1765"/>
      <c r="K715" s="1765"/>
      <c r="L715" s="1765"/>
      <c r="M715" s="1765"/>
      <c r="N715" s="1765"/>
      <c r="O715" s="1765"/>
      <c r="P715" s="1765"/>
      <c r="Q715" s="1766"/>
      <c r="R715" s="1766"/>
      <c r="S715" s="1696"/>
      <c r="U715" s="1772"/>
      <c r="V715" s="1696"/>
      <c r="W715" s="1772"/>
      <c r="X715" s="1696"/>
      <c r="Y715" s="1696"/>
      <c r="Z715" s="1773"/>
    </row>
    <row r="716">
      <c r="A716" s="1771"/>
      <c r="B716" s="1777"/>
      <c r="C716" s="1771"/>
      <c r="D716" s="1771"/>
      <c r="E716" s="1771"/>
      <c r="F716" s="1771"/>
      <c r="G716" s="1777"/>
      <c r="H716" s="1771"/>
      <c r="I716" s="1770"/>
      <c r="J716" s="1771"/>
      <c r="K716" s="1771"/>
      <c r="L716" s="1771"/>
      <c r="M716" s="1771"/>
      <c r="N716" s="1779"/>
      <c r="O716" s="1770"/>
      <c r="P716" s="1771"/>
      <c r="Q716" s="1766"/>
      <c r="R716" s="1766"/>
      <c r="S716" s="1696"/>
      <c r="U716" s="1772"/>
      <c r="V716" s="1696"/>
      <c r="W716" s="1772"/>
      <c r="X716" s="1696"/>
      <c r="Y716" s="1696"/>
      <c r="Z716" s="1773"/>
    </row>
    <row r="717">
      <c r="A717" s="1766"/>
      <c r="B717" s="1780"/>
      <c r="C717" s="1766"/>
      <c r="D717" s="1766"/>
      <c r="E717" s="1766"/>
      <c r="F717" s="1766"/>
      <c r="G717" s="1766"/>
      <c r="H717" s="1766"/>
      <c r="I717" s="1766"/>
      <c r="J717" s="1766"/>
      <c r="K717" s="1766"/>
      <c r="L717" s="1766"/>
      <c r="M717" s="1766"/>
      <c r="N717" s="1781"/>
      <c r="O717" s="1766"/>
      <c r="P717" s="1766"/>
      <c r="Q717" s="1766"/>
      <c r="R717" s="1766"/>
      <c r="S717" s="1696"/>
      <c r="U717" s="1772"/>
      <c r="V717" s="1696"/>
      <c r="W717" s="1772"/>
      <c r="X717" s="1696"/>
      <c r="Y717" s="1696"/>
      <c r="Z717" s="1773"/>
    </row>
    <row r="718">
      <c r="A718" s="1765"/>
      <c r="B718" s="1782"/>
      <c r="C718" s="1765"/>
      <c r="D718" s="1765"/>
      <c r="E718" s="1765"/>
      <c r="F718" s="1765"/>
      <c r="G718" s="1765"/>
      <c r="H718" s="1765"/>
      <c r="I718" s="1765"/>
      <c r="J718" s="1765"/>
      <c r="K718" s="1765"/>
      <c r="L718" s="1765"/>
      <c r="M718" s="1765"/>
      <c r="N718" s="1765"/>
      <c r="O718" s="1765"/>
      <c r="P718" s="1765"/>
      <c r="Q718" s="1766"/>
      <c r="R718" s="1766"/>
      <c r="S718" s="1696"/>
      <c r="T718" s="1696"/>
      <c r="U718" s="1772"/>
      <c r="V718" s="1696"/>
      <c r="W718" s="1772"/>
      <c r="X718" s="1696"/>
      <c r="Y718" s="1696"/>
      <c r="Z718" s="1773"/>
    </row>
    <row r="719">
      <c r="A719" s="1771"/>
      <c r="B719" s="1777"/>
      <c r="C719" s="1771"/>
      <c r="D719" s="1771"/>
      <c r="E719" s="1771"/>
      <c r="F719" s="1771"/>
      <c r="G719" s="1777"/>
      <c r="H719" s="1771"/>
      <c r="I719" s="1770"/>
      <c r="J719" s="1771"/>
      <c r="K719" s="1771"/>
      <c r="L719" s="1771"/>
      <c r="M719" s="1771"/>
      <c r="N719" s="1779"/>
      <c r="O719" s="1770"/>
      <c r="P719" s="1771"/>
      <c r="Q719" s="1766"/>
      <c r="R719" s="1766"/>
      <c r="S719" s="1696"/>
      <c r="T719" s="1696"/>
      <c r="U719" s="1772"/>
      <c r="V719" s="1696"/>
      <c r="W719" s="1772"/>
      <c r="X719" s="1696"/>
      <c r="Y719" s="1696"/>
      <c r="Z719" s="1773"/>
    </row>
    <row r="720">
      <c r="A720" s="1766"/>
      <c r="B720" s="1780"/>
      <c r="C720" s="1766"/>
      <c r="D720" s="1766"/>
      <c r="E720" s="1766"/>
      <c r="F720" s="1766"/>
      <c r="G720" s="1766"/>
      <c r="H720" s="1766"/>
      <c r="I720" s="1766"/>
      <c r="J720" s="1766"/>
      <c r="K720" s="1766"/>
      <c r="L720" s="1766"/>
      <c r="M720" s="1766"/>
      <c r="N720" s="1781"/>
      <c r="O720" s="1766"/>
      <c r="P720" s="1766"/>
      <c r="Q720" s="1766"/>
      <c r="R720" s="1766"/>
      <c r="S720" s="1696"/>
      <c r="T720" s="1696"/>
      <c r="U720" s="1772"/>
      <c r="V720" s="1696"/>
      <c r="W720" s="1772"/>
      <c r="X720" s="1696"/>
      <c r="Y720" s="1696"/>
      <c r="Z720" s="1773"/>
    </row>
    <row r="721">
      <c r="A721" s="1765"/>
      <c r="B721" s="1782"/>
      <c r="C721" s="1765"/>
      <c r="D721" s="1765"/>
      <c r="E721" s="1765"/>
      <c r="F721" s="1765"/>
      <c r="G721" s="1765"/>
      <c r="H721" s="1765"/>
      <c r="I721" s="1765"/>
      <c r="J721" s="1765"/>
      <c r="K721" s="1765"/>
      <c r="L721" s="1765"/>
      <c r="M721" s="1765"/>
      <c r="N721" s="1765"/>
      <c r="O721" s="1765"/>
      <c r="P721" s="1765"/>
      <c r="Q721" s="1766"/>
      <c r="R721" s="1766"/>
      <c r="S721" s="1696"/>
      <c r="T721" s="1696"/>
      <c r="U721" s="1772"/>
      <c r="V721" s="1696"/>
      <c r="W721" s="1772"/>
      <c r="X721" s="1696"/>
      <c r="Y721" s="1696"/>
      <c r="Z721" s="1773"/>
    </row>
    <row r="722">
      <c r="A722" s="1771"/>
      <c r="B722" s="1777"/>
      <c r="C722" s="1771"/>
      <c r="D722" s="1771"/>
      <c r="E722" s="1771"/>
      <c r="F722" s="1771"/>
      <c r="G722" s="1777"/>
      <c r="H722" s="1771"/>
      <c r="I722" s="1770"/>
      <c r="J722" s="1771"/>
      <c r="K722" s="1771"/>
      <c r="L722" s="1771"/>
      <c r="M722" s="1771"/>
      <c r="N722" s="1779"/>
      <c r="O722" s="1770"/>
      <c r="P722" s="1771"/>
      <c r="Q722" s="1766"/>
      <c r="R722" s="1766"/>
      <c r="S722" s="1696"/>
      <c r="T722" s="1696"/>
      <c r="U722" s="1772"/>
      <c r="V722" s="1696"/>
      <c r="W722" s="1772"/>
      <c r="X722" s="1696"/>
      <c r="Y722" s="1696"/>
      <c r="Z722" s="1773"/>
    </row>
    <row r="723">
      <c r="A723" s="1766"/>
      <c r="B723" s="1780"/>
      <c r="C723" s="1766"/>
      <c r="D723" s="1766"/>
      <c r="E723" s="1766"/>
      <c r="F723" s="1766"/>
      <c r="G723" s="1766"/>
      <c r="H723" s="1766"/>
      <c r="I723" s="1766"/>
      <c r="J723" s="1766"/>
      <c r="K723" s="1766"/>
      <c r="L723" s="1766"/>
      <c r="M723" s="1766"/>
      <c r="N723" s="1781"/>
      <c r="O723" s="1766"/>
      <c r="P723" s="1766"/>
      <c r="Q723" s="1766"/>
      <c r="R723" s="1766"/>
      <c r="S723" s="1696"/>
      <c r="T723" s="1696"/>
      <c r="U723" s="1772"/>
      <c r="V723" s="1696"/>
      <c r="W723" s="1772"/>
      <c r="X723" s="1696"/>
      <c r="Y723" s="1696"/>
      <c r="Z723" s="1773"/>
    </row>
    <row r="724">
      <c r="A724" s="1765"/>
      <c r="B724" s="1782"/>
      <c r="C724" s="1765"/>
      <c r="D724" s="1765"/>
      <c r="E724" s="1765"/>
      <c r="F724" s="1765"/>
      <c r="G724" s="1765"/>
      <c r="H724" s="1765"/>
      <c r="I724" s="1765"/>
      <c r="J724" s="1765"/>
      <c r="K724" s="1765"/>
      <c r="L724" s="1765"/>
      <c r="M724" s="1765"/>
      <c r="N724" s="1765"/>
      <c r="O724" s="1765"/>
      <c r="P724" s="1765"/>
      <c r="Q724" s="1766"/>
      <c r="R724" s="1766"/>
      <c r="S724" s="1696"/>
      <c r="T724" s="1696"/>
      <c r="U724" s="1772"/>
      <c r="V724" s="1696"/>
      <c r="W724" s="1772"/>
      <c r="X724" s="1696"/>
      <c r="Y724" s="1696"/>
      <c r="Z724" s="1773"/>
    </row>
    <row r="725">
      <c r="A725" s="1771"/>
      <c r="B725" s="1777"/>
      <c r="C725" s="1771"/>
      <c r="D725" s="1771"/>
      <c r="E725" s="1771"/>
      <c r="F725" s="1771"/>
      <c r="G725" s="1777"/>
      <c r="H725" s="1771"/>
      <c r="I725" s="1770"/>
      <c r="J725" s="1771"/>
      <c r="K725" s="1771"/>
      <c r="L725" s="1771"/>
      <c r="M725" s="1771"/>
      <c r="N725" s="1779"/>
      <c r="O725" s="1770"/>
      <c r="P725" s="1771"/>
      <c r="Q725" s="1766"/>
      <c r="R725" s="1766"/>
      <c r="S725" s="1696"/>
      <c r="T725" s="1696"/>
      <c r="U725" s="1772"/>
      <c r="V725" s="1696"/>
      <c r="W725" s="1772"/>
      <c r="X725" s="1696"/>
      <c r="Y725" s="1696"/>
      <c r="Z725" s="1773"/>
    </row>
    <row r="726">
      <c r="A726" s="1766"/>
      <c r="B726" s="1780"/>
      <c r="C726" s="1766"/>
      <c r="D726" s="1766"/>
      <c r="E726" s="1766"/>
      <c r="F726" s="1766"/>
      <c r="G726" s="1766"/>
      <c r="H726" s="1766"/>
      <c r="I726" s="1766"/>
      <c r="J726" s="1766"/>
      <c r="K726" s="1766"/>
      <c r="L726" s="1766"/>
      <c r="M726" s="1766"/>
      <c r="N726" s="1781"/>
      <c r="O726" s="1766"/>
      <c r="P726" s="1766"/>
      <c r="Q726" s="1766"/>
      <c r="R726" s="1766"/>
      <c r="S726" s="1696"/>
      <c r="T726" s="1696"/>
      <c r="U726" s="1772"/>
      <c r="V726" s="1696"/>
      <c r="W726" s="1772"/>
      <c r="X726" s="1696"/>
      <c r="Y726" s="1696"/>
      <c r="Z726" s="1773"/>
    </row>
    <row r="727">
      <c r="A727" s="1765"/>
      <c r="B727" s="1782"/>
      <c r="C727" s="1765"/>
      <c r="D727" s="1765"/>
      <c r="E727" s="1765"/>
      <c r="F727" s="1765"/>
      <c r="G727" s="1765"/>
      <c r="H727" s="1765"/>
      <c r="I727" s="1765"/>
      <c r="J727" s="1765"/>
      <c r="K727" s="1765"/>
      <c r="L727" s="1765"/>
      <c r="M727" s="1765"/>
      <c r="N727" s="1765"/>
      <c r="O727" s="1765"/>
      <c r="P727" s="1765"/>
      <c r="Q727" s="1766"/>
      <c r="R727" s="1766"/>
      <c r="S727" s="1696"/>
      <c r="T727" s="1696"/>
      <c r="U727" s="1772"/>
      <c r="V727" s="1696"/>
      <c r="W727" s="1772"/>
      <c r="X727" s="1696"/>
      <c r="Y727" s="1696"/>
      <c r="Z727" s="1773"/>
    </row>
    <row r="728">
      <c r="A728" s="1771"/>
      <c r="B728" s="1777"/>
      <c r="C728" s="1771"/>
      <c r="D728" s="1771"/>
      <c r="E728" s="1771"/>
      <c r="F728" s="1771"/>
      <c r="G728" s="1777"/>
      <c r="H728" s="1771"/>
      <c r="I728" s="1770"/>
      <c r="J728" s="1771"/>
      <c r="K728" s="1771"/>
      <c r="L728" s="1771"/>
      <c r="M728" s="1771"/>
      <c r="N728" s="1779"/>
      <c r="O728" s="1770"/>
      <c r="P728" s="1771"/>
      <c r="Q728" s="1766"/>
      <c r="R728" s="1766"/>
      <c r="S728" s="1696"/>
      <c r="T728" s="1696"/>
      <c r="U728" s="1772"/>
      <c r="V728" s="1696"/>
      <c r="W728" s="1772"/>
      <c r="X728" s="1696"/>
      <c r="Y728" s="1696"/>
      <c r="Z728" s="1773"/>
    </row>
    <row r="729">
      <c r="A729" s="1766"/>
      <c r="B729" s="1780"/>
      <c r="C729" s="1766"/>
      <c r="D729" s="1766"/>
      <c r="E729" s="1766"/>
      <c r="F729" s="1766"/>
      <c r="G729" s="1766"/>
      <c r="H729" s="1766"/>
      <c r="I729" s="1766"/>
      <c r="J729" s="1766"/>
      <c r="K729" s="1766"/>
      <c r="L729" s="1766"/>
      <c r="M729" s="1766"/>
      <c r="N729" s="1781"/>
      <c r="O729" s="1766"/>
      <c r="P729" s="1766"/>
      <c r="Q729" s="1766"/>
      <c r="R729" s="1766"/>
      <c r="S729" s="1696"/>
      <c r="T729" s="1696"/>
      <c r="U729" s="1772"/>
      <c r="V729" s="1696"/>
      <c r="W729" s="1772"/>
      <c r="X729" s="1696"/>
      <c r="Y729" s="1696"/>
      <c r="Z729" s="1773"/>
    </row>
    <row r="730">
      <c r="A730" s="1765"/>
      <c r="B730" s="1782"/>
      <c r="C730" s="1765"/>
      <c r="D730" s="1765"/>
      <c r="E730" s="1765"/>
      <c r="F730" s="1765"/>
      <c r="G730" s="1765"/>
      <c r="H730" s="1765"/>
      <c r="I730" s="1765"/>
      <c r="J730" s="1765"/>
      <c r="K730" s="1765"/>
      <c r="L730" s="1765"/>
      <c r="M730" s="1765"/>
      <c r="N730" s="1765"/>
      <c r="O730" s="1765"/>
      <c r="P730" s="1765"/>
      <c r="Q730" s="1766"/>
      <c r="R730" s="1766"/>
      <c r="S730" s="1696"/>
      <c r="T730" s="1696"/>
      <c r="U730" s="1772"/>
      <c r="V730" s="1696"/>
      <c r="W730" s="1772"/>
      <c r="X730" s="1696"/>
      <c r="Y730" s="1696"/>
      <c r="Z730" s="1773"/>
    </row>
    <row r="731">
      <c r="A731" s="1771"/>
      <c r="B731" s="1777"/>
      <c r="C731" s="1771"/>
      <c r="D731" s="1771"/>
      <c r="E731" s="1771"/>
      <c r="F731" s="1771"/>
      <c r="G731" s="1777"/>
      <c r="H731" s="1771"/>
      <c r="I731" s="1770"/>
      <c r="J731" s="1771"/>
      <c r="K731" s="1771"/>
      <c r="L731" s="1771"/>
      <c r="M731" s="1771"/>
      <c r="N731" s="1779"/>
      <c r="O731" s="1770"/>
      <c r="P731" s="1771"/>
      <c r="Q731" s="1766"/>
      <c r="R731" s="1766"/>
      <c r="S731" s="1696"/>
      <c r="T731" s="1696"/>
      <c r="U731" s="1772"/>
      <c r="V731" s="1696"/>
      <c r="W731" s="1772"/>
      <c r="X731" s="1696"/>
      <c r="Y731" s="1696"/>
      <c r="Z731" s="1773"/>
    </row>
    <row r="732">
      <c r="A732" s="1766"/>
      <c r="B732" s="1780"/>
      <c r="C732" s="1766"/>
      <c r="D732" s="1766"/>
      <c r="E732" s="1766"/>
      <c r="F732" s="1766"/>
      <c r="G732" s="1766"/>
      <c r="H732" s="1766"/>
      <c r="I732" s="1766"/>
      <c r="J732" s="1766"/>
      <c r="K732" s="1766"/>
      <c r="L732" s="1766"/>
      <c r="M732" s="1766"/>
      <c r="N732" s="1781"/>
      <c r="O732" s="1766"/>
      <c r="P732" s="1766"/>
      <c r="Q732" s="1766"/>
      <c r="R732" s="1766"/>
      <c r="S732" s="1696"/>
      <c r="T732" s="1696"/>
      <c r="U732" s="1772"/>
      <c r="V732" s="1696"/>
      <c r="W732" s="1772"/>
      <c r="X732" s="1696"/>
      <c r="Y732" s="1696"/>
      <c r="Z732" s="1773"/>
    </row>
    <row r="733">
      <c r="A733" s="1765"/>
      <c r="B733" s="1782"/>
      <c r="C733" s="1765"/>
      <c r="D733" s="1765"/>
      <c r="E733" s="1765"/>
      <c r="F733" s="1765"/>
      <c r="G733" s="1765"/>
      <c r="H733" s="1765"/>
      <c r="I733" s="1765"/>
      <c r="J733" s="1765"/>
      <c r="K733" s="1765"/>
      <c r="L733" s="1765"/>
      <c r="M733" s="1765"/>
      <c r="N733" s="1765"/>
      <c r="O733" s="1765"/>
      <c r="P733" s="1765"/>
      <c r="Q733" s="1766"/>
      <c r="R733" s="1766"/>
      <c r="S733" s="1696"/>
      <c r="T733" s="1696"/>
      <c r="U733" s="1772"/>
      <c r="V733" s="1696"/>
      <c r="W733" s="1772"/>
      <c r="X733" s="1696"/>
      <c r="Y733" s="1696"/>
      <c r="Z733" s="1773"/>
    </row>
    <row r="734">
      <c r="A734" s="1771"/>
      <c r="B734" s="1777"/>
      <c r="C734" s="1771"/>
      <c r="D734" s="1771"/>
      <c r="E734" s="1771"/>
      <c r="F734" s="1771"/>
      <c r="G734" s="1777"/>
      <c r="H734" s="1771"/>
      <c r="I734" s="1770"/>
      <c r="J734" s="1771"/>
      <c r="K734" s="1771"/>
      <c r="L734" s="1771"/>
      <c r="M734" s="1771"/>
      <c r="N734" s="1779"/>
      <c r="O734" s="1770"/>
      <c r="P734" s="1771"/>
      <c r="Q734" s="1766"/>
      <c r="R734" s="1766"/>
      <c r="S734" s="1696"/>
      <c r="T734" s="1696"/>
      <c r="U734" s="1772"/>
      <c r="V734" s="1696"/>
      <c r="W734" s="1772"/>
      <c r="X734" s="1696"/>
      <c r="Y734" s="1696"/>
      <c r="Z734" s="1773"/>
    </row>
    <row r="735">
      <c r="A735" s="1766"/>
      <c r="B735" s="1780"/>
      <c r="C735" s="1766"/>
      <c r="D735" s="1766"/>
      <c r="E735" s="1766"/>
      <c r="F735" s="1766"/>
      <c r="G735" s="1766"/>
      <c r="H735" s="1766"/>
      <c r="I735" s="1766"/>
      <c r="J735" s="1766"/>
      <c r="K735" s="1766"/>
      <c r="L735" s="1766"/>
      <c r="M735" s="1766"/>
      <c r="N735" s="1781"/>
      <c r="O735" s="1766"/>
      <c r="P735" s="1766"/>
      <c r="Q735" s="1766"/>
      <c r="R735" s="1766"/>
      <c r="S735" s="1696"/>
      <c r="T735" s="1696"/>
      <c r="U735" s="1772"/>
      <c r="V735" s="1696"/>
      <c r="W735" s="1772"/>
      <c r="X735" s="1696"/>
      <c r="Y735" s="1696"/>
      <c r="Z735" s="1773"/>
    </row>
    <row r="736">
      <c r="A736" s="1765"/>
      <c r="B736" s="1782"/>
      <c r="C736" s="1765"/>
      <c r="D736" s="1765"/>
      <c r="E736" s="1765"/>
      <c r="F736" s="1765"/>
      <c r="G736" s="1765"/>
      <c r="H736" s="1765"/>
      <c r="I736" s="1765"/>
      <c r="J736" s="1765"/>
      <c r="K736" s="1765"/>
      <c r="L736" s="1765"/>
      <c r="M736" s="1765"/>
      <c r="N736" s="1765"/>
      <c r="O736" s="1765"/>
      <c r="P736" s="1765"/>
      <c r="Q736" s="1766"/>
      <c r="R736" s="1766"/>
      <c r="S736" s="1696"/>
      <c r="T736" s="1696"/>
      <c r="U736" s="1772"/>
      <c r="V736" s="1696"/>
      <c r="W736" s="1772"/>
      <c r="X736" s="1696"/>
      <c r="Y736" s="1696"/>
      <c r="Z736" s="1773"/>
    </row>
    <row r="737">
      <c r="A737" s="1771"/>
      <c r="B737" s="1777"/>
      <c r="C737" s="1771"/>
      <c r="D737" s="1771"/>
      <c r="E737" s="1771"/>
      <c r="F737" s="1771"/>
      <c r="G737" s="1777"/>
      <c r="H737" s="1771"/>
      <c r="I737" s="1770"/>
      <c r="J737" s="1771"/>
      <c r="K737" s="1771"/>
      <c r="L737" s="1771"/>
      <c r="M737" s="1771"/>
      <c r="N737" s="1779"/>
      <c r="O737" s="1770"/>
      <c r="P737" s="1771"/>
      <c r="Q737" s="1766"/>
      <c r="R737" s="1766"/>
      <c r="S737" s="1696"/>
      <c r="T737" s="1696"/>
      <c r="U737" s="1772"/>
      <c r="V737" s="1696"/>
      <c r="W737" s="1772"/>
      <c r="X737" s="1696"/>
      <c r="Y737" s="1696"/>
      <c r="Z737" s="1773"/>
    </row>
    <row r="738">
      <c r="A738" s="1766"/>
      <c r="B738" s="1780"/>
      <c r="C738" s="1766"/>
      <c r="D738" s="1766"/>
      <c r="E738" s="1766"/>
      <c r="F738" s="1766"/>
      <c r="G738" s="1766"/>
      <c r="H738" s="1766"/>
      <c r="I738" s="1766"/>
      <c r="J738" s="1766"/>
      <c r="K738" s="1766"/>
      <c r="L738" s="1766"/>
      <c r="M738" s="1766"/>
      <c r="N738" s="1781"/>
      <c r="O738" s="1766"/>
      <c r="P738" s="1766"/>
      <c r="Q738" s="1766"/>
      <c r="R738" s="1766"/>
      <c r="S738" s="1696"/>
      <c r="T738" s="1696"/>
      <c r="U738" s="1772"/>
      <c r="V738" s="1696"/>
      <c r="W738" s="1772"/>
      <c r="X738" s="1696"/>
      <c r="Y738" s="1696"/>
      <c r="Z738" s="1773"/>
    </row>
    <row r="739">
      <c r="A739" s="1765"/>
      <c r="B739" s="1782"/>
      <c r="C739" s="1765"/>
      <c r="D739" s="1765"/>
      <c r="E739" s="1765"/>
      <c r="F739" s="1765"/>
      <c r="G739" s="1765"/>
      <c r="H739" s="1765"/>
      <c r="I739" s="1765"/>
      <c r="J739" s="1765"/>
      <c r="K739" s="1765"/>
      <c r="L739" s="1765"/>
      <c r="M739" s="1765"/>
      <c r="N739" s="1765"/>
      <c r="O739" s="1765"/>
      <c r="P739" s="1765"/>
      <c r="Q739" s="1766"/>
      <c r="R739" s="1766"/>
      <c r="S739" s="1696"/>
      <c r="T739" s="1696"/>
      <c r="U739" s="1772"/>
      <c r="V739" s="1696"/>
      <c r="W739" s="1772"/>
      <c r="X739" s="1696"/>
      <c r="Y739" s="1696"/>
      <c r="Z739" s="1773"/>
    </row>
    <row r="740">
      <c r="A740" s="1771"/>
      <c r="B740" s="1777"/>
      <c r="C740" s="1771"/>
      <c r="D740" s="1771"/>
      <c r="E740" s="1771"/>
      <c r="F740" s="1771"/>
      <c r="G740" s="1777"/>
      <c r="H740" s="1771"/>
      <c r="I740" s="1770"/>
      <c r="J740" s="1771"/>
      <c r="K740" s="1771"/>
      <c r="L740" s="1771"/>
      <c r="M740" s="1771"/>
      <c r="N740" s="1779"/>
      <c r="O740" s="1770"/>
      <c r="P740" s="1771"/>
      <c r="Q740" s="1766"/>
      <c r="R740" s="1766"/>
      <c r="S740" s="1696"/>
      <c r="T740" s="1696"/>
      <c r="U740" s="1772"/>
      <c r="V740" s="1696"/>
      <c r="W740" s="1772"/>
      <c r="X740" s="1696"/>
      <c r="Y740" s="1696"/>
      <c r="Z740" s="1773"/>
    </row>
    <row r="741">
      <c r="A741" s="1766"/>
      <c r="B741" s="1780"/>
      <c r="C741" s="1766"/>
      <c r="D741" s="1766"/>
      <c r="E741" s="1766"/>
      <c r="F741" s="1766"/>
      <c r="G741" s="1766"/>
      <c r="H741" s="1766"/>
      <c r="I741" s="1766"/>
      <c r="J741" s="1766"/>
      <c r="K741" s="1766"/>
      <c r="L741" s="1766"/>
      <c r="M741" s="1766"/>
      <c r="N741" s="1781"/>
      <c r="O741" s="1766"/>
      <c r="P741" s="1766"/>
      <c r="Q741" s="1766"/>
      <c r="R741" s="1766"/>
      <c r="S741" s="1696"/>
      <c r="T741" s="1696"/>
      <c r="U741" s="1772"/>
      <c r="V741" s="1696"/>
      <c r="W741" s="1772"/>
      <c r="X741" s="1696"/>
      <c r="Y741" s="1696"/>
      <c r="Z741" s="1773"/>
    </row>
    <row r="742">
      <c r="A742" s="1765"/>
      <c r="B742" s="1782"/>
      <c r="C742" s="1765"/>
      <c r="D742" s="1765"/>
      <c r="E742" s="1765"/>
      <c r="F742" s="1765"/>
      <c r="G742" s="1765"/>
      <c r="H742" s="1765"/>
      <c r="I742" s="1765"/>
      <c r="J742" s="1765"/>
      <c r="K742" s="1765"/>
      <c r="L742" s="1765"/>
      <c r="M742" s="1765"/>
      <c r="N742" s="1765"/>
      <c r="O742" s="1765"/>
      <c r="P742" s="1765"/>
      <c r="Q742" s="1766"/>
      <c r="R742" s="1766"/>
      <c r="S742" s="1696"/>
      <c r="T742" s="1696"/>
      <c r="U742" s="1772"/>
      <c r="V742" s="1696"/>
      <c r="W742" s="1772"/>
      <c r="X742" s="1696"/>
      <c r="Y742" s="1696"/>
      <c r="Z742" s="1773"/>
    </row>
    <row r="743">
      <c r="A743" s="1771"/>
      <c r="B743" s="1777"/>
      <c r="C743" s="1771"/>
      <c r="D743" s="1771"/>
      <c r="E743" s="1771"/>
      <c r="F743" s="1771"/>
      <c r="G743" s="1777"/>
      <c r="H743" s="1771"/>
      <c r="I743" s="1770"/>
      <c r="J743" s="1771"/>
      <c r="K743" s="1771"/>
      <c r="L743" s="1771"/>
      <c r="M743" s="1771"/>
      <c r="N743" s="1779"/>
      <c r="O743" s="1770"/>
      <c r="P743" s="1771"/>
      <c r="Q743" s="1766"/>
      <c r="R743" s="1766"/>
      <c r="S743" s="1696"/>
      <c r="T743" s="1696"/>
      <c r="U743" s="1772"/>
      <c r="V743" s="1696"/>
      <c r="W743" s="1772"/>
      <c r="X743" s="1696"/>
      <c r="Y743" s="1696"/>
      <c r="Z743" s="1773"/>
    </row>
    <row r="744">
      <c r="A744" s="1766"/>
      <c r="B744" s="1780"/>
      <c r="C744" s="1766"/>
      <c r="D744" s="1766"/>
      <c r="E744" s="1766"/>
      <c r="F744" s="1766"/>
      <c r="G744" s="1766"/>
      <c r="H744" s="1766"/>
      <c r="I744" s="1766"/>
      <c r="J744" s="1766"/>
      <c r="K744" s="1766"/>
      <c r="L744" s="1766"/>
      <c r="M744" s="1766"/>
      <c r="N744" s="1781"/>
      <c r="O744" s="1766"/>
      <c r="P744" s="1766"/>
      <c r="Q744" s="1766"/>
      <c r="R744" s="1766"/>
      <c r="S744" s="1696"/>
      <c r="T744" s="1696"/>
      <c r="U744" s="1772"/>
      <c r="V744" s="1696"/>
      <c r="W744" s="1772"/>
      <c r="X744" s="1696"/>
      <c r="Y744" s="1696"/>
      <c r="Z744" s="1773"/>
    </row>
    <row r="745">
      <c r="A745" s="1765"/>
      <c r="B745" s="1782"/>
      <c r="C745" s="1765"/>
      <c r="D745" s="1765"/>
      <c r="E745" s="1765"/>
      <c r="F745" s="1765"/>
      <c r="G745" s="1765"/>
      <c r="H745" s="1765"/>
      <c r="I745" s="1765"/>
      <c r="J745" s="1765"/>
      <c r="K745" s="1765"/>
      <c r="L745" s="1765"/>
      <c r="M745" s="1765"/>
      <c r="N745" s="1765"/>
      <c r="O745" s="1765"/>
      <c r="P745" s="1765"/>
      <c r="Q745" s="1766"/>
      <c r="R745" s="1766"/>
      <c r="S745" s="1696"/>
      <c r="T745" s="1696"/>
      <c r="U745" s="1772"/>
      <c r="V745" s="1696"/>
      <c r="W745" s="1772"/>
      <c r="X745" s="1696"/>
      <c r="Y745" s="1696"/>
      <c r="Z745" s="1773"/>
    </row>
    <row r="746">
      <c r="A746" s="1771"/>
      <c r="B746" s="1777"/>
      <c r="C746" s="1771"/>
      <c r="D746" s="1771"/>
      <c r="E746" s="1771"/>
      <c r="F746" s="1771"/>
      <c r="G746" s="1777"/>
      <c r="H746" s="1771"/>
      <c r="I746" s="1770"/>
      <c r="J746" s="1771"/>
      <c r="K746" s="1771"/>
      <c r="L746" s="1771"/>
      <c r="M746" s="1771"/>
      <c r="N746" s="1779"/>
      <c r="O746" s="1770"/>
      <c r="P746" s="1771"/>
      <c r="Q746" s="1766"/>
      <c r="R746" s="1766"/>
      <c r="S746" s="1696"/>
      <c r="T746" s="1696"/>
      <c r="U746" s="1772"/>
      <c r="V746" s="1696"/>
      <c r="W746" s="1772"/>
      <c r="X746" s="1696"/>
      <c r="Y746" s="1696"/>
      <c r="Z746" s="1773"/>
    </row>
    <row r="747">
      <c r="A747" s="1766"/>
      <c r="B747" s="1780"/>
      <c r="C747" s="1766"/>
      <c r="D747" s="1766"/>
      <c r="E747" s="1766"/>
      <c r="F747" s="1766"/>
      <c r="G747" s="1766"/>
      <c r="H747" s="1766"/>
      <c r="I747" s="1766"/>
      <c r="J747" s="1766"/>
      <c r="K747" s="1766"/>
      <c r="L747" s="1766"/>
      <c r="M747" s="1766"/>
      <c r="N747" s="1781"/>
      <c r="O747" s="1766"/>
      <c r="P747" s="1766"/>
      <c r="Q747" s="1766"/>
      <c r="R747" s="1766"/>
      <c r="S747" s="1696"/>
      <c r="T747" s="1696"/>
      <c r="U747" s="1772"/>
      <c r="V747" s="1696"/>
      <c r="W747" s="1772"/>
      <c r="X747" s="1696"/>
      <c r="Y747" s="1696"/>
      <c r="Z747" s="1773"/>
    </row>
    <row r="748">
      <c r="A748" s="1765"/>
      <c r="B748" s="1782"/>
      <c r="C748" s="1765"/>
      <c r="D748" s="1765"/>
      <c r="E748" s="1765"/>
      <c r="F748" s="1765"/>
      <c r="G748" s="1765"/>
      <c r="H748" s="1765"/>
      <c r="I748" s="1765"/>
      <c r="J748" s="1765"/>
      <c r="K748" s="1765"/>
      <c r="L748" s="1765"/>
      <c r="M748" s="1765"/>
      <c r="N748" s="1765"/>
      <c r="O748" s="1765"/>
      <c r="P748" s="1765"/>
      <c r="Q748" s="1766"/>
      <c r="R748" s="1766"/>
      <c r="S748" s="1696"/>
      <c r="T748" s="1696"/>
      <c r="U748" s="1772"/>
      <c r="V748" s="1696"/>
      <c r="W748" s="1772"/>
      <c r="X748" s="1696"/>
      <c r="Y748" s="1696"/>
      <c r="Z748" s="1773"/>
    </row>
    <row r="749">
      <c r="A749" s="1771"/>
      <c r="B749" s="1777"/>
      <c r="C749" s="1771"/>
      <c r="D749" s="1771"/>
      <c r="E749" s="1771"/>
      <c r="F749" s="1771"/>
      <c r="G749" s="1771"/>
      <c r="H749" s="1771"/>
      <c r="I749" s="1770"/>
      <c r="J749" s="1771"/>
      <c r="K749" s="1771"/>
      <c r="L749" s="1771"/>
      <c r="M749" s="1771"/>
      <c r="N749" s="1779"/>
      <c r="O749" s="1770"/>
      <c r="P749" s="1771"/>
      <c r="Q749" s="1766"/>
      <c r="R749" s="1766"/>
      <c r="S749" s="1696"/>
      <c r="T749" s="1696"/>
      <c r="U749" s="1772"/>
      <c r="V749" s="1696"/>
      <c r="W749" s="1772"/>
      <c r="X749" s="1696"/>
      <c r="Y749" s="1696"/>
      <c r="Z749" s="1773"/>
    </row>
    <row r="750">
      <c r="A750" s="1766"/>
      <c r="B750" s="1780"/>
      <c r="C750" s="1766"/>
      <c r="D750" s="1766"/>
      <c r="E750" s="1766"/>
      <c r="F750" s="1766"/>
      <c r="G750" s="1766"/>
      <c r="H750" s="1766"/>
      <c r="I750" s="1766"/>
      <c r="J750" s="1766"/>
      <c r="K750" s="1766"/>
      <c r="L750" s="1766"/>
      <c r="M750" s="1766"/>
      <c r="N750" s="1781"/>
      <c r="O750" s="1766"/>
      <c r="P750" s="1766"/>
      <c r="Q750" s="1766"/>
      <c r="R750" s="1766"/>
      <c r="S750" s="1696"/>
      <c r="T750" s="1696"/>
      <c r="U750" s="1772"/>
      <c r="V750" s="1696"/>
      <c r="W750" s="1772"/>
      <c r="X750" s="1696"/>
      <c r="Y750" s="1696"/>
      <c r="Z750" s="1773"/>
    </row>
    <row r="751">
      <c r="A751" s="1765"/>
      <c r="B751" s="1782"/>
      <c r="C751" s="1765"/>
      <c r="D751" s="1765"/>
      <c r="E751" s="1765"/>
      <c r="F751" s="1765"/>
      <c r="G751" s="1765"/>
      <c r="H751" s="1765"/>
      <c r="I751" s="1765"/>
      <c r="J751" s="1765"/>
      <c r="K751" s="1765"/>
      <c r="L751" s="1765"/>
      <c r="M751" s="1765"/>
      <c r="N751" s="1765"/>
      <c r="O751" s="1765"/>
      <c r="P751" s="1765"/>
      <c r="Q751" s="1766"/>
      <c r="R751" s="1766"/>
      <c r="S751" s="1696"/>
      <c r="T751" s="1696"/>
      <c r="U751" s="1772"/>
      <c r="V751" s="1696"/>
      <c r="W751" s="1772"/>
      <c r="X751" s="1696"/>
      <c r="Y751" s="1696"/>
      <c r="Z751" s="1773"/>
    </row>
    <row r="752">
      <c r="A752" s="1771"/>
      <c r="B752" s="1777"/>
      <c r="C752" s="1771"/>
      <c r="D752" s="1771"/>
      <c r="E752" s="1771"/>
      <c r="F752" s="1771"/>
      <c r="G752" s="1777"/>
      <c r="H752" s="1771"/>
      <c r="I752" s="1770"/>
      <c r="J752" s="1771"/>
      <c r="K752" s="1771"/>
      <c r="L752" s="1771"/>
      <c r="M752" s="1771"/>
      <c r="N752" s="1779"/>
      <c r="O752" s="1770"/>
      <c r="P752" s="1771"/>
      <c r="Q752" s="1766"/>
      <c r="R752" s="1766"/>
      <c r="S752" s="1696"/>
      <c r="T752" s="1696"/>
      <c r="U752" s="1772"/>
      <c r="V752" s="1696"/>
      <c r="W752" s="1772"/>
      <c r="X752" s="1696"/>
      <c r="Y752" s="1696"/>
      <c r="Z752" s="1773"/>
    </row>
    <row r="753">
      <c r="A753" s="1766"/>
      <c r="B753" s="1780"/>
      <c r="C753" s="1766"/>
      <c r="D753" s="1766"/>
      <c r="E753" s="1766"/>
      <c r="F753" s="1766"/>
      <c r="G753" s="1766"/>
      <c r="H753" s="1766"/>
      <c r="I753" s="1766"/>
      <c r="J753" s="1766"/>
      <c r="K753" s="1766"/>
      <c r="L753" s="1766"/>
      <c r="M753" s="1766"/>
      <c r="N753" s="1781"/>
      <c r="O753" s="1766"/>
      <c r="P753" s="1766"/>
      <c r="Q753" s="1766"/>
      <c r="R753" s="1766"/>
      <c r="S753" s="1696"/>
      <c r="T753" s="1696"/>
      <c r="U753" s="1772"/>
      <c r="V753" s="1696"/>
      <c r="W753" s="1772"/>
      <c r="X753" s="1696"/>
      <c r="Y753" s="1696"/>
      <c r="Z753" s="1773"/>
    </row>
    <row r="754">
      <c r="A754" s="1765"/>
      <c r="B754" s="1782"/>
      <c r="C754" s="1765"/>
      <c r="D754" s="1765"/>
      <c r="E754" s="1765"/>
      <c r="F754" s="1765"/>
      <c r="G754" s="1765"/>
      <c r="H754" s="1765"/>
      <c r="I754" s="1765"/>
      <c r="J754" s="1765"/>
      <c r="K754" s="1765"/>
      <c r="L754" s="1765"/>
      <c r="M754" s="1765"/>
      <c r="N754" s="1765"/>
      <c r="O754" s="1765"/>
      <c r="P754" s="1765"/>
      <c r="Q754" s="1766"/>
      <c r="R754" s="1766"/>
      <c r="S754" s="1696"/>
      <c r="T754" s="1696"/>
      <c r="U754" s="1772"/>
      <c r="V754" s="1696"/>
      <c r="W754" s="1772"/>
      <c r="X754" s="1696"/>
      <c r="Y754" s="1696"/>
      <c r="Z754" s="1773"/>
    </row>
    <row r="755">
      <c r="A755" s="1771"/>
      <c r="B755" s="1777"/>
      <c r="C755" s="1771"/>
      <c r="D755" s="1771"/>
      <c r="E755" s="1771"/>
      <c r="F755" s="1771"/>
      <c r="G755" s="1770"/>
      <c r="H755" s="1771"/>
      <c r="I755" s="1778"/>
      <c r="J755" s="1771"/>
      <c r="K755" s="1771"/>
      <c r="L755" s="1771"/>
      <c r="M755" s="1771"/>
      <c r="N755" s="1779"/>
      <c r="O755" s="1770"/>
      <c r="P755" s="1771"/>
      <c r="Q755" s="1766"/>
      <c r="R755" s="1766"/>
      <c r="S755" s="1696"/>
      <c r="T755" s="1696"/>
      <c r="U755" s="1772"/>
      <c r="V755" s="1696"/>
      <c r="W755" s="1772"/>
      <c r="X755" s="1696"/>
      <c r="Y755" s="1696"/>
      <c r="Z755" s="1773"/>
    </row>
    <row r="756">
      <c r="A756" s="1766"/>
      <c r="B756" s="1780"/>
      <c r="C756" s="1766"/>
      <c r="D756" s="1766"/>
      <c r="E756" s="1766"/>
      <c r="F756" s="1766"/>
      <c r="G756" s="1766"/>
      <c r="H756" s="1766"/>
      <c r="I756" s="1766"/>
      <c r="J756" s="1766"/>
      <c r="K756" s="1766"/>
      <c r="L756" s="1766"/>
      <c r="M756" s="1766"/>
      <c r="N756" s="1781"/>
      <c r="O756" s="1766"/>
      <c r="P756" s="1766"/>
      <c r="Q756" s="1766"/>
      <c r="R756" s="1766"/>
      <c r="S756" s="1696"/>
      <c r="T756" s="1696"/>
      <c r="U756" s="1772"/>
      <c r="V756" s="1696"/>
      <c r="W756" s="1772"/>
      <c r="X756" s="1696"/>
      <c r="Y756" s="1696"/>
      <c r="Z756" s="1773"/>
    </row>
    <row r="757">
      <c r="A757" s="1765"/>
      <c r="B757" s="1782"/>
      <c r="C757" s="1765"/>
      <c r="D757" s="1765"/>
      <c r="E757" s="1765"/>
      <c r="F757" s="1765"/>
      <c r="G757" s="1765"/>
      <c r="H757" s="1765"/>
      <c r="I757" s="1765"/>
      <c r="J757" s="1765"/>
      <c r="K757" s="1765"/>
      <c r="L757" s="1765"/>
      <c r="M757" s="1765"/>
      <c r="N757" s="1765"/>
      <c r="O757" s="1765"/>
      <c r="P757" s="1765"/>
      <c r="Q757" s="1766"/>
      <c r="R757" s="1766"/>
      <c r="S757" s="1696"/>
      <c r="T757" s="1696"/>
      <c r="U757" s="1772"/>
      <c r="V757" s="1696"/>
      <c r="W757" s="1772"/>
      <c r="X757" s="1696"/>
      <c r="Y757" s="1696"/>
      <c r="Z757" s="1773"/>
    </row>
    <row r="758">
      <c r="A758" s="1771"/>
      <c r="B758" s="1777"/>
      <c r="C758" s="1771"/>
      <c r="D758" s="1771"/>
      <c r="E758" s="1771"/>
      <c r="F758" s="1771"/>
      <c r="G758" s="1770"/>
      <c r="H758" s="1771"/>
      <c r="I758" s="1778"/>
      <c r="J758" s="1771"/>
      <c r="K758" s="1771"/>
      <c r="L758" s="1771"/>
      <c r="M758" s="1771"/>
      <c r="N758" s="1779"/>
      <c r="O758" s="1770"/>
      <c r="P758" s="1771"/>
      <c r="Q758" s="1766"/>
      <c r="R758" s="1766"/>
      <c r="S758" s="1696"/>
      <c r="T758" s="1696"/>
      <c r="U758" s="1772"/>
      <c r="V758" s="1696"/>
      <c r="W758" s="1772"/>
      <c r="X758" s="1696"/>
      <c r="Y758" s="1696"/>
      <c r="Z758" s="1773"/>
    </row>
    <row r="759">
      <c r="A759" s="1766"/>
      <c r="B759" s="1780"/>
      <c r="C759" s="1766"/>
      <c r="D759" s="1766"/>
      <c r="E759" s="1766"/>
      <c r="F759" s="1766"/>
      <c r="G759" s="1766"/>
      <c r="H759" s="1766"/>
      <c r="I759" s="1766"/>
      <c r="J759" s="1766"/>
      <c r="K759" s="1766"/>
      <c r="L759" s="1766"/>
      <c r="M759" s="1766"/>
      <c r="N759" s="1781"/>
      <c r="O759" s="1766"/>
      <c r="P759" s="1766"/>
      <c r="Q759" s="1766"/>
      <c r="R759" s="1766"/>
      <c r="S759" s="1696"/>
      <c r="T759" s="1696"/>
      <c r="U759" s="1772"/>
      <c r="V759" s="1696"/>
      <c r="W759" s="1772"/>
      <c r="X759" s="1696"/>
      <c r="Y759" s="1696"/>
      <c r="Z759" s="1773"/>
    </row>
    <row r="760">
      <c r="A760" s="1765"/>
      <c r="B760" s="1782"/>
      <c r="C760" s="1765"/>
      <c r="D760" s="1765"/>
      <c r="E760" s="1765"/>
      <c r="F760" s="1765"/>
      <c r="G760" s="1765"/>
      <c r="H760" s="1765"/>
      <c r="I760" s="1765"/>
      <c r="J760" s="1765"/>
      <c r="K760" s="1765"/>
      <c r="L760" s="1765"/>
      <c r="M760" s="1765"/>
      <c r="N760" s="1765"/>
      <c r="O760" s="1765"/>
      <c r="P760" s="1765"/>
      <c r="Q760" s="1766"/>
      <c r="R760" s="1766"/>
      <c r="S760" s="1696"/>
      <c r="T760" s="1696"/>
      <c r="U760" s="1772"/>
      <c r="V760" s="1696"/>
      <c r="W760" s="1772"/>
      <c r="X760" s="1696"/>
      <c r="Y760" s="1696"/>
      <c r="Z760" s="1773"/>
    </row>
    <row r="761">
      <c r="A761" s="1771"/>
      <c r="B761" s="1777"/>
      <c r="C761" s="1771"/>
      <c r="D761" s="1771"/>
      <c r="E761" s="1771"/>
      <c r="F761" s="1771"/>
      <c r="G761" s="1771"/>
      <c r="H761" s="1771"/>
      <c r="I761" s="1778"/>
      <c r="J761" s="1771"/>
      <c r="K761" s="1771"/>
      <c r="L761" s="1771"/>
      <c r="M761" s="1771"/>
      <c r="N761" s="1779"/>
      <c r="O761" s="1770"/>
      <c r="P761" s="1771"/>
      <c r="Q761" s="1766"/>
      <c r="R761" s="1766"/>
      <c r="S761" s="1696"/>
      <c r="T761" s="1696"/>
      <c r="U761" s="1772"/>
      <c r="V761" s="1696"/>
      <c r="W761" s="1772"/>
      <c r="X761" s="1696"/>
      <c r="Y761" s="1696"/>
      <c r="Z761" s="1773"/>
    </row>
    <row r="762">
      <c r="A762" s="1766"/>
      <c r="B762" s="1780"/>
      <c r="C762" s="1766"/>
      <c r="D762" s="1766"/>
      <c r="E762" s="1766"/>
      <c r="F762" s="1766"/>
      <c r="G762" s="1766"/>
      <c r="H762" s="1766"/>
      <c r="I762" s="1766"/>
      <c r="J762" s="1766"/>
      <c r="K762" s="1766"/>
      <c r="L762" s="1766"/>
      <c r="M762" s="1766"/>
      <c r="N762" s="1781"/>
      <c r="O762" s="1766"/>
      <c r="P762" s="1766"/>
      <c r="Q762" s="1766"/>
      <c r="R762" s="1766"/>
      <c r="S762" s="1696"/>
      <c r="T762" s="1696"/>
      <c r="U762" s="1772"/>
      <c r="V762" s="1696"/>
      <c r="W762" s="1772"/>
      <c r="X762" s="1696"/>
      <c r="Y762" s="1696"/>
      <c r="Z762" s="1773"/>
    </row>
    <row r="763">
      <c r="A763" s="1765"/>
      <c r="B763" s="1782"/>
      <c r="C763" s="1765"/>
      <c r="D763" s="1765"/>
      <c r="E763" s="1765"/>
      <c r="F763" s="1765"/>
      <c r="G763" s="1765"/>
      <c r="H763" s="1765"/>
      <c r="I763" s="1765"/>
      <c r="J763" s="1765"/>
      <c r="K763" s="1765"/>
      <c r="L763" s="1765"/>
      <c r="M763" s="1765"/>
      <c r="N763" s="1765"/>
      <c r="O763" s="1765"/>
      <c r="P763" s="1765"/>
      <c r="Q763" s="1766"/>
      <c r="R763" s="1766"/>
      <c r="S763" s="1696"/>
      <c r="T763" s="1696"/>
      <c r="U763" s="1772"/>
      <c r="V763" s="1696"/>
      <c r="W763" s="1772"/>
      <c r="X763" s="1696"/>
      <c r="Y763" s="1696"/>
      <c r="Z763" s="1773"/>
    </row>
    <row r="764">
      <c r="A764" s="1771"/>
      <c r="B764" s="1777"/>
      <c r="C764" s="1771"/>
      <c r="D764" s="1771"/>
      <c r="E764" s="1771"/>
      <c r="F764" s="1771"/>
      <c r="G764" s="1770"/>
      <c r="H764" s="1771"/>
      <c r="I764" s="1778"/>
      <c r="J764" s="1771"/>
      <c r="K764" s="1771"/>
      <c r="L764" s="1771"/>
      <c r="M764" s="1771"/>
      <c r="N764" s="1779"/>
      <c r="O764" s="1770"/>
      <c r="P764" s="1771"/>
      <c r="Q764" s="1766"/>
      <c r="R764" s="1766"/>
      <c r="S764" s="1696"/>
      <c r="T764" s="1696"/>
      <c r="U764" s="1772"/>
      <c r="V764" s="1696"/>
      <c r="W764" s="1772"/>
      <c r="X764" s="1696"/>
      <c r="Y764" s="1696"/>
      <c r="Z764" s="1773"/>
    </row>
    <row r="765">
      <c r="A765" s="1766"/>
      <c r="B765" s="1780"/>
      <c r="C765" s="1766"/>
      <c r="D765" s="1766"/>
      <c r="E765" s="1766"/>
      <c r="F765" s="1766"/>
      <c r="G765" s="1766"/>
      <c r="H765" s="1766"/>
      <c r="I765" s="1766"/>
      <c r="J765" s="1766"/>
      <c r="K765" s="1766"/>
      <c r="L765" s="1766"/>
      <c r="M765" s="1766"/>
      <c r="N765" s="1781"/>
      <c r="O765" s="1766"/>
      <c r="P765" s="1766"/>
      <c r="Q765" s="1766"/>
      <c r="R765" s="1766"/>
      <c r="S765" s="1696"/>
      <c r="T765" s="1696"/>
      <c r="U765" s="1772"/>
      <c r="V765" s="1696"/>
      <c r="W765" s="1772"/>
      <c r="X765" s="1696"/>
      <c r="Y765" s="1696"/>
      <c r="Z765" s="1773"/>
    </row>
    <row r="766">
      <c r="A766" s="1765"/>
      <c r="B766" s="1782"/>
      <c r="C766" s="1765"/>
      <c r="D766" s="1765"/>
      <c r="E766" s="1765"/>
      <c r="F766" s="1765"/>
      <c r="G766" s="1765"/>
      <c r="H766" s="1765"/>
      <c r="I766" s="1765"/>
      <c r="J766" s="1765"/>
      <c r="K766" s="1765"/>
      <c r="L766" s="1765"/>
      <c r="M766" s="1765"/>
      <c r="N766" s="1765"/>
      <c r="O766" s="1765"/>
      <c r="P766" s="1765"/>
      <c r="Q766" s="1766"/>
      <c r="R766" s="1766"/>
      <c r="S766" s="1696"/>
      <c r="T766" s="1696"/>
      <c r="U766" s="1772"/>
      <c r="V766" s="1696"/>
      <c r="W766" s="1772"/>
      <c r="X766" s="1696"/>
      <c r="Y766" s="1696"/>
      <c r="Z766" s="1773"/>
    </row>
    <row r="767">
      <c r="A767" s="1771"/>
      <c r="B767" s="1777"/>
      <c r="C767" s="1771"/>
      <c r="D767" s="1771"/>
      <c r="E767" s="1771"/>
      <c r="F767" s="1771"/>
      <c r="G767" s="1770"/>
      <c r="H767" s="1771"/>
      <c r="I767" s="1778"/>
      <c r="J767" s="1771"/>
      <c r="K767" s="1771"/>
      <c r="L767" s="1771"/>
      <c r="M767" s="1771"/>
      <c r="N767" s="1779"/>
      <c r="O767" s="1770"/>
      <c r="P767" s="1771"/>
      <c r="Q767" s="1766"/>
      <c r="R767" s="1766"/>
      <c r="S767" s="1696"/>
      <c r="T767" s="1696"/>
      <c r="U767" s="1772"/>
      <c r="V767" s="1696"/>
      <c r="W767" s="1772"/>
      <c r="X767" s="1696"/>
      <c r="Y767" s="1696"/>
      <c r="Z767" s="1773"/>
    </row>
    <row r="768">
      <c r="A768" s="1766"/>
      <c r="B768" s="1780"/>
      <c r="C768" s="1766"/>
      <c r="D768" s="1766"/>
      <c r="E768" s="1766"/>
      <c r="F768" s="1766"/>
      <c r="G768" s="1766"/>
      <c r="H768" s="1766"/>
      <c r="I768" s="1766"/>
      <c r="J768" s="1766"/>
      <c r="K768" s="1766"/>
      <c r="L768" s="1766"/>
      <c r="M768" s="1766"/>
      <c r="N768" s="1781"/>
      <c r="O768" s="1766"/>
      <c r="P768" s="1766"/>
      <c r="Q768" s="1766"/>
      <c r="R768" s="1766"/>
      <c r="S768" s="1696"/>
      <c r="T768" s="1696"/>
      <c r="U768" s="1772"/>
      <c r="V768" s="1696"/>
      <c r="W768" s="1772"/>
      <c r="X768" s="1696"/>
      <c r="Y768" s="1696"/>
      <c r="Z768" s="1773"/>
    </row>
    <row r="769">
      <c r="A769" s="1765"/>
      <c r="B769" s="1782"/>
      <c r="C769" s="1765"/>
      <c r="D769" s="1765"/>
      <c r="E769" s="1765"/>
      <c r="F769" s="1765"/>
      <c r="G769" s="1765"/>
      <c r="H769" s="1765"/>
      <c r="I769" s="1765"/>
      <c r="J769" s="1765"/>
      <c r="K769" s="1765"/>
      <c r="L769" s="1765"/>
      <c r="M769" s="1765"/>
      <c r="N769" s="1765"/>
      <c r="O769" s="1765"/>
      <c r="P769" s="1765"/>
      <c r="Q769" s="1766"/>
      <c r="R769" s="1766"/>
      <c r="S769" s="1696"/>
      <c r="T769" s="1696"/>
      <c r="U769" s="1772"/>
      <c r="V769" s="1696"/>
      <c r="W769" s="1772"/>
      <c r="X769" s="1696"/>
      <c r="Y769" s="1696"/>
      <c r="Z769" s="1773"/>
    </row>
    <row r="770">
      <c r="A770" s="1771"/>
      <c r="B770" s="1777"/>
      <c r="C770" s="1770"/>
      <c r="D770" s="1771"/>
      <c r="E770" s="1771"/>
      <c r="F770" s="1771"/>
      <c r="G770" s="1771"/>
      <c r="H770" s="1771"/>
      <c r="I770" s="1770"/>
      <c r="J770" s="1771"/>
      <c r="K770" s="1771"/>
      <c r="L770" s="1771"/>
      <c r="M770" s="1771"/>
      <c r="N770" s="1779"/>
      <c r="O770" s="1770"/>
      <c r="P770" s="1771"/>
      <c r="Q770" s="1766"/>
      <c r="R770" s="1766"/>
      <c r="S770" s="1696"/>
      <c r="T770" s="1696"/>
      <c r="U770" s="1772"/>
      <c r="V770" s="1696"/>
      <c r="W770" s="1772"/>
      <c r="X770" s="1696"/>
      <c r="Y770" s="1696"/>
      <c r="Z770" s="1773"/>
    </row>
    <row r="771">
      <c r="A771" s="1766"/>
      <c r="B771" s="1780"/>
      <c r="C771" s="1766"/>
      <c r="D771" s="1766"/>
      <c r="E771" s="1766"/>
      <c r="F771" s="1766"/>
      <c r="G771" s="1766"/>
      <c r="H771" s="1766"/>
      <c r="I771" s="1766"/>
      <c r="J771" s="1766"/>
      <c r="K771" s="1766"/>
      <c r="L771" s="1766"/>
      <c r="M771" s="1766"/>
      <c r="N771" s="1781"/>
      <c r="O771" s="1766"/>
      <c r="P771" s="1766"/>
      <c r="Q771" s="1766"/>
      <c r="R771" s="1766"/>
      <c r="S771" s="1696"/>
      <c r="T771" s="1696"/>
      <c r="U771" s="1772"/>
      <c r="V771" s="1696"/>
      <c r="W771" s="1772"/>
      <c r="X771" s="1696"/>
      <c r="Y771" s="1696"/>
      <c r="Z771" s="1773"/>
    </row>
    <row r="772">
      <c r="A772" s="1765"/>
      <c r="B772" s="1782"/>
      <c r="C772" s="1765"/>
      <c r="D772" s="1765"/>
      <c r="E772" s="1765"/>
      <c r="F772" s="1765"/>
      <c r="G772" s="1765"/>
      <c r="H772" s="1765"/>
      <c r="I772" s="1765"/>
      <c r="J772" s="1765"/>
      <c r="K772" s="1765"/>
      <c r="L772" s="1765"/>
      <c r="M772" s="1765"/>
      <c r="N772" s="1765"/>
      <c r="O772" s="1765"/>
      <c r="P772" s="1765"/>
      <c r="Q772" s="1766"/>
      <c r="R772" s="1766"/>
      <c r="S772" s="1696"/>
      <c r="T772" s="1696"/>
      <c r="U772" s="1772"/>
      <c r="V772" s="1696"/>
      <c r="W772" s="1772"/>
      <c r="X772" s="1696"/>
      <c r="Y772" s="1696"/>
      <c r="Z772" s="1773"/>
    </row>
    <row r="773">
      <c r="A773" s="1771"/>
      <c r="B773" s="1777"/>
      <c r="C773" s="1771"/>
      <c r="D773" s="1771"/>
      <c r="E773" s="1771"/>
      <c r="F773" s="1771"/>
      <c r="G773" s="1770"/>
      <c r="H773" s="1771"/>
      <c r="I773" s="1778"/>
      <c r="J773" s="1771"/>
      <c r="K773" s="1771"/>
      <c r="L773" s="1771"/>
      <c r="M773" s="1771"/>
      <c r="N773" s="1779"/>
      <c r="O773" s="1770"/>
      <c r="P773" s="1771"/>
      <c r="Q773" s="1766"/>
      <c r="R773" s="1766"/>
      <c r="S773" s="1696"/>
      <c r="T773" s="1696"/>
      <c r="U773" s="1772"/>
      <c r="V773" s="1696"/>
      <c r="W773" s="1772"/>
      <c r="X773" s="1696"/>
      <c r="Y773" s="1696"/>
      <c r="Z773" s="1773"/>
    </row>
    <row r="774">
      <c r="A774" s="1766"/>
      <c r="B774" s="1780"/>
      <c r="C774" s="1766"/>
      <c r="D774" s="1766"/>
      <c r="E774" s="1766"/>
      <c r="F774" s="1766"/>
      <c r="G774" s="1766"/>
      <c r="H774" s="1766"/>
      <c r="I774" s="1766"/>
      <c r="J774" s="1766"/>
      <c r="K774" s="1766"/>
      <c r="L774" s="1766"/>
      <c r="M774" s="1766"/>
      <c r="N774" s="1781"/>
      <c r="O774" s="1766"/>
      <c r="P774" s="1766"/>
      <c r="Q774" s="1766"/>
      <c r="R774" s="1766"/>
      <c r="S774" s="1696"/>
      <c r="T774" s="1696"/>
      <c r="U774" s="1772"/>
      <c r="V774" s="1696"/>
      <c r="W774" s="1772"/>
      <c r="X774" s="1696"/>
      <c r="Y774" s="1696"/>
      <c r="Z774" s="1773"/>
    </row>
    <row r="775">
      <c r="A775" s="1765"/>
      <c r="B775" s="1782"/>
      <c r="C775" s="1765"/>
      <c r="D775" s="1765"/>
      <c r="E775" s="1765"/>
      <c r="F775" s="1765"/>
      <c r="G775" s="1765"/>
      <c r="H775" s="1765"/>
      <c r="I775" s="1765"/>
      <c r="J775" s="1765"/>
      <c r="K775" s="1765"/>
      <c r="L775" s="1765"/>
      <c r="M775" s="1765"/>
      <c r="N775" s="1765"/>
      <c r="O775" s="1765"/>
      <c r="P775" s="1765"/>
      <c r="Q775" s="1766"/>
      <c r="R775" s="1766"/>
      <c r="S775" s="1696"/>
      <c r="T775" s="1696"/>
      <c r="U775" s="1772"/>
      <c r="V775" s="1696"/>
      <c r="W775" s="1772"/>
      <c r="X775" s="1696"/>
      <c r="Y775" s="1696"/>
      <c r="Z775" s="1773"/>
    </row>
    <row r="776">
      <c r="A776" s="1771"/>
      <c r="B776" s="1777"/>
      <c r="C776" s="1771"/>
      <c r="D776" s="1771"/>
      <c r="E776" s="1771"/>
      <c r="F776" s="1771"/>
      <c r="G776" s="1770"/>
      <c r="H776" s="1771"/>
      <c r="I776" s="1778"/>
      <c r="J776" s="1771"/>
      <c r="K776" s="1771"/>
      <c r="L776" s="1771"/>
      <c r="M776" s="1771"/>
      <c r="N776" s="1779"/>
      <c r="O776" s="1770"/>
      <c r="P776" s="1771"/>
      <c r="Q776" s="1766"/>
      <c r="R776" s="1766"/>
      <c r="S776" s="1696"/>
      <c r="T776" s="1696"/>
      <c r="U776" s="1772"/>
      <c r="V776" s="1696"/>
      <c r="W776" s="1772"/>
      <c r="X776" s="1696"/>
      <c r="Y776" s="1696"/>
      <c r="Z776" s="1773"/>
    </row>
    <row r="777">
      <c r="A777" s="1766"/>
      <c r="B777" s="1780"/>
      <c r="C777" s="1766"/>
      <c r="D777" s="1766"/>
      <c r="E777" s="1766"/>
      <c r="F777" s="1766"/>
      <c r="G777" s="1766"/>
      <c r="H777" s="1766"/>
      <c r="I777" s="1766"/>
      <c r="J777" s="1766"/>
      <c r="K777" s="1766"/>
      <c r="L777" s="1766"/>
      <c r="M777" s="1766"/>
      <c r="N777" s="1781"/>
      <c r="O777" s="1766"/>
      <c r="P777" s="1766"/>
      <c r="Q777" s="1766"/>
      <c r="R777" s="1766"/>
      <c r="S777" s="1696"/>
      <c r="T777" s="1696"/>
      <c r="U777" s="1772"/>
      <c r="V777" s="1696"/>
      <c r="W777" s="1772"/>
      <c r="X777" s="1696"/>
      <c r="Y777" s="1696"/>
      <c r="Z777" s="1773"/>
    </row>
    <row r="778">
      <c r="A778" s="1765"/>
      <c r="B778" s="1782"/>
      <c r="C778" s="1765"/>
      <c r="D778" s="1765"/>
      <c r="E778" s="1765"/>
      <c r="F778" s="1765"/>
      <c r="G778" s="1765"/>
      <c r="H778" s="1765"/>
      <c r="I778" s="1765"/>
      <c r="J778" s="1765"/>
      <c r="K778" s="1765"/>
      <c r="L778" s="1765"/>
      <c r="M778" s="1765"/>
      <c r="N778" s="1765"/>
      <c r="O778" s="1765"/>
      <c r="P778" s="1765"/>
      <c r="Q778" s="1766"/>
      <c r="R778" s="1766"/>
      <c r="S778" s="1696"/>
      <c r="T778" s="1696"/>
      <c r="U778" s="1772"/>
      <c r="V778" s="1696"/>
      <c r="W778" s="1772"/>
      <c r="X778" s="1696"/>
      <c r="Y778" s="1696"/>
      <c r="Z778" s="1773"/>
    </row>
    <row r="779">
      <c r="A779" s="1771"/>
      <c r="B779" s="1777"/>
      <c r="C779" s="1771"/>
      <c r="D779" s="1771"/>
      <c r="E779" s="1771"/>
      <c r="F779" s="1771"/>
      <c r="G779" s="1770"/>
      <c r="H779" s="1771"/>
      <c r="I779" s="1778"/>
      <c r="J779" s="1771"/>
      <c r="K779" s="1771"/>
      <c r="L779" s="1771"/>
      <c r="M779" s="1771"/>
      <c r="N779" s="1779"/>
      <c r="O779" s="1770"/>
      <c r="P779" s="1771"/>
      <c r="Q779" s="1766"/>
      <c r="R779" s="1766"/>
      <c r="S779" s="1696"/>
      <c r="T779" s="1696"/>
      <c r="U779" s="1772"/>
      <c r="V779" s="1696"/>
      <c r="W779" s="1772"/>
      <c r="X779" s="1696"/>
      <c r="Y779" s="1696"/>
      <c r="Z779" s="1696"/>
    </row>
    <row r="780">
      <c r="A780" s="1766"/>
      <c r="B780" s="1780"/>
      <c r="C780" s="1766"/>
      <c r="D780" s="1766"/>
      <c r="E780" s="1766"/>
      <c r="F780" s="1766"/>
      <c r="G780" s="1766"/>
      <c r="H780" s="1766"/>
      <c r="I780" s="1766"/>
      <c r="J780" s="1766"/>
      <c r="K780" s="1766"/>
      <c r="L780" s="1766"/>
      <c r="M780" s="1766"/>
      <c r="N780" s="1781"/>
      <c r="O780" s="1766"/>
      <c r="P780" s="1766"/>
      <c r="Q780" s="1766"/>
      <c r="R780" s="1766"/>
      <c r="S780" s="1696"/>
      <c r="T780" s="1696"/>
      <c r="U780" s="1772"/>
      <c r="V780" s="1696"/>
      <c r="W780" s="1772"/>
      <c r="X780" s="1696"/>
      <c r="Y780" s="1696"/>
      <c r="Z780" s="1773"/>
    </row>
    <row r="781">
      <c r="A781" s="1765"/>
      <c r="B781" s="1782"/>
      <c r="C781" s="1765"/>
      <c r="D781" s="1765"/>
      <c r="E781" s="1765"/>
      <c r="F781" s="1765"/>
      <c r="G781" s="1765"/>
      <c r="H781" s="1765"/>
      <c r="I781" s="1765"/>
      <c r="J781" s="1765"/>
      <c r="K781" s="1765"/>
      <c r="L781" s="1765"/>
      <c r="M781" s="1765"/>
      <c r="N781" s="1765"/>
      <c r="O781" s="1765"/>
      <c r="P781" s="1765"/>
      <c r="Q781" s="1766"/>
      <c r="R781" s="1766"/>
      <c r="S781" s="1696"/>
      <c r="T781" s="1696"/>
      <c r="U781" s="1772"/>
      <c r="V781" s="1696"/>
      <c r="W781" s="1772"/>
      <c r="X781" s="1696"/>
      <c r="Y781" s="1696"/>
      <c r="Z781" s="1773"/>
    </row>
    <row r="782">
      <c r="A782" s="1771"/>
      <c r="B782" s="1777"/>
      <c r="C782" s="1771"/>
      <c r="D782" s="1771"/>
      <c r="E782" s="1771"/>
      <c r="F782" s="1771"/>
      <c r="G782" s="1770"/>
      <c r="H782" s="1771"/>
      <c r="I782" s="1778"/>
      <c r="J782" s="1771"/>
      <c r="K782" s="1771"/>
      <c r="L782" s="1771"/>
      <c r="M782" s="1771"/>
      <c r="N782" s="1779"/>
      <c r="O782" s="1770"/>
      <c r="P782" s="1771"/>
      <c r="Q782" s="1766"/>
      <c r="R782" s="1766"/>
      <c r="S782" s="1696"/>
      <c r="T782" s="1696"/>
      <c r="U782" s="1772"/>
      <c r="V782" s="1696"/>
      <c r="W782" s="1772"/>
      <c r="X782" s="1696"/>
      <c r="Y782" s="1696"/>
      <c r="Z782" s="1773"/>
    </row>
    <row r="783">
      <c r="A783" s="1766"/>
      <c r="B783" s="1780"/>
      <c r="C783" s="1766"/>
      <c r="D783" s="1766"/>
      <c r="E783" s="1766"/>
      <c r="F783" s="1766"/>
      <c r="G783" s="1766"/>
      <c r="H783" s="1766"/>
      <c r="I783" s="1766"/>
      <c r="J783" s="1766"/>
      <c r="K783" s="1766"/>
      <c r="L783" s="1766"/>
      <c r="M783" s="1766"/>
      <c r="N783" s="1781"/>
      <c r="O783" s="1766"/>
      <c r="P783" s="1766"/>
      <c r="Q783" s="1766"/>
      <c r="R783" s="1766"/>
      <c r="S783" s="1696"/>
      <c r="T783" s="1696"/>
      <c r="U783" s="1772"/>
      <c r="V783" s="1696"/>
      <c r="W783" s="1772"/>
      <c r="X783" s="1696"/>
      <c r="Y783" s="1696"/>
      <c r="Z783" s="1773"/>
    </row>
    <row r="784">
      <c r="A784" s="1765"/>
      <c r="B784" s="1782"/>
      <c r="C784" s="1765"/>
      <c r="D784" s="1765"/>
      <c r="E784" s="1765"/>
      <c r="F784" s="1765"/>
      <c r="G784" s="1765"/>
      <c r="H784" s="1765"/>
      <c r="I784" s="1765"/>
      <c r="J784" s="1765"/>
      <c r="K784" s="1765"/>
      <c r="L784" s="1765"/>
      <c r="M784" s="1765"/>
      <c r="N784" s="1765"/>
      <c r="O784" s="1765"/>
      <c r="P784" s="1765"/>
      <c r="Q784" s="1766"/>
      <c r="R784" s="1766"/>
      <c r="S784" s="1696"/>
      <c r="T784" s="1696"/>
      <c r="U784" s="1772"/>
      <c r="V784" s="1696"/>
      <c r="W784" s="1772"/>
      <c r="X784" s="1696"/>
      <c r="Y784" s="1696"/>
      <c r="Z784" s="1773"/>
    </row>
    <row r="785">
      <c r="A785" s="1771"/>
      <c r="B785" s="1777"/>
      <c r="C785" s="1770"/>
      <c r="D785" s="1771"/>
      <c r="E785" s="1771"/>
      <c r="F785" s="1771"/>
      <c r="G785" s="1777"/>
      <c r="H785" s="1771"/>
      <c r="I785" s="1770"/>
      <c r="J785" s="1771"/>
      <c r="K785" s="1771"/>
      <c r="L785" s="1771"/>
      <c r="M785" s="1771"/>
      <c r="N785" s="1779"/>
      <c r="O785" s="1770"/>
      <c r="P785" s="1771"/>
      <c r="Q785" s="1766"/>
      <c r="R785" s="1766"/>
      <c r="S785" s="1696"/>
      <c r="T785" s="1696"/>
      <c r="U785" s="1772"/>
      <c r="V785" s="1696"/>
      <c r="W785" s="1772"/>
      <c r="X785" s="1696"/>
      <c r="Y785" s="1696"/>
      <c r="Z785" s="1773"/>
    </row>
    <row r="786">
      <c r="A786" s="1766"/>
      <c r="B786" s="1780"/>
      <c r="C786" s="1766"/>
      <c r="D786" s="1766"/>
      <c r="E786" s="1766"/>
      <c r="F786" s="1766"/>
      <c r="G786" s="1766"/>
      <c r="H786" s="1766"/>
      <c r="I786" s="1766"/>
      <c r="J786" s="1766"/>
      <c r="K786" s="1766"/>
      <c r="L786" s="1766"/>
      <c r="M786" s="1766"/>
      <c r="N786" s="1781"/>
      <c r="O786" s="1766"/>
      <c r="P786" s="1766"/>
      <c r="Q786" s="1766"/>
      <c r="R786" s="1766"/>
      <c r="S786" s="1696"/>
      <c r="T786" s="1696"/>
      <c r="U786" s="1772"/>
      <c r="V786" s="1696"/>
      <c r="W786" s="1772"/>
      <c r="X786" s="1696"/>
      <c r="Y786" s="1696"/>
      <c r="Z786" s="1773"/>
    </row>
    <row r="787">
      <c r="A787" s="1765"/>
      <c r="B787" s="1782"/>
      <c r="C787" s="1765"/>
      <c r="D787" s="1765"/>
      <c r="E787" s="1765"/>
      <c r="F787" s="1765"/>
      <c r="G787" s="1765"/>
      <c r="H787" s="1765"/>
      <c r="I787" s="1765"/>
      <c r="J787" s="1765"/>
      <c r="K787" s="1765"/>
      <c r="L787" s="1765"/>
      <c r="M787" s="1765"/>
      <c r="N787" s="1765"/>
      <c r="O787" s="1765"/>
      <c r="P787" s="1765"/>
      <c r="Q787" s="1766"/>
      <c r="R787" s="1766"/>
      <c r="S787" s="1696"/>
      <c r="T787" s="1696"/>
      <c r="U787" s="1772"/>
      <c r="V787" s="1696"/>
      <c r="W787" s="1772"/>
      <c r="X787" s="1696"/>
      <c r="Y787" s="1696"/>
      <c r="Z787" s="1773"/>
    </row>
    <row r="788">
      <c r="A788" s="1771"/>
      <c r="B788" s="1777"/>
      <c r="C788" s="1771"/>
      <c r="D788" s="1771"/>
      <c r="E788" s="1771"/>
      <c r="F788" s="1771"/>
      <c r="G788" s="1777"/>
      <c r="H788" s="1771"/>
      <c r="I788" s="1778"/>
      <c r="J788" s="1771"/>
      <c r="K788" s="1771"/>
      <c r="L788" s="1771"/>
      <c r="M788" s="1771"/>
      <c r="N788" s="1779"/>
      <c r="O788" s="1770"/>
      <c r="P788" s="1771"/>
      <c r="Q788" s="1766"/>
      <c r="R788" s="1766"/>
      <c r="S788" s="1696"/>
      <c r="T788" s="1696"/>
      <c r="U788" s="1772"/>
      <c r="V788" s="1696"/>
      <c r="W788" s="1772"/>
      <c r="X788" s="1696"/>
      <c r="Y788" s="1696"/>
      <c r="Z788" s="1773"/>
    </row>
    <row r="789">
      <c r="A789" s="1766"/>
      <c r="B789" s="1780"/>
      <c r="C789" s="1766"/>
      <c r="D789" s="1766"/>
      <c r="E789" s="1766"/>
      <c r="F789" s="1766"/>
      <c r="G789" s="1766"/>
      <c r="H789" s="1766"/>
      <c r="I789" s="1766"/>
      <c r="J789" s="1766"/>
      <c r="K789" s="1766"/>
      <c r="L789" s="1766"/>
      <c r="M789" s="1766"/>
      <c r="N789" s="1781"/>
      <c r="O789" s="1766"/>
      <c r="P789" s="1766"/>
      <c r="Q789" s="1766"/>
      <c r="R789" s="1766"/>
      <c r="S789" s="1696"/>
      <c r="T789" s="1696"/>
      <c r="U789" s="1772"/>
      <c r="V789" s="1696"/>
      <c r="W789" s="1772"/>
      <c r="X789" s="1696"/>
      <c r="Y789" s="1696"/>
      <c r="Z789" s="1773"/>
    </row>
    <row r="790">
      <c r="A790" s="1765"/>
      <c r="B790" s="1782"/>
      <c r="C790" s="1765"/>
      <c r="D790" s="1765"/>
      <c r="E790" s="1765"/>
      <c r="F790" s="1765"/>
      <c r="G790" s="1765"/>
      <c r="H790" s="1765"/>
      <c r="I790" s="1765"/>
      <c r="J790" s="1765"/>
      <c r="K790" s="1765"/>
      <c r="L790" s="1765"/>
      <c r="M790" s="1765"/>
      <c r="N790" s="1765"/>
      <c r="O790" s="1765"/>
      <c r="P790" s="1765"/>
      <c r="Q790" s="1766"/>
      <c r="R790" s="1766"/>
      <c r="S790" s="1696"/>
      <c r="T790" s="1696"/>
      <c r="U790" s="1772"/>
      <c r="V790" s="1696"/>
      <c r="W790" s="1772"/>
      <c r="X790" s="1696"/>
      <c r="Y790" s="1696"/>
      <c r="Z790" s="1696"/>
    </row>
    <row r="791">
      <c r="A791" s="1771"/>
      <c r="B791" s="1777"/>
      <c r="C791" s="1771"/>
      <c r="D791" s="1771"/>
      <c r="E791" s="1771"/>
      <c r="F791" s="1771"/>
      <c r="G791" s="1770"/>
      <c r="H791" s="1771"/>
      <c r="I791" s="1778"/>
      <c r="J791" s="1771"/>
      <c r="K791" s="1771"/>
      <c r="L791" s="1771"/>
      <c r="M791" s="1771"/>
      <c r="N791" s="1779"/>
      <c r="O791" s="1770"/>
      <c r="P791" s="1771"/>
      <c r="Q791" s="1766"/>
      <c r="R791" s="1766"/>
      <c r="S791" s="1696"/>
      <c r="T791" s="1696"/>
      <c r="U791" s="1772"/>
      <c r="V791" s="1696"/>
      <c r="W791" s="1772"/>
      <c r="X791" s="1696"/>
      <c r="Y791" s="1696"/>
      <c r="Z791" s="1773"/>
    </row>
    <row r="792">
      <c r="A792" s="1766"/>
      <c r="B792" s="1780"/>
      <c r="C792" s="1766"/>
      <c r="D792" s="1766"/>
      <c r="E792" s="1766"/>
      <c r="F792" s="1766"/>
      <c r="G792" s="1766"/>
      <c r="H792" s="1766"/>
      <c r="I792" s="1766"/>
      <c r="J792" s="1766"/>
      <c r="K792" s="1766"/>
      <c r="L792" s="1766"/>
      <c r="M792" s="1766"/>
      <c r="N792" s="1781"/>
      <c r="O792" s="1766"/>
      <c r="P792" s="1766"/>
      <c r="Q792" s="1766"/>
      <c r="R792" s="1766"/>
      <c r="S792" s="1696"/>
      <c r="T792" s="1696"/>
      <c r="U792" s="1772"/>
      <c r="V792" s="1696"/>
      <c r="W792" s="1772"/>
      <c r="X792" s="1696"/>
      <c r="Y792" s="1696"/>
      <c r="Z792" s="1773"/>
    </row>
    <row r="793">
      <c r="A793" s="1765"/>
      <c r="B793" s="1782"/>
      <c r="C793" s="1765"/>
      <c r="D793" s="1765"/>
      <c r="E793" s="1765"/>
      <c r="F793" s="1765"/>
      <c r="G793" s="1765"/>
      <c r="H793" s="1765"/>
      <c r="I793" s="1765"/>
      <c r="J793" s="1765"/>
      <c r="K793" s="1765"/>
      <c r="L793" s="1765"/>
      <c r="M793" s="1765"/>
      <c r="N793" s="1765"/>
      <c r="O793" s="1765"/>
      <c r="P793" s="1765"/>
      <c r="Q793" s="1766"/>
      <c r="R793" s="1766"/>
      <c r="S793" s="1696"/>
      <c r="T793" s="1696"/>
      <c r="U793" s="1772"/>
      <c r="V793" s="1696"/>
      <c r="W793" s="1772"/>
      <c r="X793" s="1696"/>
      <c r="Y793" s="1696"/>
      <c r="Z793" s="1773"/>
    </row>
    <row r="794">
      <c r="A794" s="1771"/>
      <c r="B794" s="1777"/>
      <c r="C794" s="1771"/>
      <c r="D794" s="1771"/>
      <c r="E794" s="1771"/>
      <c r="F794" s="1771"/>
      <c r="G794" s="1770"/>
      <c r="H794" s="1771"/>
      <c r="I794" s="1770"/>
      <c r="J794" s="1771"/>
      <c r="K794" s="1771"/>
      <c r="L794" s="1771"/>
      <c r="M794" s="1771"/>
      <c r="N794" s="1779"/>
      <c r="O794" s="1770"/>
      <c r="P794" s="1771"/>
      <c r="Q794" s="1766"/>
      <c r="R794" s="1766"/>
      <c r="S794" s="1696"/>
      <c r="T794" s="1696"/>
      <c r="U794" s="1772"/>
      <c r="V794" s="1696"/>
      <c r="W794" s="1772"/>
      <c r="X794" s="1696"/>
      <c r="Y794" s="1696"/>
      <c r="Z794" s="1773"/>
    </row>
    <row r="795">
      <c r="A795" s="1766"/>
      <c r="B795" s="1780"/>
      <c r="C795" s="1766"/>
      <c r="D795" s="1766"/>
      <c r="E795" s="1766"/>
      <c r="F795" s="1766"/>
      <c r="G795" s="1766"/>
      <c r="H795" s="1766"/>
      <c r="I795" s="1766"/>
      <c r="J795" s="1766"/>
      <c r="K795" s="1766"/>
      <c r="L795" s="1766"/>
      <c r="M795" s="1766"/>
      <c r="N795" s="1781"/>
      <c r="O795" s="1766"/>
      <c r="P795" s="1766"/>
      <c r="Q795" s="1766"/>
      <c r="R795" s="1766"/>
      <c r="S795" s="1696"/>
      <c r="T795" s="1696"/>
      <c r="U795" s="1772"/>
      <c r="V795" s="1696"/>
      <c r="W795" s="1772"/>
      <c r="X795" s="1696"/>
      <c r="Y795" s="1696"/>
      <c r="Z795" s="1773"/>
    </row>
    <row r="796">
      <c r="A796" s="1765"/>
      <c r="B796" s="1782"/>
      <c r="C796" s="1765"/>
      <c r="D796" s="1765"/>
      <c r="E796" s="1765"/>
      <c r="F796" s="1765"/>
      <c r="G796" s="1765"/>
      <c r="H796" s="1765"/>
      <c r="I796" s="1765"/>
      <c r="J796" s="1765"/>
      <c r="K796" s="1765"/>
      <c r="L796" s="1765"/>
      <c r="M796" s="1765"/>
      <c r="N796" s="1765"/>
      <c r="O796" s="1765"/>
      <c r="P796" s="1765"/>
      <c r="Q796" s="1766"/>
      <c r="R796" s="1766"/>
      <c r="S796" s="1696"/>
      <c r="T796" s="1696"/>
      <c r="U796" s="1772"/>
      <c r="V796" s="1696"/>
      <c r="W796" s="1772"/>
      <c r="X796" s="1696"/>
      <c r="Y796" s="1696"/>
      <c r="Z796" s="1773"/>
    </row>
    <row r="797">
      <c r="A797" s="1771"/>
      <c r="B797" s="1777"/>
      <c r="C797" s="1771"/>
      <c r="D797" s="1771"/>
      <c r="E797" s="1771"/>
      <c r="F797" s="1771"/>
      <c r="G797" s="1777"/>
      <c r="H797" s="1771"/>
      <c r="I797" s="1770"/>
      <c r="J797" s="1771"/>
      <c r="K797" s="1771"/>
      <c r="L797" s="1771"/>
      <c r="M797" s="1771"/>
      <c r="N797" s="1779"/>
      <c r="O797" s="1770"/>
      <c r="P797" s="1771"/>
      <c r="Q797" s="1766"/>
      <c r="R797" s="1766"/>
      <c r="S797" s="1696"/>
      <c r="T797" s="1696"/>
      <c r="U797" s="1772"/>
      <c r="V797" s="1696"/>
      <c r="W797" s="1772"/>
      <c r="X797" s="1696"/>
      <c r="Y797" s="1696"/>
      <c r="Z797" s="1773"/>
    </row>
    <row r="798">
      <c r="A798" s="1766"/>
      <c r="B798" s="1780"/>
      <c r="C798" s="1766"/>
      <c r="D798" s="1766"/>
      <c r="E798" s="1766"/>
      <c r="F798" s="1766"/>
      <c r="G798" s="1766"/>
      <c r="H798" s="1766"/>
      <c r="I798" s="1766"/>
      <c r="J798" s="1766"/>
      <c r="K798" s="1766"/>
      <c r="L798" s="1766"/>
      <c r="M798" s="1766"/>
      <c r="N798" s="1781"/>
      <c r="O798" s="1766"/>
      <c r="P798" s="1766"/>
      <c r="Q798" s="1766"/>
      <c r="R798" s="1766"/>
      <c r="S798" s="1696"/>
      <c r="T798" s="1696"/>
      <c r="U798" s="1772"/>
      <c r="V798" s="1696"/>
      <c r="W798" s="1772"/>
      <c r="X798" s="1696"/>
      <c r="Y798" s="1696"/>
      <c r="Z798" s="1773"/>
    </row>
    <row r="799">
      <c r="A799" s="1765"/>
      <c r="B799" s="1782"/>
      <c r="C799" s="1765"/>
      <c r="D799" s="1765"/>
      <c r="E799" s="1765"/>
      <c r="F799" s="1765"/>
      <c r="G799" s="1765"/>
      <c r="H799" s="1765"/>
      <c r="I799" s="1765"/>
      <c r="J799" s="1765"/>
      <c r="K799" s="1765"/>
      <c r="L799" s="1765"/>
      <c r="M799" s="1765"/>
      <c r="N799" s="1765"/>
      <c r="O799" s="1765"/>
      <c r="P799" s="1765"/>
      <c r="Q799" s="1766"/>
      <c r="R799" s="1766"/>
      <c r="S799" s="1696"/>
      <c r="T799" s="1696"/>
      <c r="U799" s="1772"/>
      <c r="V799" s="1696"/>
      <c r="W799" s="1772"/>
      <c r="X799" s="1696"/>
      <c r="Y799" s="1696"/>
      <c r="Z799" s="1773"/>
    </row>
    <row r="800">
      <c r="A800" s="1771"/>
      <c r="B800" s="1777"/>
      <c r="C800" s="1771"/>
      <c r="D800" s="1771"/>
      <c r="E800" s="1771"/>
      <c r="F800" s="1771"/>
      <c r="G800" s="1770"/>
      <c r="H800" s="1771"/>
      <c r="I800" s="1778"/>
      <c r="J800" s="1771"/>
      <c r="K800" s="1771"/>
      <c r="L800" s="1771"/>
      <c r="M800" s="1771"/>
      <c r="N800" s="1779"/>
      <c r="O800" s="1770"/>
      <c r="P800" s="1771"/>
      <c r="Q800" s="1766"/>
      <c r="R800" s="1766"/>
      <c r="S800" s="1696"/>
      <c r="T800" s="1696"/>
      <c r="U800" s="1772"/>
      <c r="V800" s="1696"/>
      <c r="W800" s="1772"/>
      <c r="X800" s="1696"/>
      <c r="Y800" s="1696"/>
      <c r="Z800" s="1773"/>
    </row>
    <row r="801">
      <c r="A801" s="1766"/>
      <c r="B801" s="1780"/>
      <c r="C801" s="1766"/>
      <c r="D801" s="1766"/>
      <c r="E801" s="1766"/>
      <c r="F801" s="1766"/>
      <c r="G801" s="1766"/>
      <c r="H801" s="1766"/>
      <c r="I801" s="1766"/>
      <c r="J801" s="1766"/>
      <c r="K801" s="1766"/>
      <c r="L801" s="1766"/>
      <c r="M801" s="1766"/>
      <c r="N801" s="1781"/>
      <c r="O801" s="1766"/>
      <c r="P801" s="1766"/>
      <c r="Q801" s="1766"/>
      <c r="R801" s="1766"/>
      <c r="S801" s="1696"/>
      <c r="T801" s="1696"/>
      <c r="U801" s="1772"/>
      <c r="V801" s="1696"/>
      <c r="W801" s="1772"/>
      <c r="X801" s="1696"/>
      <c r="Y801" s="1696"/>
      <c r="Z801" s="1773"/>
    </row>
    <row r="802">
      <c r="A802" s="1765"/>
      <c r="B802" s="1782"/>
      <c r="C802" s="1765"/>
      <c r="D802" s="1765"/>
      <c r="E802" s="1765"/>
      <c r="F802" s="1765"/>
      <c r="G802" s="1765"/>
      <c r="H802" s="1765"/>
      <c r="I802" s="1765"/>
      <c r="J802" s="1765"/>
      <c r="K802" s="1765"/>
      <c r="L802" s="1765"/>
      <c r="M802" s="1765"/>
      <c r="N802" s="1765"/>
      <c r="O802" s="1765"/>
      <c r="P802" s="1765"/>
      <c r="Q802" s="1766"/>
      <c r="R802" s="1766"/>
      <c r="S802" s="1696"/>
      <c r="T802" s="1696"/>
      <c r="U802" s="1772"/>
      <c r="V802" s="1696"/>
      <c r="W802" s="1772"/>
      <c r="X802" s="1696"/>
      <c r="Y802" s="1696"/>
      <c r="Z802" s="1773"/>
    </row>
    <row r="803">
      <c r="A803" s="1771"/>
      <c r="B803" s="1777"/>
      <c r="C803" s="1771"/>
      <c r="D803" s="1771"/>
      <c r="E803" s="1771"/>
      <c r="F803" s="1771"/>
      <c r="G803" s="1771"/>
      <c r="H803" s="1771"/>
      <c r="I803" s="1778"/>
      <c r="J803" s="1771"/>
      <c r="K803" s="1771"/>
      <c r="L803" s="1771"/>
      <c r="M803" s="1771"/>
      <c r="N803" s="1779"/>
      <c r="O803" s="1770"/>
      <c r="P803" s="1771"/>
      <c r="Q803" s="1766"/>
      <c r="R803" s="1766"/>
      <c r="S803" s="1696"/>
      <c r="T803" s="1696"/>
      <c r="U803" s="1772"/>
      <c r="V803" s="1696"/>
      <c r="W803" s="1772"/>
      <c r="X803" s="1696"/>
      <c r="Y803" s="1696"/>
      <c r="Z803" s="1773"/>
    </row>
    <row r="804">
      <c r="A804" s="1766"/>
      <c r="B804" s="1780"/>
      <c r="C804" s="1766"/>
      <c r="D804" s="1766"/>
      <c r="E804" s="1766"/>
      <c r="F804" s="1766"/>
      <c r="G804" s="1766"/>
      <c r="H804" s="1766"/>
      <c r="I804" s="1766"/>
      <c r="J804" s="1766"/>
      <c r="K804" s="1766"/>
      <c r="L804" s="1766"/>
      <c r="M804" s="1766"/>
      <c r="N804" s="1781"/>
      <c r="O804" s="1766"/>
      <c r="P804" s="1766"/>
      <c r="Q804" s="1766"/>
      <c r="R804" s="1766"/>
      <c r="S804" s="1696"/>
      <c r="T804" s="1696"/>
      <c r="U804" s="1772"/>
      <c r="V804" s="1696"/>
      <c r="W804" s="1772"/>
      <c r="X804" s="1696"/>
      <c r="Y804" s="1696"/>
      <c r="Z804" s="1773"/>
    </row>
    <row r="805">
      <c r="A805" s="1765"/>
      <c r="B805" s="1782"/>
      <c r="C805" s="1765"/>
      <c r="D805" s="1765"/>
      <c r="E805" s="1765"/>
      <c r="F805" s="1765"/>
      <c r="G805" s="1765"/>
      <c r="H805" s="1765"/>
      <c r="I805" s="1765"/>
      <c r="J805" s="1765"/>
      <c r="K805" s="1765"/>
      <c r="L805" s="1765"/>
      <c r="M805" s="1765"/>
      <c r="N805" s="1765"/>
      <c r="O805" s="1765"/>
      <c r="P805" s="1765"/>
      <c r="Q805" s="1766"/>
      <c r="R805" s="1766"/>
      <c r="S805" s="1696"/>
      <c r="T805" s="1696"/>
      <c r="U805" s="1772"/>
      <c r="V805" s="1696"/>
      <c r="W805" s="1772"/>
      <c r="X805" s="1696"/>
      <c r="Y805" s="1696"/>
      <c r="Z805" s="1773"/>
    </row>
    <row r="806">
      <c r="A806" s="1771"/>
      <c r="B806" s="1777"/>
      <c r="C806" s="1771"/>
      <c r="D806" s="1771"/>
      <c r="E806" s="1771"/>
      <c r="F806" s="1771"/>
      <c r="G806" s="1770"/>
      <c r="H806" s="1771"/>
      <c r="I806" s="1778"/>
      <c r="J806" s="1771"/>
      <c r="K806" s="1771"/>
      <c r="L806" s="1771"/>
      <c r="M806" s="1771"/>
      <c r="N806" s="1779"/>
      <c r="O806" s="1770"/>
      <c r="P806" s="1771"/>
      <c r="Q806" s="1766"/>
      <c r="R806" s="1766"/>
      <c r="S806" s="1696"/>
      <c r="T806" s="1696"/>
      <c r="U806" s="1772"/>
      <c r="V806" s="1696"/>
      <c r="W806" s="1772"/>
      <c r="X806" s="1696"/>
      <c r="Y806" s="1696"/>
      <c r="Z806" s="1773"/>
    </row>
    <row r="807">
      <c r="A807" s="1766"/>
      <c r="B807" s="1780"/>
      <c r="C807" s="1766"/>
      <c r="D807" s="1766"/>
      <c r="E807" s="1766"/>
      <c r="F807" s="1766"/>
      <c r="G807" s="1766"/>
      <c r="H807" s="1766"/>
      <c r="I807" s="1766"/>
      <c r="J807" s="1766"/>
      <c r="K807" s="1766"/>
      <c r="L807" s="1766"/>
      <c r="M807" s="1766"/>
      <c r="N807" s="1781"/>
      <c r="O807" s="1766"/>
      <c r="P807" s="1766"/>
      <c r="Q807" s="1766"/>
      <c r="R807" s="1766"/>
      <c r="S807" s="1696"/>
      <c r="T807" s="1696"/>
      <c r="U807" s="1772"/>
      <c r="V807" s="1696"/>
      <c r="W807" s="1772"/>
      <c r="X807" s="1696"/>
      <c r="Y807" s="1696"/>
      <c r="Z807" s="1773"/>
    </row>
    <row r="808">
      <c r="A808" s="1765"/>
      <c r="B808" s="1782"/>
      <c r="C808" s="1765"/>
      <c r="D808" s="1765"/>
      <c r="E808" s="1765"/>
      <c r="F808" s="1765"/>
      <c r="G808" s="1765"/>
      <c r="H808" s="1765"/>
      <c r="I808" s="1765"/>
      <c r="J808" s="1765"/>
      <c r="K808" s="1765"/>
      <c r="L808" s="1765"/>
      <c r="M808" s="1765"/>
      <c r="N808" s="1765"/>
      <c r="O808" s="1765"/>
      <c r="P808" s="1765"/>
      <c r="Q808" s="1766"/>
      <c r="R808" s="1766"/>
      <c r="S808" s="1696"/>
      <c r="T808" s="1696"/>
      <c r="U808" s="1772"/>
      <c r="V808" s="1696"/>
      <c r="W808" s="1772"/>
      <c r="X808" s="1696"/>
      <c r="Y808" s="1696"/>
      <c r="Z808" s="1773"/>
    </row>
    <row r="809">
      <c r="A809" s="1771"/>
      <c r="B809" s="1777"/>
      <c r="C809" s="1771"/>
      <c r="D809" s="1771"/>
      <c r="E809" s="1771"/>
      <c r="F809" s="1771"/>
      <c r="G809" s="1771"/>
      <c r="H809" s="1771"/>
      <c r="I809" s="1778"/>
      <c r="J809" s="1771"/>
      <c r="K809" s="1771"/>
      <c r="L809" s="1771"/>
      <c r="M809" s="1771"/>
      <c r="N809" s="1779"/>
      <c r="O809" s="1770"/>
      <c r="P809" s="1771"/>
      <c r="Q809" s="1766"/>
      <c r="R809" s="1766"/>
      <c r="S809" s="1696"/>
      <c r="T809" s="1696"/>
      <c r="U809" s="1772"/>
      <c r="V809" s="1696"/>
      <c r="W809" s="1772"/>
      <c r="X809" s="1696"/>
      <c r="Y809" s="1696"/>
      <c r="Z809" s="1773"/>
    </row>
    <row r="810">
      <c r="A810" s="1766"/>
      <c r="B810" s="1780"/>
      <c r="C810" s="1766"/>
      <c r="D810" s="1766"/>
      <c r="E810" s="1766"/>
      <c r="F810" s="1766"/>
      <c r="G810" s="1766"/>
      <c r="H810" s="1766"/>
      <c r="I810" s="1766"/>
      <c r="J810" s="1766"/>
      <c r="K810" s="1766"/>
      <c r="L810" s="1766"/>
      <c r="M810" s="1766"/>
      <c r="N810" s="1781"/>
      <c r="O810" s="1766"/>
      <c r="P810" s="1766"/>
      <c r="Q810" s="1766"/>
      <c r="R810" s="1766"/>
      <c r="S810" s="1696"/>
      <c r="T810" s="1696"/>
      <c r="U810" s="1772"/>
      <c r="V810" s="1696"/>
      <c r="W810" s="1772"/>
      <c r="X810" s="1696"/>
      <c r="Y810" s="1696"/>
      <c r="Z810" s="1773"/>
    </row>
    <row r="811">
      <c r="A811" s="1765"/>
      <c r="B811" s="1782"/>
      <c r="C811" s="1765"/>
      <c r="D811" s="1765"/>
      <c r="E811" s="1765"/>
      <c r="F811" s="1765"/>
      <c r="G811" s="1765"/>
      <c r="H811" s="1765"/>
      <c r="I811" s="1765"/>
      <c r="J811" s="1765"/>
      <c r="K811" s="1765"/>
      <c r="L811" s="1765"/>
      <c r="M811" s="1765"/>
      <c r="N811" s="1765"/>
      <c r="O811" s="1765"/>
      <c r="P811" s="1765"/>
      <c r="Q811" s="1766"/>
      <c r="R811" s="1766"/>
      <c r="S811" s="1696"/>
      <c r="T811" s="1696"/>
      <c r="U811" s="1772"/>
      <c r="V811" s="1696"/>
      <c r="W811" s="1772"/>
      <c r="X811" s="1696"/>
      <c r="Y811" s="1696"/>
      <c r="Z811" s="1773"/>
    </row>
    <row r="812">
      <c r="A812" s="1771"/>
      <c r="B812" s="1777"/>
      <c r="C812" s="1771"/>
      <c r="D812" s="1771"/>
      <c r="E812" s="1771"/>
      <c r="F812" s="1771"/>
      <c r="G812" s="1771"/>
      <c r="H812" s="1771"/>
      <c r="I812" s="1778"/>
      <c r="J812" s="1771"/>
      <c r="K812" s="1771"/>
      <c r="L812" s="1771"/>
      <c r="M812" s="1771"/>
      <c r="N812" s="1770"/>
      <c r="O812" s="1770"/>
      <c r="P812" s="1771"/>
      <c r="Q812" s="1766"/>
      <c r="R812" s="1766"/>
      <c r="S812" s="1696"/>
      <c r="T812" s="1696"/>
      <c r="U812" s="1772"/>
      <c r="V812" s="1696"/>
      <c r="W812" s="1772"/>
      <c r="X812" s="1696"/>
      <c r="Y812" s="1696"/>
      <c r="Z812" s="1696"/>
    </row>
    <row r="813">
      <c r="A813" s="1766"/>
      <c r="B813" s="1780"/>
      <c r="C813" s="1766"/>
      <c r="D813" s="1766"/>
      <c r="E813" s="1766"/>
      <c r="F813" s="1766"/>
      <c r="G813" s="1766"/>
      <c r="H813" s="1766"/>
      <c r="I813" s="1766"/>
      <c r="J813" s="1766"/>
      <c r="K813" s="1766"/>
      <c r="L813" s="1766"/>
      <c r="M813" s="1766"/>
      <c r="N813" s="1781"/>
      <c r="O813" s="1766"/>
      <c r="P813" s="1766"/>
      <c r="Q813" s="1766"/>
      <c r="R813" s="1766"/>
      <c r="S813" s="1696"/>
      <c r="T813" s="1696"/>
      <c r="U813" s="1772"/>
      <c r="V813" s="1696"/>
      <c r="W813" s="1772"/>
      <c r="X813" s="1696"/>
      <c r="Y813" s="1696"/>
      <c r="Z813" s="1773"/>
    </row>
    <row r="814">
      <c r="A814" s="1765"/>
      <c r="B814" s="1782"/>
      <c r="C814" s="1765"/>
      <c r="D814" s="1765"/>
      <c r="E814" s="1765"/>
      <c r="F814" s="1765"/>
      <c r="G814" s="1765"/>
      <c r="H814" s="1765"/>
      <c r="I814" s="1765"/>
      <c r="J814" s="1765"/>
      <c r="K814" s="1765"/>
      <c r="L814" s="1765"/>
      <c r="M814" s="1765"/>
      <c r="N814" s="1765"/>
      <c r="O814" s="1765"/>
      <c r="P814" s="1765"/>
      <c r="Q814" s="1766"/>
      <c r="R814" s="1766"/>
      <c r="S814" s="1696"/>
      <c r="T814" s="1696"/>
      <c r="U814" s="1772"/>
      <c r="V814" s="1696"/>
      <c r="W814" s="1772"/>
      <c r="X814" s="1696"/>
      <c r="Y814" s="1696"/>
      <c r="Z814" s="1773"/>
    </row>
    <row r="815">
      <c r="A815" s="1771"/>
      <c r="B815" s="1777"/>
      <c r="C815" s="1771"/>
      <c r="D815" s="1771"/>
      <c r="E815" s="1771"/>
      <c r="F815" s="1771"/>
      <c r="G815" s="1770"/>
      <c r="H815" s="1771"/>
      <c r="I815" s="1778"/>
      <c r="J815" s="1771"/>
      <c r="K815" s="1771"/>
      <c r="L815" s="1771"/>
      <c r="M815" s="1771"/>
      <c r="N815" s="1779"/>
      <c r="O815" s="1770"/>
      <c r="P815" s="1771"/>
      <c r="Q815" s="1766"/>
      <c r="R815" s="1766"/>
      <c r="S815" s="1696"/>
      <c r="T815" s="1696"/>
      <c r="U815" s="1772"/>
      <c r="V815" s="1696"/>
      <c r="W815" s="1772"/>
      <c r="X815" s="1696"/>
      <c r="Y815" s="1696"/>
      <c r="Z815" s="1773"/>
    </row>
    <row r="816">
      <c r="A816" s="1766"/>
      <c r="B816" s="1780"/>
      <c r="C816" s="1766"/>
      <c r="D816" s="1766"/>
      <c r="E816" s="1766"/>
      <c r="F816" s="1766"/>
      <c r="G816" s="1766"/>
      <c r="H816" s="1766"/>
      <c r="I816" s="1766"/>
      <c r="J816" s="1766"/>
      <c r="K816" s="1766"/>
      <c r="L816" s="1766"/>
      <c r="M816" s="1766"/>
      <c r="N816" s="1781"/>
      <c r="O816" s="1766"/>
      <c r="P816" s="1766"/>
      <c r="Q816" s="1766"/>
      <c r="R816" s="1766"/>
      <c r="S816" s="1696"/>
      <c r="T816" s="1696"/>
      <c r="U816" s="1772"/>
      <c r="V816" s="1696"/>
      <c r="W816" s="1772"/>
      <c r="X816" s="1696"/>
      <c r="Y816" s="1696"/>
      <c r="Z816" s="1773"/>
    </row>
    <row r="817">
      <c r="A817" s="1765"/>
      <c r="B817" s="1782"/>
      <c r="C817" s="1765"/>
      <c r="D817" s="1765"/>
      <c r="E817" s="1765"/>
      <c r="F817" s="1765"/>
      <c r="G817" s="1765"/>
      <c r="H817" s="1765"/>
      <c r="I817" s="1765"/>
      <c r="J817" s="1765"/>
      <c r="K817" s="1765"/>
      <c r="L817" s="1765"/>
      <c r="M817" s="1765"/>
      <c r="N817" s="1765"/>
      <c r="O817" s="1765"/>
      <c r="P817" s="1765"/>
      <c r="Q817" s="1766"/>
      <c r="R817" s="1766"/>
      <c r="S817" s="1696"/>
      <c r="T817" s="1696"/>
      <c r="U817" s="1772"/>
      <c r="V817" s="1696"/>
      <c r="W817" s="1772"/>
      <c r="X817" s="1696"/>
      <c r="Y817" s="1696"/>
      <c r="Z817" s="1773"/>
    </row>
    <row r="818">
      <c r="A818" s="1771"/>
      <c r="B818" s="1777"/>
      <c r="C818" s="1771"/>
      <c r="D818" s="1771"/>
      <c r="E818" s="1771"/>
      <c r="F818" s="1771"/>
      <c r="G818" s="1770"/>
      <c r="H818" s="1771"/>
      <c r="I818" s="1778"/>
      <c r="J818" s="1771"/>
      <c r="K818" s="1771"/>
      <c r="L818" s="1771"/>
      <c r="M818" s="1771"/>
      <c r="N818" s="1779"/>
      <c r="O818" s="1770"/>
      <c r="P818" s="1771"/>
      <c r="Q818" s="1766"/>
      <c r="R818" s="1766"/>
      <c r="S818" s="1696"/>
      <c r="T818" s="1696"/>
      <c r="U818" s="1772"/>
      <c r="V818" s="1696"/>
      <c r="W818" s="1772"/>
      <c r="X818" s="1696"/>
      <c r="Y818" s="1696"/>
      <c r="Z818" s="1773"/>
    </row>
    <row r="819">
      <c r="A819" s="1766"/>
      <c r="B819" s="1780"/>
      <c r="C819" s="1766"/>
      <c r="D819" s="1766"/>
      <c r="E819" s="1766"/>
      <c r="F819" s="1766"/>
      <c r="G819" s="1766"/>
      <c r="H819" s="1766"/>
      <c r="I819" s="1766"/>
      <c r="J819" s="1766"/>
      <c r="K819" s="1766"/>
      <c r="L819" s="1766"/>
      <c r="M819" s="1766"/>
      <c r="N819" s="1781"/>
      <c r="O819" s="1766"/>
      <c r="P819" s="1766"/>
      <c r="Q819" s="1766"/>
      <c r="R819" s="1766"/>
      <c r="S819" s="1696"/>
      <c r="T819" s="1696"/>
      <c r="U819" s="1772"/>
      <c r="V819" s="1696"/>
      <c r="W819" s="1772"/>
      <c r="X819" s="1696"/>
      <c r="Y819" s="1696"/>
      <c r="Z819" s="1773"/>
    </row>
    <row r="820">
      <c r="A820" s="1765"/>
      <c r="B820" s="1782"/>
      <c r="C820" s="1765"/>
      <c r="D820" s="1765"/>
      <c r="E820" s="1765"/>
      <c r="F820" s="1765"/>
      <c r="G820" s="1765"/>
      <c r="H820" s="1765"/>
      <c r="I820" s="1765"/>
      <c r="J820" s="1765"/>
      <c r="K820" s="1765"/>
      <c r="L820" s="1765"/>
      <c r="M820" s="1765"/>
      <c r="N820" s="1765"/>
      <c r="O820" s="1765"/>
      <c r="P820" s="1765"/>
      <c r="Q820" s="1766"/>
      <c r="R820" s="1766"/>
      <c r="S820" s="1696"/>
      <c r="T820" s="1696"/>
      <c r="U820" s="1772"/>
      <c r="V820" s="1696"/>
      <c r="W820" s="1772"/>
      <c r="X820" s="1696"/>
      <c r="Y820" s="1696"/>
      <c r="Z820" s="1773"/>
    </row>
    <row r="821">
      <c r="A821" s="1771"/>
      <c r="B821" s="1777"/>
      <c r="C821" s="1771"/>
      <c r="D821" s="1771"/>
      <c r="E821" s="1771"/>
      <c r="F821" s="1771"/>
      <c r="G821" s="1770"/>
      <c r="H821" s="1771"/>
      <c r="I821" s="1778"/>
      <c r="J821" s="1771"/>
      <c r="K821" s="1771"/>
      <c r="L821" s="1771"/>
      <c r="M821" s="1771"/>
      <c r="N821" s="1779"/>
      <c r="O821" s="1770"/>
      <c r="P821" s="1771"/>
      <c r="Q821" s="1766"/>
      <c r="R821" s="1766"/>
      <c r="S821" s="1696"/>
      <c r="T821" s="1696"/>
      <c r="U821" s="1772"/>
      <c r="V821" s="1696"/>
      <c r="W821" s="1772"/>
      <c r="X821" s="1696"/>
      <c r="Y821" s="1696"/>
      <c r="Z821" s="1773"/>
    </row>
    <row r="822">
      <c r="A822" s="1766"/>
      <c r="B822" s="1780"/>
      <c r="C822" s="1766"/>
      <c r="D822" s="1766"/>
      <c r="E822" s="1766"/>
      <c r="F822" s="1766"/>
      <c r="G822" s="1766"/>
      <c r="H822" s="1766"/>
      <c r="I822" s="1766"/>
      <c r="J822" s="1766"/>
      <c r="K822" s="1766"/>
      <c r="L822" s="1766"/>
      <c r="M822" s="1766"/>
      <c r="N822" s="1781"/>
      <c r="O822" s="1766"/>
      <c r="P822" s="1766"/>
      <c r="Q822" s="1766"/>
      <c r="R822" s="1766"/>
      <c r="S822" s="1696"/>
      <c r="T822" s="1696"/>
      <c r="U822" s="1772"/>
      <c r="V822" s="1696"/>
      <c r="W822" s="1772"/>
      <c r="X822" s="1696"/>
      <c r="Y822" s="1696"/>
      <c r="Z822" s="1773"/>
    </row>
    <row r="823">
      <c r="A823" s="1765"/>
      <c r="B823" s="1782"/>
      <c r="C823" s="1765"/>
      <c r="D823" s="1765"/>
      <c r="E823" s="1765"/>
      <c r="F823" s="1765"/>
      <c r="G823" s="1765"/>
      <c r="H823" s="1765"/>
      <c r="I823" s="1765"/>
      <c r="J823" s="1765"/>
      <c r="K823" s="1765"/>
      <c r="L823" s="1765"/>
      <c r="M823" s="1765"/>
      <c r="N823" s="1765"/>
      <c r="O823" s="1765"/>
      <c r="P823" s="1765"/>
      <c r="Q823" s="1766"/>
      <c r="R823" s="1766"/>
      <c r="S823" s="1696"/>
      <c r="U823" s="1772"/>
      <c r="V823" s="1696"/>
      <c r="W823" s="1772"/>
      <c r="X823" s="1696"/>
      <c r="Y823" s="1696"/>
      <c r="Z823" s="1696"/>
    </row>
    <row r="824">
      <c r="A824" s="1771"/>
      <c r="B824" s="1777"/>
      <c r="C824" s="1771"/>
      <c r="D824" s="1771"/>
      <c r="E824" s="1771"/>
      <c r="F824" s="1771"/>
      <c r="G824" s="1770"/>
      <c r="H824" s="1771"/>
      <c r="I824" s="1770"/>
      <c r="J824" s="1771"/>
      <c r="K824" s="1771"/>
      <c r="L824" s="1771"/>
      <c r="M824" s="1771"/>
      <c r="N824" s="1779"/>
      <c r="O824" s="1770"/>
      <c r="P824" s="1771"/>
      <c r="Q824" s="1766"/>
      <c r="R824" s="1766"/>
      <c r="S824" s="1696"/>
      <c r="T824" s="1696"/>
      <c r="U824" s="1772"/>
      <c r="V824" s="1696"/>
      <c r="W824" s="1772"/>
      <c r="X824" s="1696"/>
      <c r="Y824" s="1696"/>
      <c r="Z824" s="1773"/>
    </row>
    <row r="825">
      <c r="A825" s="1766"/>
      <c r="B825" s="1780"/>
      <c r="C825" s="1766"/>
      <c r="D825" s="1766"/>
      <c r="E825" s="1766"/>
      <c r="F825" s="1766"/>
      <c r="G825" s="1766"/>
      <c r="H825" s="1766"/>
      <c r="I825" s="1766"/>
      <c r="J825" s="1766"/>
      <c r="K825" s="1766"/>
      <c r="L825" s="1766"/>
      <c r="M825" s="1766"/>
      <c r="N825" s="1781"/>
      <c r="O825" s="1766"/>
      <c r="P825" s="1766"/>
      <c r="Q825" s="1766"/>
      <c r="R825" s="1766"/>
      <c r="S825" s="1696"/>
      <c r="T825" s="1696"/>
      <c r="U825" s="1772"/>
      <c r="V825" s="1696"/>
      <c r="W825" s="1772"/>
      <c r="X825" s="1696"/>
      <c r="Y825" s="1696"/>
      <c r="Z825" s="1773"/>
    </row>
    <row r="826">
      <c r="A826" s="1765"/>
      <c r="B826" s="1782"/>
      <c r="C826" s="1765"/>
      <c r="D826" s="1765"/>
      <c r="E826" s="1765"/>
      <c r="F826" s="1765"/>
      <c r="G826" s="1765"/>
      <c r="H826" s="1765"/>
      <c r="I826" s="1765"/>
      <c r="J826" s="1765"/>
      <c r="K826" s="1765"/>
      <c r="L826" s="1765"/>
      <c r="M826" s="1765"/>
      <c r="N826" s="1765"/>
      <c r="O826" s="1765"/>
      <c r="P826" s="1765"/>
      <c r="Q826" s="1766"/>
      <c r="R826" s="1766"/>
      <c r="S826" s="1696"/>
      <c r="T826" s="1696"/>
      <c r="U826" s="1772"/>
      <c r="V826" s="1696"/>
      <c r="W826" s="1772"/>
      <c r="X826" s="1696"/>
      <c r="Y826" s="1696"/>
      <c r="Z826" s="1773"/>
    </row>
    <row r="827">
      <c r="A827" s="1771"/>
      <c r="B827" s="1777"/>
      <c r="C827" s="1771"/>
      <c r="D827" s="1771"/>
      <c r="E827" s="1771"/>
      <c r="F827" s="1771"/>
      <c r="G827" s="1771"/>
      <c r="H827" s="1771"/>
      <c r="I827" s="1778"/>
      <c r="J827" s="1771"/>
      <c r="K827" s="1771"/>
      <c r="L827" s="1771"/>
      <c r="M827" s="1771"/>
      <c r="N827" s="1779"/>
      <c r="O827" s="1770"/>
      <c r="P827" s="1771"/>
      <c r="Q827" s="1766"/>
      <c r="R827" s="1766"/>
      <c r="S827" s="1696"/>
      <c r="T827" s="1696"/>
      <c r="U827" s="1772"/>
      <c r="V827" s="1696"/>
      <c r="W827" s="1772"/>
      <c r="X827" s="1696"/>
      <c r="Y827" s="1696"/>
      <c r="Z827" s="1773"/>
    </row>
    <row r="828">
      <c r="A828" s="1766"/>
      <c r="B828" s="1780"/>
      <c r="C828" s="1766"/>
      <c r="D828" s="1766"/>
      <c r="E828" s="1766"/>
      <c r="F828" s="1766"/>
      <c r="G828" s="1766"/>
      <c r="H828" s="1766"/>
      <c r="I828" s="1766"/>
      <c r="J828" s="1766"/>
      <c r="K828" s="1766"/>
      <c r="L828" s="1766"/>
      <c r="M828" s="1766"/>
      <c r="N828" s="1781"/>
      <c r="O828" s="1766"/>
      <c r="P828" s="1766"/>
      <c r="Q828" s="1766"/>
      <c r="R828" s="1766"/>
      <c r="S828" s="1696"/>
      <c r="T828" s="1696"/>
      <c r="U828" s="1772"/>
      <c r="V828" s="1696"/>
      <c r="W828" s="1772"/>
      <c r="X828" s="1696"/>
      <c r="Y828" s="1696"/>
      <c r="Z828" s="1773"/>
    </row>
    <row r="829">
      <c r="A829" s="1765"/>
      <c r="B829" s="1782"/>
      <c r="C829" s="1765"/>
      <c r="D829" s="1765"/>
      <c r="E829" s="1765"/>
      <c r="F829" s="1765"/>
      <c r="G829" s="1765"/>
      <c r="H829" s="1765"/>
      <c r="I829" s="1765"/>
      <c r="J829" s="1765"/>
      <c r="K829" s="1765"/>
      <c r="L829" s="1765"/>
      <c r="M829" s="1765"/>
      <c r="N829" s="1765"/>
      <c r="O829" s="1765"/>
      <c r="P829" s="1765"/>
      <c r="Q829" s="1766"/>
      <c r="R829" s="1766"/>
      <c r="S829" s="1696"/>
      <c r="T829" s="1696"/>
      <c r="U829" s="1772"/>
      <c r="V829" s="1696"/>
      <c r="W829" s="1772"/>
      <c r="X829" s="1696"/>
      <c r="Y829" s="1696"/>
      <c r="Z829" s="1773"/>
    </row>
    <row r="830">
      <c r="A830" s="1771"/>
      <c r="B830" s="1777"/>
      <c r="C830" s="1771"/>
      <c r="D830" s="1771"/>
      <c r="E830" s="1771"/>
      <c r="F830" s="1771"/>
      <c r="G830" s="1770"/>
      <c r="H830" s="1771"/>
      <c r="I830" s="1770"/>
      <c r="J830" s="1771"/>
      <c r="K830" s="1771"/>
      <c r="L830" s="1771"/>
      <c r="M830" s="1771"/>
      <c r="N830" s="1779"/>
      <c r="O830" s="1770"/>
      <c r="P830" s="1771"/>
      <c r="Q830" s="1766"/>
      <c r="R830" s="1766"/>
      <c r="S830" s="1696"/>
      <c r="T830" s="1696"/>
      <c r="U830" s="1772"/>
      <c r="V830" s="1696"/>
      <c r="W830" s="1772"/>
      <c r="X830" s="1696"/>
      <c r="Y830" s="1696"/>
      <c r="Z830" s="1773"/>
    </row>
    <row r="831">
      <c r="A831" s="1766"/>
      <c r="B831" s="1780"/>
      <c r="C831" s="1766"/>
      <c r="D831" s="1766"/>
      <c r="E831" s="1766"/>
      <c r="F831" s="1766"/>
      <c r="G831" s="1766"/>
      <c r="H831" s="1766"/>
      <c r="I831" s="1766"/>
      <c r="J831" s="1766"/>
      <c r="K831" s="1766"/>
      <c r="L831" s="1766"/>
      <c r="M831" s="1766"/>
      <c r="N831" s="1781"/>
      <c r="O831" s="1766"/>
      <c r="P831" s="1766"/>
      <c r="Q831" s="1766"/>
      <c r="R831" s="1766"/>
      <c r="S831" s="1696"/>
      <c r="T831" s="1696"/>
      <c r="U831" s="1772"/>
      <c r="V831" s="1696"/>
      <c r="W831" s="1772"/>
      <c r="X831" s="1696"/>
      <c r="Y831" s="1696"/>
      <c r="Z831" s="1773"/>
    </row>
    <row r="832">
      <c r="A832" s="1765"/>
      <c r="B832" s="1782"/>
      <c r="C832" s="1765"/>
      <c r="D832" s="1765"/>
      <c r="E832" s="1765"/>
      <c r="F832" s="1765"/>
      <c r="G832" s="1765"/>
      <c r="H832" s="1765"/>
      <c r="I832" s="1765"/>
      <c r="J832" s="1765"/>
      <c r="K832" s="1765"/>
      <c r="L832" s="1765"/>
      <c r="M832" s="1765"/>
      <c r="N832" s="1765"/>
      <c r="O832" s="1765"/>
      <c r="P832" s="1765"/>
      <c r="Q832" s="1766"/>
      <c r="R832" s="1766"/>
      <c r="S832" s="1696"/>
      <c r="T832" s="1696"/>
      <c r="U832" s="1772"/>
      <c r="V832" s="1696"/>
      <c r="W832" s="1772"/>
      <c r="X832" s="1696"/>
      <c r="Y832" s="1696"/>
      <c r="Z832" s="1773"/>
    </row>
    <row r="833">
      <c r="A833" s="1771"/>
      <c r="B833" s="1777"/>
      <c r="C833" s="1771"/>
      <c r="D833" s="1771"/>
      <c r="E833" s="1771"/>
      <c r="F833" s="1771"/>
      <c r="G833" s="1770"/>
      <c r="H833" s="1771"/>
      <c r="I833" s="1770"/>
      <c r="J833" s="1771"/>
      <c r="K833" s="1771"/>
      <c r="L833" s="1771"/>
      <c r="M833" s="1771"/>
      <c r="N833" s="1779"/>
      <c r="O833" s="1770"/>
      <c r="P833" s="1771"/>
      <c r="Q833" s="1766"/>
      <c r="R833" s="1766"/>
      <c r="S833" s="1696"/>
      <c r="T833" s="1696"/>
      <c r="U833" s="1772"/>
      <c r="V833" s="1696"/>
      <c r="W833" s="1772"/>
      <c r="X833" s="1696"/>
      <c r="Y833" s="1696"/>
      <c r="Z833" s="1773"/>
    </row>
    <row r="834">
      <c r="A834" s="1766"/>
      <c r="B834" s="1780"/>
      <c r="C834" s="1766"/>
      <c r="D834" s="1766"/>
      <c r="E834" s="1766"/>
      <c r="F834" s="1766"/>
      <c r="G834" s="1766"/>
      <c r="H834" s="1766"/>
      <c r="I834" s="1766"/>
      <c r="J834" s="1766"/>
      <c r="K834" s="1766"/>
      <c r="L834" s="1766"/>
      <c r="M834" s="1766"/>
      <c r="N834" s="1781"/>
      <c r="O834" s="1766"/>
      <c r="P834" s="1766"/>
      <c r="Q834" s="1766"/>
      <c r="R834" s="1766"/>
      <c r="S834" s="1696"/>
      <c r="T834" s="1696"/>
      <c r="U834" s="1772"/>
      <c r="V834" s="1696"/>
      <c r="W834" s="1772"/>
      <c r="X834" s="1696"/>
      <c r="Y834" s="1696"/>
      <c r="Z834" s="1696"/>
    </row>
    <row r="835">
      <c r="A835" s="1765"/>
      <c r="B835" s="1782"/>
      <c r="C835" s="1765"/>
      <c r="D835" s="1765"/>
      <c r="E835" s="1765"/>
      <c r="F835" s="1765"/>
      <c r="G835" s="1765"/>
      <c r="H835" s="1765"/>
      <c r="I835" s="1765"/>
      <c r="J835" s="1765"/>
      <c r="K835" s="1765"/>
      <c r="L835" s="1765"/>
      <c r="M835" s="1765"/>
      <c r="N835" s="1765"/>
      <c r="O835" s="1765"/>
      <c r="P835" s="1765"/>
      <c r="Q835" s="1766"/>
      <c r="R835" s="1766"/>
      <c r="S835" s="1696"/>
      <c r="T835" s="1696"/>
      <c r="U835" s="1772"/>
      <c r="V835" s="1696"/>
      <c r="W835" s="1772"/>
      <c r="X835" s="1696"/>
      <c r="Y835" s="1696"/>
      <c r="Z835" s="1773"/>
    </row>
    <row r="836">
      <c r="A836" s="1771"/>
      <c r="B836" s="1777"/>
      <c r="C836" s="1771"/>
      <c r="D836" s="1771"/>
      <c r="E836" s="1770"/>
      <c r="F836" s="1771"/>
      <c r="G836" s="1771"/>
      <c r="H836" s="1771"/>
      <c r="I836" s="1770"/>
      <c r="J836" s="1771"/>
      <c r="K836" s="1771"/>
      <c r="L836" s="1771"/>
      <c r="M836" s="1771"/>
      <c r="N836" s="1779"/>
      <c r="O836" s="1770"/>
      <c r="P836" s="1771"/>
      <c r="Q836" s="1766"/>
      <c r="R836" s="1766"/>
      <c r="S836" s="1696"/>
      <c r="T836" s="1696"/>
      <c r="U836" s="1772"/>
      <c r="V836" s="1696"/>
      <c r="W836" s="1772"/>
      <c r="X836" s="1696"/>
      <c r="Y836" s="1696"/>
      <c r="Z836" s="1773"/>
    </row>
    <row r="837">
      <c r="A837" s="1766"/>
      <c r="B837" s="1780"/>
      <c r="C837" s="1766"/>
      <c r="D837" s="1766"/>
      <c r="E837" s="1766"/>
      <c r="F837" s="1766"/>
      <c r="G837" s="1766"/>
      <c r="H837" s="1766"/>
      <c r="I837" s="1766"/>
      <c r="J837" s="1766"/>
      <c r="K837" s="1766"/>
      <c r="L837" s="1766"/>
      <c r="M837" s="1766"/>
      <c r="N837" s="1781"/>
      <c r="O837" s="1766"/>
      <c r="P837" s="1766"/>
      <c r="Q837" s="1766"/>
      <c r="R837" s="1766"/>
      <c r="S837" s="1696"/>
      <c r="T837" s="1696"/>
      <c r="U837" s="1772"/>
      <c r="V837" s="1696"/>
      <c r="W837" s="1772"/>
      <c r="X837" s="1696"/>
      <c r="Y837" s="1696"/>
      <c r="Z837" s="1773"/>
    </row>
    <row r="838">
      <c r="A838" s="1765"/>
      <c r="B838" s="1782"/>
      <c r="C838" s="1765"/>
      <c r="D838" s="1765"/>
      <c r="E838" s="1765"/>
      <c r="F838" s="1765"/>
      <c r="G838" s="1765"/>
      <c r="H838" s="1765"/>
      <c r="I838" s="1765"/>
      <c r="J838" s="1765"/>
      <c r="K838" s="1765"/>
      <c r="L838" s="1765"/>
      <c r="M838" s="1765"/>
      <c r="N838" s="1765"/>
      <c r="O838" s="1765"/>
      <c r="P838" s="1765"/>
      <c r="Q838" s="1766"/>
      <c r="R838" s="1766"/>
      <c r="S838" s="1696"/>
      <c r="T838" s="1696"/>
      <c r="U838" s="1772"/>
      <c r="V838" s="1696"/>
      <c r="W838" s="1772"/>
      <c r="X838" s="1696"/>
      <c r="Y838" s="1696"/>
      <c r="Z838" s="1773"/>
    </row>
    <row r="839">
      <c r="A839" s="1771"/>
      <c r="B839" s="1777"/>
      <c r="C839" s="1771"/>
      <c r="D839" s="1771"/>
      <c r="E839" s="1771"/>
      <c r="F839" s="1771"/>
      <c r="G839" s="1770"/>
      <c r="H839" s="1771"/>
      <c r="I839" s="1770"/>
      <c r="J839" s="1771"/>
      <c r="K839" s="1771"/>
      <c r="L839" s="1771"/>
      <c r="M839" s="1771"/>
      <c r="N839" s="1779"/>
      <c r="O839" s="1770"/>
      <c r="P839" s="1771"/>
      <c r="Q839" s="1766"/>
      <c r="R839" s="1766"/>
      <c r="S839" s="1696"/>
      <c r="T839" s="1696"/>
      <c r="U839" s="1772"/>
      <c r="V839" s="1696"/>
      <c r="W839" s="1772"/>
      <c r="X839" s="1696"/>
      <c r="Y839" s="1696"/>
      <c r="Z839" s="1773"/>
    </row>
    <row r="840">
      <c r="A840" s="1766"/>
      <c r="B840" s="1780"/>
      <c r="C840" s="1766"/>
      <c r="D840" s="1766"/>
      <c r="E840" s="1766"/>
      <c r="F840" s="1766"/>
      <c r="G840" s="1766"/>
      <c r="H840" s="1766"/>
      <c r="I840" s="1766"/>
      <c r="J840" s="1766"/>
      <c r="K840" s="1766"/>
      <c r="L840" s="1766"/>
      <c r="M840" s="1766"/>
      <c r="N840" s="1781"/>
      <c r="O840" s="1766"/>
      <c r="P840" s="1766"/>
      <c r="Q840" s="1766"/>
      <c r="R840" s="1766"/>
      <c r="S840" s="1696"/>
      <c r="T840" s="1696"/>
      <c r="U840" s="1772"/>
      <c r="V840" s="1696"/>
      <c r="W840" s="1772"/>
      <c r="X840" s="1696"/>
      <c r="Y840" s="1696"/>
      <c r="Z840" s="1773"/>
    </row>
    <row r="841">
      <c r="A841" s="1765"/>
      <c r="B841" s="1782"/>
      <c r="C841" s="1765"/>
      <c r="D841" s="1765"/>
      <c r="E841" s="1765"/>
      <c r="F841" s="1765"/>
      <c r="G841" s="1765"/>
      <c r="H841" s="1765"/>
      <c r="I841" s="1765"/>
      <c r="J841" s="1765"/>
      <c r="K841" s="1765"/>
      <c r="L841" s="1765"/>
      <c r="M841" s="1765"/>
      <c r="N841" s="1765"/>
      <c r="O841" s="1765"/>
      <c r="P841" s="1765"/>
      <c r="Q841" s="1766"/>
      <c r="R841" s="1766"/>
      <c r="S841" s="1696"/>
      <c r="T841" s="1696"/>
      <c r="U841" s="1772"/>
      <c r="V841" s="1696"/>
      <c r="W841" s="1772"/>
      <c r="X841" s="1696"/>
      <c r="Y841" s="1696"/>
      <c r="Z841" s="1773"/>
    </row>
    <row r="842">
      <c r="A842" s="1771"/>
      <c r="B842" s="1777"/>
      <c r="C842" s="1771"/>
      <c r="D842" s="1771"/>
      <c r="E842" s="1771"/>
      <c r="F842" s="1771"/>
      <c r="G842" s="1771"/>
      <c r="H842" s="1771"/>
      <c r="I842" s="1778"/>
      <c r="J842" s="1771"/>
      <c r="K842" s="1771"/>
      <c r="L842" s="1771"/>
      <c r="M842" s="1771"/>
      <c r="N842" s="1779"/>
      <c r="O842" s="1770"/>
      <c r="P842" s="1771"/>
      <c r="Q842" s="1766"/>
      <c r="R842" s="1766"/>
      <c r="S842" s="1696"/>
      <c r="T842" s="1696"/>
      <c r="U842" s="1772"/>
      <c r="V842" s="1696"/>
      <c r="W842" s="1772"/>
      <c r="X842" s="1696"/>
      <c r="Y842" s="1696"/>
      <c r="Z842" s="1773"/>
    </row>
    <row r="843">
      <c r="A843" s="1766"/>
      <c r="B843" s="1780"/>
      <c r="C843" s="1766"/>
      <c r="D843" s="1766"/>
      <c r="E843" s="1766"/>
      <c r="F843" s="1766"/>
      <c r="G843" s="1766"/>
      <c r="H843" s="1766"/>
      <c r="I843" s="1766"/>
      <c r="J843" s="1766"/>
      <c r="K843" s="1766"/>
      <c r="L843" s="1766"/>
      <c r="M843" s="1766"/>
      <c r="N843" s="1781"/>
      <c r="O843" s="1766"/>
      <c r="P843" s="1766"/>
      <c r="Q843" s="1766"/>
      <c r="R843" s="1766"/>
      <c r="S843" s="1696"/>
      <c r="T843" s="1696"/>
      <c r="U843" s="1772"/>
      <c r="V843" s="1696"/>
      <c r="W843" s="1772"/>
      <c r="X843" s="1696"/>
      <c r="Y843" s="1696"/>
      <c r="Z843" s="1773"/>
    </row>
    <row r="844">
      <c r="A844" s="1765"/>
      <c r="B844" s="1782"/>
      <c r="C844" s="1765"/>
      <c r="D844" s="1765"/>
      <c r="E844" s="1765"/>
      <c r="F844" s="1765"/>
      <c r="G844" s="1765"/>
      <c r="H844" s="1765"/>
      <c r="I844" s="1765"/>
      <c r="J844" s="1765"/>
      <c r="K844" s="1765"/>
      <c r="L844" s="1765"/>
      <c r="M844" s="1765"/>
      <c r="N844" s="1765"/>
      <c r="O844" s="1765"/>
      <c r="P844" s="1765"/>
      <c r="Q844" s="1766"/>
      <c r="R844" s="1766"/>
      <c r="S844" s="1696"/>
      <c r="T844" s="1696"/>
      <c r="U844" s="1772"/>
      <c r="V844" s="1696"/>
      <c r="W844" s="1772"/>
      <c r="X844" s="1696"/>
      <c r="Y844" s="1696"/>
      <c r="Z844" s="1773"/>
    </row>
    <row r="845">
      <c r="A845" s="1771"/>
      <c r="B845" s="1777"/>
      <c r="C845" s="1771"/>
      <c r="D845" s="1771"/>
      <c r="E845" s="1771"/>
      <c r="F845" s="1771"/>
      <c r="G845" s="1771"/>
      <c r="H845" s="1771"/>
      <c r="I845" s="1778"/>
      <c r="J845" s="1771"/>
      <c r="K845" s="1771"/>
      <c r="L845" s="1771"/>
      <c r="M845" s="1771"/>
      <c r="N845" s="1770"/>
      <c r="O845" s="1770"/>
      <c r="P845" s="1771"/>
      <c r="Q845" s="1766"/>
      <c r="R845" s="1766"/>
      <c r="S845" s="1696"/>
      <c r="U845" s="1772"/>
      <c r="V845" s="1696"/>
      <c r="W845" s="1772"/>
      <c r="X845" s="1696"/>
      <c r="Y845" s="1696"/>
      <c r="Z845" s="1773"/>
    </row>
    <row r="846">
      <c r="A846" s="1766"/>
      <c r="B846" s="1780"/>
      <c r="C846" s="1766"/>
      <c r="D846" s="1766"/>
      <c r="E846" s="1766"/>
      <c r="F846" s="1766"/>
      <c r="G846" s="1766"/>
      <c r="H846" s="1766"/>
      <c r="I846" s="1766"/>
      <c r="J846" s="1766"/>
      <c r="K846" s="1766"/>
      <c r="L846" s="1766"/>
      <c r="M846" s="1766"/>
      <c r="N846" s="1781"/>
      <c r="O846" s="1766"/>
      <c r="P846" s="1766"/>
      <c r="Q846" s="1766"/>
      <c r="R846" s="1766"/>
      <c r="S846" s="1696"/>
      <c r="T846" s="1696"/>
      <c r="U846" s="1772"/>
      <c r="V846" s="1696"/>
      <c r="W846" s="1772"/>
      <c r="X846" s="1696"/>
      <c r="Y846" s="1696"/>
      <c r="Z846" s="1773"/>
    </row>
    <row r="847">
      <c r="A847" s="1765"/>
      <c r="B847" s="1782"/>
      <c r="C847" s="1765"/>
      <c r="D847" s="1765"/>
      <c r="E847" s="1765"/>
      <c r="F847" s="1765"/>
      <c r="G847" s="1765"/>
      <c r="H847" s="1765"/>
      <c r="I847" s="1765"/>
      <c r="J847" s="1765"/>
      <c r="K847" s="1765"/>
      <c r="L847" s="1765"/>
      <c r="M847" s="1765"/>
      <c r="N847" s="1765"/>
      <c r="O847" s="1765"/>
      <c r="P847" s="1765"/>
      <c r="Q847" s="1766"/>
      <c r="R847" s="1766"/>
      <c r="S847" s="1696"/>
      <c r="T847" s="1696"/>
      <c r="U847" s="1772"/>
      <c r="V847" s="1696"/>
      <c r="W847" s="1772"/>
      <c r="X847" s="1696"/>
      <c r="Y847" s="1696"/>
      <c r="Z847" s="1773"/>
    </row>
    <row r="848">
      <c r="A848" s="1771"/>
      <c r="B848" s="1777"/>
      <c r="C848" s="1771"/>
      <c r="D848" s="1771"/>
      <c r="E848" s="1771"/>
      <c r="F848" s="1771"/>
      <c r="G848" s="1770"/>
      <c r="H848" s="1771"/>
      <c r="I848" s="1778"/>
      <c r="J848" s="1771"/>
      <c r="K848" s="1771"/>
      <c r="L848" s="1771"/>
      <c r="M848" s="1771"/>
      <c r="N848" s="1779"/>
      <c r="O848" s="1770"/>
      <c r="P848" s="1771"/>
      <c r="Q848" s="1766"/>
      <c r="R848" s="1766"/>
      <c r="S848" s="1696"/>
      <c r="T848" s="1696"/>
      <c r="U848" s="1772"/>
      <c r="V848" s="1696"/>
      <c r="W848" s="1772"/>
      <c r="X848" s="1696"/>
      <c r="Y848" s="1696"/>
      <c r="Z848" s="1773"/>
    </row>
    <row r="849">
      <c r="A849" s="1766"/>
      <c r="B849" s="1780"/>
      <c r="C849" s="1766"/>
      <c r="D849" s="1766"/>
      <c r="E849" s="1766"/>
      <c r="F849" s="1766"/>
      <c r="G849" s="1766"/>
      <c r="H849" s="1766"/>
      <c r="I849" s="1766"/>
      <c r="J849" s="1766"/>
      <c r="K849" s="1766"/>
      <c r="L849" s="1766"/>
      <c r="M849" s="1766"/>
      <c r="N849" s="1781"/>
      <c r="O849" s="1766"/>
      <c r="P849" s="1766"/>
      <c r="Q849" s="1766"/>
      <c r="R849" s="1766"/>
      <c r="S849" s="1696"/>
      <c r="T849" s="1696"/>
      <c r="U849" s="1772"/>
      <c r="V849" s="1696"/>
      <c r="W849" s="1772"/>
      <c r="X849" s="1696"/>
      <c r="Y849" s="1696"/>
      <c r="Z849" s="1773"/>
    </row>
    <row r="850">
      <c r="A850" s="1765"/>
      <c r="B850" s="1782"/>
      <c r="C850" s="1765"/>
      <c r="D850" s="1765"/>
      <c r="E850" s="1765"/>
      <c r="F850" s="1765"/>
      <c r="G850" s="1765"/>
      <c r="H850" s="1765"/>
      <c r="I850" s="1765"/>
      <c r="J850" s="1765"/>
      <c r="K850" s="1765"/>
      <c r="L850" s="1765"/>
      <c r="M850" s="1765"/>
      <c r="N850" s="1765"/>
      <c r="O850" s="1765"/>
      <c r="P850" s="1765"/>
      <c r="Q850" s="1766"/>
      <c r="R850" s="1766"/>
      <c r="S850" s="1696"/>
      <c r="T850" s="1696"/>
      <c r="U850" s="1772"/>
      <c r="V850" s="1696"/>
      <c r="W850" s="1772"/>
      <c r="X850" s="1696"/>
      <c r="Y850" s="1696"/>
      <c r="Z850" s="1773"/>
    </row>
    <row r="851">
      <c r="A851" s="1771"/>
      <c r="B851" s="1777"/>
      <c r="C851" s="1771"/>
      <c r="D851" s="1771"/>
      <c r="E851" s="1771"/>
      <c r="F851" s="1771"/>
      <c r="G851" s="1770"/>
      <c r="H851" s="1771"/>
      <c r="I851" s="1778"/>
      <c r="J851" s="1771"/>
      <c r="K851" s="1771"/>
      <c r="L851" s="1771"/>
      <c r="M851" s="1771"/>
      <c r="N851" s="1779"/>
      <c r="O851" s="1770"/>
      <c r="P851" s="1771"/>
      <c r="Q851" s="1766"/>
      <c r="R851" s="1766"/>
      <c r="S851" s="1696"/>
      <c r="T851" s="1696"/>
      <c r="U851" s="1772"/>
      <c r="V851" s="1696"/>
      <c r="W851" s="1772"/>
      <c r="X851" s="1696"/>
      <c r="Y851" s="1696"/>
      <c r="Z851" s="1773"/>
    </row>
    <row r="852">
      <c r="A852" s="1766"/>
      <c r="B852" s="1780"/>
      <c r="C852" s="1766"/>
      <c r="D852" s="1766"/>
      <c r="E852" s="1766"/>
      <c r="F852" s="1766"/>
      <c r="G852" s="1766"/>
      <c r="H852" s="1766"/>
      <c r="I852" s="1766"/>
      <c r="J852" s="1766"/>
      <c r="K852" s="1766"/>
      <c r="L852" s="1766"/>
      <c r="M852" s="1766"/>
      <c r="N852" s="1781"/>
      <c r="O852" s="1766"/>
      <c r="P852" s="1766"/>
      <c r="Q852" s="1766"/>
      <c r="R852" s="1766"/>
      <c r="S852" s="1696"/>
      <c r="T852" s="1696"/>
      <c r="U852" s="1772"/>
      <c r="V852" s="1696"/>
      <c r="W852" s="1772"/>
      <c r="X852" s="1696"/>
      <c r="Y852" s="1696"/>
      <c r="Z852" s="1773"/>
    </row>
    <row r="853">
      <c r="A853" s="1765"/>
      <c r="B853" s="1782"/>
      <c r="C853" s="1765"/>
      <c r="D853" s="1765"/>
      <c r="E853" s="1765"/>
      <c r="F853" s="1765"/>
      <c r="G853" s="1765"/>
      <c r="H853" s="1765"/>
      <c r="I853" s="1765"/>
      <c r="J853" s="1765"/>
      <c r="K853" s="1765"/>
      <c r="L853" s="1765"/>
      <c r="M853" s="1765"/>
      <c r="N853" s="1765"/>
      <c r="O853" s="1765"/>
      <c r="P853" s="1765"/>
      <c r="Q853" s="1766"/>
      <c r="R853" s="1766"/>
      <c r="S853" s="1696"/>
      <c r="T853" s="1696"/>
      <c r="U853" s="1772"/>
      <c r="V853" s="1696"/>
      <c r="W853" s="1772"/>
      <c r="X853" s="1696"/>
      <c r="Y853" s="1696"/>
      <c r="Z853" s="1773"/>
    </row>
    <row r="854">
      <c r="A854" s="1771"/>
      <c r="B854" s="1777"/>
      <c r="C854" s="1771"/>
      <c r="D854" s="1771"/>
      <c r="E854" s="1771"/>
      <c r="F854" s="1771"/>
      <c r="G854" s="1771"/>
      <c r="H854" s="1771"/>
      <c r="I854" s="1770"/>
      <c r="J854" s="1771"/>
      <c r="K854" s="1771"/>
      <c r="L854" s="1771"/>
      <c r="M854" s="1771"/>
      <c r="N854" s="1779"/>
      <c r="O854" s="1770"/>
      <c r="P854" s="1771"/>
      <c r="Q854" s="1766"/>
      <c r="R854" s="1766"/>
      <c r="S854" s="1696"/>
      <c r="T854" s="1696"/>
      <c r="U854" s="1772"/>
      <c r="V854" s="1696"/>
      <c r="W854" s="1772"/>
      <c r="X854" s="1696"/>
      <c r="Y854" s="1696"/>
      <c r="Z854" s="1773"/>
    </row>
    <row r="855">
      <c r="A855" s="1766"/>
      <c r="B855" s="1780"/>
      <c r="C855" s="1766"/>
      <c r="D855" s="1766"/>
      <c r="E855" s="1766"/>
      <c r="F855" s="1766"/>
      <c r="G855" s="1766"/>
      <c r="H855" s="1766"/>
      <c r="I855" s="1766"/>
      <c r="J855" s="1766"/>
      <c r="K855" s="1766"/>
      <c r="L855" s="1766"/>
      <c r="M855" s="1766"/>
      <c r="N855" s="1781"/>
      <c r="O855" s="1766"/>
      <c r="P855" s="1766"/>
      <c r="Q855" s="1766"/>
      <c r="R855" s="1766"/>
      <c r="S855" s="1696"/>
      <c r="T855" s="1696"/>
      <c r="U855" s="1772"/>
      <c r="V855" s="1696"/>
      <c r="W855" s="1772"/>
      <c r="X855" s="1696"/>
      <c r="Y855" s="1696"/>
      <c r="Z855" s="1773"/>
    </row>
    <row r="856">
      <c r="A856" s="1765"/>
      <c r="B856" s="1782"/>
      <c r="C856" s="1765"/>
      <c r="D856" s="1765"/>
      <c r="E856" s="1765"/>
      <c r="F856" s="1765"/>
      <c r="G856" s="1765"/>
      <c r="H856" s="1765"/>
      <c r="I856" s="1765"/>
      <c r="J856" s="1765"/>
      <c r="K856" s="1765"/>
      <c r="L856" s="1765"/>
      <c r="M856" s="1765"/>
      <c r="N856" s="1765"/>
      <c r="O856" s="1765"/>
      <c r="P856" s="1765"/>
      <c r="Q856" s="1766"/>
      <c r="R856" s="1766"/>
      <c r="S856" s="1696"/>
      <c r="U856" s="1772"/>
      <c r="V856" s="1696"/>
      <c r="W856" s="1772"/>
      <c r="X856" s="1696"/>
      <c r="Y856" s="1696"/>
      <c r="Z856" s="1773"/>
    </row>
    <row r="857">
      <c r="A857" s="1771"/>
      <c r="B857" s="1777"/>
      <c r="C857" s="1771"/>
      <c r="D857" s="1771"/>
      <c r="E857" s="1771"/>
      <c r="F857" s="1771"/>
      <c r="G857" s="1770"/>
      <c r="H857" s="1771"/>
      <c r="I857" s="1770"/>
      <c r="J857" s="1771"/>
      <c r="K857" s="1771"/>
      <c r="L857" s="1771"/>
      <c r="M857" s="1771"/>
      <c r="N857" s="1779"/>
      <c r="O857" s="1770"/>
      <c r="P857" s="1771"/>
      <c r="Q857" s="1766"/>
      <c r="R857" s="1766"/>
      <c r="S857" s="1696"/>
      <c r="T857" s="1696"/>
      <c r="U857" s="1772"/>
      <c r="V857" s="1696"/>
      <c r="W857" s="1772"/>
      <c r="X857" s="1696"/>
      <c r="Y857" s="1696"/>
      <c r="Z857" s="1773"/>
    </row>
    <row r="858">
      <c r="A858" s="1766"/>
      <c r="B858" s="1780"/>
      <c r="C858" s="1766"/>
      <c r="D858" s="1766"/>
      <c r="E858" s="1766"/>
      <c r="F858" s="1766"/>
      <c r="G858" s="1766"/>
      <c r="H858" s="1766"/>
      <c r="I858" s="1766"/>
      <c r="J858" s="1766"/>
      <c r="K858" s="1766"/>
      <c r="L858" s="1766"/>
      <c r="M858" s="1766"/>
      <c r="N858" s="1781"/>
      <c r="O858" s="1766"/>
      <c r="P858" s="1766"/>
      <c r="Q858" s="1766"/>
      <c r="R858" s="1766"/>
      <c r="S858" s="1696"/>
      <c r="T858" s="1696"/>
      <c r="U858" s="1772"/>
      <c r="V858" s="1696"/>
      <c r="W858" s="1772"/>
      <c r="X858" s="1696"/>
      <c r="Y858" s="1696"/>
      <c r="Z858" s="1773"/>
    </row>
    <row r="859">
      <c r="A859" s="1765"/>
      <c r="B859" s="1782"/>
      <c r="C859" s="1765"/>
      <c r="D859" s="1765"/>
      <c r="E859" s="1765"/>
      <c r="F859" s="1765"/>
      <c r="G859" s="1765"/>
      <c r="H859" s="1765"/>
      <c r="I859" s="1765"/>
      <c r="J859" s="1765"/>
      <c r="K859" s="1765"/>
      <c r="L859" s="1765"/>
      <c r="M859" s="1765"/>
      <c r="N859" s="1765"/>
      <c r="O859" s="1765"/>
      <c r="P859" s="1765"/>
      <c r="Q859" s="1766"/>
      <c r="R859" s="1766"/>
      <c r="S859" s="1696"/>
      <c r="T859" s="1696"/>
      <c r="U859" s="1772"/>
      <c r="V859" s="1696"/>
      <c r="W859" s="1772"/>
      <c r="X859" s="1696"/>
      <c r="Y859" s="1696"/>
      <c r="Z859" s="1773"/>
    </row>
    <row r="860">
      <c r="A860" s="1771"/>
      <c r="B860" s="1777"/>
      <c r="C860" s="1771"/>
      <c r="D860" s="1771"/>
      <c r="E860" s="1771"/>
      <c r="F860" s="1771"/>
      <c r="G860" s="1771"/>
      <c r="H860" s="1771"/>
      <c r="I860" s="1770"/>
      <c r="J860" s="1771"/>
      <c r="K860" s="1771"/>
      <c r="L860" s="1771"/>
      <c r="M860" s="1771"/>
      <c r="N860" s="1779"/>
      <c r="O860" s="1770"/>
      <c r="P860" s="1771"/>
      <c r="Q860" s="1766"/>
      <c r="R860" s="1766"/>
      <c r="S860" s="1696"/>
      <c r="T860" s="1696"/>
      <c r="U860" s="1772"/>
      <c r="V860" s="1696"/>
      <c r="W860" s="1772"/>
      <c r="X860" s="1696"/>
      <c r="Y860" s="1696"/>
      <c r="Z860" s="1773"/>
    </row>
    <row r="861">
      <c r="A861" s="1766"/>
      <c r="B861" s="1780"/>
      <c r="C861" s="1766"/>
      <c r="D861" s="1766"/>
      <c r="E861" s="1766"/>
      <c r="F861" s="1766"/>
      <c r="G861" s="1766"/>
      <c r="H861" s="1766"/>
      <c r="I861" s="1766"/>
      <c r="J861" s="1766"/>
      <c r="K861" s="1766"/>
      <c r="L861" s="1766"/>
      <c r="M861" s="1766"/>
      <c r="N861" s="1781"/>
      <c r="O861" s="1766"/>
      <c r="P861" s="1766"/>
      <c r="Q861" s="1766"/>
      <c r="R861" s="1766"/>
      <c r="S861" s="1696"/>
      <c r="T861" s="1696"/>
      <c r="U861" s="1772"/>
      <c r="V861" s="1696"/>
      <c r="W861" s="1772"/>
      <c r="X861" s="1696"/>
      <c r="Y861" s="1696"/>
      <c r="Z861" s="1773"/>
    </row>
    <row r="862">
      <c r="A862" s="1765"/>
      <c r="B862" s="1782"/>
      <c r="C862" s="1765"/>
      <c r="D862" s="1765"/>
      <c r="E862" s="1765"/>
      <c r="F862" s="1765"/>
      <c r="G862" s="1765"/>
      <c r="H862" s="1765"/>
      <c r="I862" s="1765"/>
      <c r="J862" s="1765"/>
      <c r="K862" s="1765"/>
      <c r="L862" s="1765"/>
      <c r="M862" s="1765"/>
      <c r="N862" s="1765"/>
      <c r="O862" s="1765"/>
      <c r="P862" s="1765"/>
      <c r="Q862" s="1766"/>
      <c r="R862" s="1766"/>
      <c r="S862" s="1696"/>
      <c r="T862" s="1696"/>
      <c r="U862" s="1772"/>
      <c r="V862" s="1696"/>
      <c r="W862" s="1772"/>
      <c r="X862" s="1696"/>
      <c r="Y862" s="1696"/>
      <c r="Z862" s="1773"/>
    </row>
    <row r="863">
      <c r="A863" s="1771"/>
      <c r="B863" s="1777"/>
      <c r="C863" s="1771"/>
      <c r="D863" s="1771"/>
      <c r="E863" s="1771"/>
      <c r="F863" s="1771"/>
      <c r="G863" s="1771"/>
      <c r="H863" s="1771"/>
      <c r="I863" s="1770"/>
      <c r="J863" s="1771"/>
      <c r="K863" s="1771"/>
      <c r="L863" s="1771"/>
      <c r="M863" s="1771"/>
      <c r="N863" s="1779"/>
      <c r="O863" s="1770"/>
      <c r="P863" s="1771"/>
      <c r="Q863" s="1766"/>
      <c r="R863" s="1766"/>
      <c r="S863" s="1696"/>
      <c r="T863" s="1696"/>
      <c r="U863" s="1772"/>
      <c r="V863" s="1696"/>
      <c r="W863" s="1772"/>
      <c r="X863" s="1696"/>
      <c r="Y863" s="1696"/>
      <c r="Z863" s="1773"/>
    </row>
    <row r="864">
      <c r="A864" s="1766"/>
      <c r="B864" s="1780"/>
      <c r="C864" s="1766"/>
      <c r="D864" s="1766"/>
      <c r="E864" s="1766"/>
      <c r="F864" s="1766"/>
      <c r="G864" s="1766"/>
      <c r="H864" s="1766"/>
      <c r="I864" s="1766"/>
      <c r="J864" s="1766"/>
      <c r="K864" s="1766"/>
      <c r="L864" s="1766"/>
      <c r="M864" s="1766"/>
      <c r="N864" s="1781"/>
      <c r="O864" s="1766"/>
      <c r="P864" s="1766"/>
      <c r="Q864" s="1766"/>
      <c r="R864" s="1766"/>
      <c r="S864" s="1696"/>
      <c r="T864" s="1696"/>
      <c r="U864" s="1772"/>
      <c r="V864" s="1696"/>
      <c r="W864" s="1772"/>
      <c r="X864" s="1696"/>
      <c r="Y864" s="1696"/>
      <c r="Z864" s="1773"/>
    </row>
    <row r="865">
      <c r="A865" s="1765"/>
      <c r="B865" s="1782"/>
      <c r="C865" s="1765"/>
      <c r="D865" s="1765"/>
      <c r="E865" s="1765"/>
      <c r="F865" s="1765"/>
      <c r="G865" s="1765"/>
      <c r="H865" s="1765"/>
      <c r="I865" s="1765"/>
      <c r="J865" s="1765"/>
      <c r="K865" s="1765"/>
      <c r="L865" s="1765"/>
      <c r="M865" s="1765"/>
      <c r="N865" s="1765"/>
      <c r="O865" s="1765"/>
      <c r="P865" s="1765"/>
      <c r="Q865" s="1766"/>
      <c r="R865" s="1766"/>
      <c r="S865" s="1696"/>
      <c r="T865" s="1696"/>
      <c r="U865" s="1772"/>
      <c r="V865" s="1696"/>
      <c r="W865" s="1772"/>
      <c r="X865" s="1696"/>
      <c r="Y865" s="1696"/>
      <c r="Z865" s="1773"/>
    </row>
    <row r="866">
      <c r="A866" s="1771"/>
      <c r="B866" s="1777"/>
      <c r="C866" s="1771"/>
      <c r="D866" s="1771"/>
      <c r="E866" s="1771"/>
      <c r="F866" s="1771"/>
      <c r="G866" s="1770"/>
      <c r="H866" s="1771"/>
      <c r="I866" s="1778"/>
      <c r="J866" s="1771"/>
      <c r="K866" s="1771"/>
      <c r="L866" s="1771"/>
      <c r="M866" s="1771"/>
      <c r="N866" s="1779"/>
      <c r="O866" s="1770"/>
      <c r="P866" s="1771"/>
      <c r="Q866" s="1766"/>
      <c r="R866" s="1766"/>
      <c r="S866" s="1696"/>
      <c r="T866" s="1696"/>
      <c r="U866" s="1772"/>
      <c r="V866" s="1696"/>
      <c r="W866" s="1772"/>
      <c r="X866" s="1696"/>
      <c r="Y866" s="1696"/>
      <c r="Z866" s="1773"/>
    </row>
    <row r="867">
      <c r="A867" s="1766"/>
      <c r="B867" s="1780"/>
      <c r="C867" s="1766"/>
      <c r="D867" s="1766"/>
      <c r="E867" s="1766"/>
      <c r="F867" s="1766"/>
      <c r="G867" s="1766"/>
      <c r="H867" s="1766"/>
      <c r="I867" s="1766"/>
      <c r="J867" s="1766"/>
      <c r="K867" s="1766"/>
      <c r="L867" s="1766"/>
      <c r="M867" s="1766"/>
      <c r="N867" s="1781"/>
      <c r="O867" s="1766"/>
      <c r="P867" s="1766"/>
      <c r="Q867" s="1766"/>
      <c r="R867" s="1766"/>
      <c r="S867" s="1696"/>
      <c r="T867" s="1696"/>
      <c r="U867" s="1772"/>
      <c r="V867" s="1696"/>
      <c r="W867" s="1772"/>
      <c r="X867" s="1696"/>
      <c r="Y867" s="1696"/>
      <c r="Z867" s="1773"/>
    </row>
    <row r="868">
      <c r="A868" s="1765"/>
      <c r="B868" s="1782"/>
      <c r="C868" s="1765"/>
      <c r="D868" s="1765"/>
      <c r="E868" s="1765"/>
      <c r="F868" s="1765"/>
      <c r="G868" s="1765"/>
      <c r="H868" s="1765"/>
      <c r="I868" s="1765"/>
      <c r="J868" s="1765"/>
      <c r="K868" s="1765"/>
      <c r="L868" s="1765"/>
      <c r="M868" s="1765"/>
      <c r="N868" s="1765"/>
      <c r="O868" s="1765"/>
      <c r="P868" s="1765"/>
      <c r="Q868" s="1766"/>
      <c r="R868" s="1766"/>
      <c r="S868" s="1696"/>
      <c r="T868" s="1696"/>
      <c r="U868" s="1772"/>
      <c r="V868" s="1696"/>
      <c r="W868" s="1772"/>
      <c r="X868" s="1696"/>
      <c r="Y868" s="1696"/>
      <c r="Z868" s="1773"/>
    </row>
    <row r="869">
      <c r="A869" s="1771"/>
      <c r="B869" s="1777"/>
      <c r="C869" s="1771"/>
      <c r="D869" s="1771"/>
      <c r="E869" s="1771"/>
      <c r="F869" s="1771"/>
      <c r="G869" s="1770"/>
      <c r="H869" s="1771"/>
      <c r="I869" s="1778"/>
      <c r="J869" s="1771"/>
      <c r="K869" s="1771"/>
      <c r="L869" s="1771"/>
      <c r="M869" s="1771"/>
      <c r="N869" s="1779"/>
      <c r="O869" s="1770"/>
      <c r="P869" s="1771"/>
      <c r="Q869" s="1766"/>
      <c r="R869" s="1766"/>
      <c r="S869" s="1696"/>
      <c r="T869" s="1696"/>
      <c r="U869" s="1772"/>
      <c r="V869" s="1696"/>
      <c r="W869" s="1772"/>
      <c r="X869" s="1696"/>
      <c r="Y869" s="1696"/>
      <c r="Z869" s="1773"/>
    </row>
    <row r="870">
      <c r="A870" s="1766"/>
      <c r="B870" s="1780"/>
      <c r="C870" s="1766"/>
      <c r="D870" s="1766"/>
      <c r="E870" s="1766"/>
      <c r="F870" s="1766"/>
      <c r="G870" s="1766"/>
      <c r="H870" s="1766"/>
      <c r="I870" s="1766"/>
      <c r="J870" s="1766"/>
      <c r="K870" s="1766"/>
      <c r="L870" s="1766"/>
      <c r="M870" s="1766"/>
      <c r="N870" s="1781"/>
      <c r="O870" s="1766"/>
      <c r="P870" s="1766"/>
      <c r="Q870" s="1766"/>
      <c r="R870" s="1766"/>
      <c r="S870" s="1696"/>
      <c r="T870" s="1696"/>
      <c r="U870" s="1772"/>
      <c r="V870" s="1696"/>
      <c r="W870" s="1772"/>
      <c r="X870" s="1696"/>
      <c r="Y870" s="1696"/>
      <c r="Z870" s="1773"/>
    </row>
    <row r="871">
      <c r="A871" s="1765"/>
      <c r="B871" s="1782"/>
      <c r="C871" s="1765"/>
      <c r="D871" s="1765"/>
      <c r="E871" s="1765"/>
      <c r="F871" s="1765"/>
      <c r="G871" s="1765"/>
      <c r="H871" s="1765"/>
      <c r="I871" s="1765"/>
      <c r="J871" s="1765"/>
      <c r="K871" s="1765"/>
      <c r="L871" s="1765"/>
      <c r="M871" s="1765"/>
      <c r="N871" s="1765"/>
      <c r="O871" s="1765"/>
      <c r="P871" s="1765"/>
      <c r="Q871" s="1766"/>
      <c r="R871" s="1766"/>
      <c r="S871" s="1696"/>
      <c r="T871" s="1696"/>
      <c r="U871" s="1772"/>
      <c r="V871" s="1696"/>
      <c r="W871" s="1772"/>
      <c r="X871" s="1696"/>
      <c r="Y871" s="1696"/>
      <c r="Z871" s="1773"/>
    </row>
    <row r="872">
      <c r="A872" s="1771"/>
      <c r="B872" s="1777"/>
      <c r="C872" s="1771"/>
      <c r="D872" s="1771"/>
      <c r="E872" s="1771"/>
      <c r="F872" s="1771"/>
      <c r="G872" s="1771"/>
      <c r="H872" s="1771"/>
      <c r="I872" s="1770"/>
      <c r="J872" s="1771"/>
      <c r="K872" s="1771"/>
      <c r="L872" s="1771"/>
      <c r="M872" s="1771"/>
      <c r="N872" s="1779"/>
      <c r="O872" s="1770"/>
      <c r="P872" s="1771"/>
      <c r="Q872" s="1766"/>
      <c r="R872" s="1766"/>
      <c r="S872" s="1696"/>
      <c r="T872" s="1696"/>
      <c r="U872" s="1772"/>
      <c r="V872" s="1696"/>
      <c r="W872" s="1772"/>
      <c r="X872" s="1696"/>
      <c r="Y872" s="1696"/>
      <c r="Z872" s="1773"/>
    </row>
    <row r="873">
      <c r="A873" s="1766"/>
      <c r="B873" s="1780"/>
      <c r="C873" s="1766"/>
      <c r="D873" s="1766"/>
      <c r="E873" s="1766"/>
      <c r="F873" s="1766"/>
      <c r="G873" s="1766"/>
      <c r="H873" s="1766"/>
      <c r="I873" s="1766"/>
      <c r="J873" s="1766"/>
      <c r="K873" s="1766"/>
      <c r="L873" s="1766"/>
      <c r="M873" s="1766"/>
      <c r="N873" s="1781"/>
      <c r="O873" s="1766"/>
      <c r="P873" s="1766"/>
      <c r="Q873" s="1766"/>
      <c r="R873" s="1766"/>
      <c r="S873" s="1696"/>
      <c r="T873" s="1696"/>
      <c r="U873" s="1772"/>
      <c r="V873" s="1696"/>
      <c r="W873" s="1772"/>
      <c r="X873" s="1696"/>
      <c r="Y873" s="1696"/>
      <c r="Z873" s="1773"/>
    </row>
    <row r="874">
      <c r="A874" s="1765"/>
      <c r="B874" s="1782"/>
      <c r="C874" s="1765"/>
      <c r="D874" s="1765"/>
      <c r="E874" s="1765"/>
      <c r="F874" s="1765"/>
      <c r="G874" s="1765"/>
      <c r="H874" s="1765"/>
      <c r="I874" s="1765"/>
      <c r="J874" s="1765"/>
      <c r="K874" s="1765"/>
      <c r="L874" s="1765"/>
      <c r="M874" s="1765"/>
      <c r="N874" s="1765"/>
      <c r="O874" s="1765"/>
      <c r="P874" s="1765"/>
      <c r="Q874" s="1766"/>
      <c r="R874" s="1766"/>
      <c r="S874" s="1696"/>
      <c r="T874" s="1696"/>
      <c r="U874" s="1772"/>
      <c r="V874" s="1696"/>
      <c r="W874" s="1772"/>
      <c r="X874" s="1696"/>
      <c r="Y874" s="1696"/>
      <c r="Z874" s="1773"/>
    </row>
    <row r="875">
      <c r="A875" s="1771"/>
      <c r="B875" s="1777"/>
      <c r="C875" s="1771"/>
      <c r="D875" s="1771"/>
      <c r="E875" s="1771"/>
      <c r="F875" s="1771"/>
      <c r="G875" s="1771"/>
      <c r="H875" s="1771"/>
      <c r="I875" s="1770"/>
      <c r="J875" s="1771"/>
      <c r="K875" s="1771"/>
      <c r="L875" s="1771"/>
      <c r="M875" s="1771"/>
      <c r="N875" s="1779"/>
      <c r="O875" s="1770"/>
      <c r="P875" s="1771"/>
      <c r="Q875" s="1766"/>
      <c r="R875" s="1766"/>
      <c r="S875" s="1696"/>
      <c r="T875" s="1696"/>
      <c r="U875" s="1772"/>
      <c r="V875" s="1696"/>
      <c r="W875" s="1772"/>
      <c r="X875" s="1696"/>
      <c r="Y875" s="1696"/>
      <c r="Z875" s="1773"/>
    </row>
    <row r="876">
      <c r="A876" s="1766"/>
      <c r="B876" s="1780"/>
      <c r="C876" s="1766"/>
      <c r="D876" s="1766"/>
      <c r="E876" s="1766"/>
      <c r="F876" s="1766"/>
      <c r="G876" s="1766"/>
      <c r="H876" s="1766"/>
      <c r="I876" s="1766"/>
      <c r="J876" s="1766"/>
      <c r="K876" s="1766"/>
      <c r="L876" s="1766"/>
      <c r="M876" s="1766"/>
      <c r="N876" s="1781"/>
      <c r="O876" s="1766"/>
      <c r="P876" s="1766"/>
      <c r="Q876" s="1766"/>
      <c r="R876" s="1766"/>
      <c r="S876" s="1696"/>
      <c r="T876" s="1696"/>
      <c r="U876" s="1772"/>
      <c r="V876" s="1696"/>
      <c r="W876" s="1772"/>
      <c r="X876" s="1696"/>
      <c r="Y876" s="1696"/>
      <c r="Z876" s="1773"/>
    </row>
    <row r="877">
      <c r="A877" s="1765"/>
      <c r="B877" s="1782"/>
      <c r="C877" s="1765"/>
      <c r="D877" s="1765"/>
      <c r="E877" s="1765"/>
      <c r="F877" s="1765"/>
      <c r="G877" s="1765"/>
      <c r="H877" s="1765"/>
      <c r="I877" s="1765"/>
      <c r="J877" s="1765"/>
      <c r="K877" s="1765"/>
      <c r="L877" s="1765"/>
      <c r="M877" s="1765"/>
      <c r="N877" s="1765"/>
      <c r="O877" s="1765"/>
      <c r="P877" s="1765"/>
      <c r="Q877" s="1766"/>
      <c r="R877" s="1766"/>
      <c r="S877" s="1696"/>
      <c r="T877" s="1696"/>
      <c r="U877" s="1772"/>
      <c r="V877" s="1696"/>
      <c r="W877" s="1772"/>
      <c r="X877" s="1696"/>
      <c r="Y877" s="1696"/>
      <c r="Z877" s="1773"/>
    </row>
    <row r="878">
      <c r="A878" s="1771"/>
      <c r="B878" s="1777"/>
      <c r="C878" s="1771"/>
      <c r="D878" s="1771"/>
      <c r="E878" s="1771"/>
      <c r="F878" s="1771"/>
      <c r="G878" s="1770"/>
      <c r="H878" s="1771"/>
      <c r="I878" s="1770"/>
      <c r="J878" s="1771"/>
      <c r="K878" s="1771"/>
      <c r="L878" s="1771"/>
      <c r="M878" s="1771"/>
      <c r="N878" s="1779"/>
      <c r="O878" s="1770"/>
      <c r="P878" s="1771"/>
      <c r="Q878" s="1766"/>
      <c r="R878" s="1766"/>
      <c r="S878" s="1696"/>
      <c r="T878" s="1696"/>
      <c r="U878" s="1772"/>
      <c r="V878" s="1696"/>
      <c r="W878" s="1772"/>
      <c r="X878" s="1696"/>
      <c r="Y878" s="1696"/>
      <c r="Z878" s="1773"/>
    </row>
    <row r="879">
      <c r="A879" s="1766"/>
      <c r="B879" s="1780"/>
      <c r="C879" s="1766"/>
      <c r="D879" s="1766"/>
      <c r="E879" s="1766"/>
      <c r="F879" s="1766"/>
      <c r="G879" s="1766"/>
      <c r="H879" s="1766"/>
      <c r="I879" s="1766"/>
      <c r="J879" s="1766"/>
      <c r="K879" s="1766"/>
      <c r="L879" s="1766"/>
      <c r="M879" s="1766"/>
      <c r="N879" s="1781"/>
      <c r="O879" s="1766"/>
      <c r="P879" s="1766"/>
      <c r="Q879" s="1766"/>
      <c r="R879" s="1766"/>
      <c r="S879" s="1696"/>
      <c r="T879" s="1696"/>
      <c r="U879" s="1772"/>
      <c r="V879" s="1696"/>
      <c r="W879" s="1772"/>
      <c r="X879" s="1696"/>
      <c r="Y879" s="1696"/>
      <c r="Z879" s="1773"/>
    </row>
    <row r="880">
      <c r="A880" s="1765"/>
      <c r="B880" s="1782"/>
      <c r="C880" s="1765"/>
      <c r="D880" s="1765"/>
      <c r="E880" s="1765"/>
      <c r="F880" s="1765"/>
      <c r="G880" s="1765"/>
      <c r="H880" s="1765"/>
      <c r="I880" s="1765"/>
      <c r="J880" s="1765"/>
      <c r="K880" s="1765"/>
      <c r="L880" s="1765"/>
      <c r="M880" s="1765"/>
      <c r="N880" s="1765"/>
      <c r="O880" s="1765"/>
      <c r="P880" s="1765"/>
      <c r="Q880" s="1766"/>
      <c r="R880" s="1766"/>
      <c r="S880" s="1696"/>
      <c r="T880" s="1696"/>
      <c r="U880" s="1772"/>
      <c r="V880" s="1696"/>
      <c r="W880" s="1772"/>
      <c r="X880" s="1696"/>
      <c r="Y880" s="1696"/>
      <c r="Z880" s="1773"/>
    </row>
    <row r="881">
      <c r="A881" s="1771"/>
      <c r="B881" s="1777"/>
      <c r="C881" s="1771"/>
      <c r="D881" s="1771"/>
      <c r="E881" s="1771"/>
      <c r="F881" s="1771"/>
      <c r="G881" s="1770"/>
      <c r="H881" s="1771"/>
      <c r="I881" s="1770"/>
      <c r="J881" s="1771"/>
      <c r="K881" s="1771"/>
      <c r="L881" s="1771"/>
      <c r="M881" s="1771"/>
      <c r="N881" s="1779"/>
      <c r="O881" s="1770"/>
      <c r="P881" s="1771"/>
      <c r="Q881" s="1766"/>
      <c r="R881" s="1766"/>
      <c r="S881" s="1696"/>
      <c r="T881" s="1696"/>
      <c r="U881" s="1772"/>
      <c r="V881" s="1696"/>
      <c r="W881" s="1772"/>
      <c r="X881" s="1696"/>
      <c r="Y881" s="1696"/>
      <c r="Z881" s="1773"/>
    </row>
    <row r="882">
      <c r="A882" s="1766"/>
      <c r="B882" s="1780"/>
      <c r="C882" s="1766"/>
      <c r="D882" s="1766"/>
      <c r="E882" s="1766"/>
      <c r="F882" s="1766"/>
      <c r="G882" s="1766"/>
      <c r="H882" s="1766"/>
      <c r="I882" s="1766"/>
      <c r="J882" s="1766"/>
      <c r="K882" s="1766"/>
      <c r="L882" s="1766"/>
      <c r="M882" s="1766"/>
      <c r="N882" s="1781"/>
      <c r="O882" s="1766"/>
      <c r="P882" s="1766"/>
      <c r="Q882" s="1766"/>
      <c r="R882" s="1766"/>
      <c r="S882" s="1696"/>
      <c r="T882" s="1696"/>
      <c r="U882" s="1772"/>
      <c r="V882" s="1696"/>
      <c r="W882" s="1772"/>
      <c r="X882" s="1696"/>
      <c r="Y882" s="1696"/>
      <c r="Z882" s="1773"/>
    </row>
    <row r="883">
      <c r="A883" s="1765"/>
      <c r="B883" s="1782"/>
      <c r="C883" s="1765"/>
      <c r="D883" s="1765"/>
      <c r="E883" s="1765"/>
      <c r="F883" s="1765"/>
      <c r="G883" s="1765"/>
      <c r="H883" s="1765"/>
      <c r="I883" s="1765"/>
      <c r="J883" s="1765"/>
      <c r="K883" s="1765"/>
      <c r="L883" s="1765"/>
      <c r="M883" s="1765"/>
      <c r="N883" s="1765"/>
      <c r="O883" s="1765"/>
      <c r="P883" s="1765"/>
      <c r="Q883" s="1766"/>
      <c r="R883" s="1766"/>
      <c r="S883" s="1696"/>
      <c r="T883" s="1696"/>
      <c r="U883" s="1772"/>
      <c r="V883" s="1696"/>
      <c r="W883" s="1772"/>
      <c r="X883" s="1696"/>
      <c r="Y883" s="1696"/>
      <c r="Z883" s="1773"/>
    </row>
    <row r="884">
      <c r="A884" s="1771"/>
      <c r="B884" s="1777"/>
      <c r="C884" s="1771"/>
      <c r="D884" s="1771"/>
      <c r="E884" s="1771"/>
      <c r="F884" s="1771"/>
      <c r="G884" s="1770"/>
      <c r="H884" s="1771"/>
      <c r="I884" s="1778"/>
      <c r="J884" s="1771"/>
      <c r="K884" s="1771"/>
      <c r="L884" s="1771"/>
      <c r="M884" s="1771"/>
      <c r="N884" s="1779"/>
      <c r="O884" s="1770"/>
      <c r="P884" s="1771"/>
      <c r="Q884" s="1766"/>
      <c r="R884" s="1766"/>
      <c r="S884" s="1696"/>
      <c r="T884" s="1696"/>
      <c r="U884" s="1772"/>
      <c r="V884" s="1696"/>
      <c r="W884" s="1772"/>
      <c r="X884" s="1696"/>
      <c r="Y884" s="1696"/>
      <c r="Z884" s="1773"/>
    </row>
    <row r="885">
      <c r="A885" s="1766"/>
      <c r="B885" s="1780"/>
      <c r="C885" s="1766"/>
      <c r="D885" s="1766"/>
      <c r="E885" s="1766"/>
      <c r="F885" s="1766"/>
      <c r="G885" s="1766"/>
      <c r="H885" s="1766"/>
      <c r="I885" s="1766"/>
      <c r="J885" s="1766"/>
      <c r="K885" s="1766"/>
      <c r="L885" s="1766"/>
      <c r="M885" s="1766"/>
      <c r="N885" s="1781"/>
      <c r="O885" s="1766"/>
      <c r="P885" s="1766"/>
      <c r="Q885" s="1766"/>
      <c r="R885" s="1766"/>
      <c r="S885" s="1696"/>
      <c r="T885" s="1696"/>
      <c r="U885" s="1772"/>
      <c r="V885" s="1696"/>
      <c r="W885" s="1772"/>
      <c r="X885" s="1696"/>
      <c r="Y885" s="1696"/>
      <c r="Z885" s="1773"/>
    </row>
    <row r="886">
      <c r="A886" s="1765"/>
      <c r="B886" s="1782"/>
      <c r="C886" s="1765"/>
      <c r="D886" s="1765"/>
      <c r="E886" s="1765"/>
      <c r="F886" s="1765"/>
      <c r="G886" s="1765"/>
      <c r="H886" s="1765"/>
      <c r="I886" s="1765"/>
      <c r="J886" s="1765"/>
      <c r="K886" s="1765"/>
      <c r="L886" s="1765"/>
      <c r="M886" s="1765"/>
      <c r="N886" s="1765"/>
      <c r="O886" s="1765"/>
      <c r="P886" s="1765"/>
      <c r="Q886" s="1766"/>
      <c r="R886" s="1766"/>
      <c r="S886" s="1696"/>
      <c r="T886" s="1696"/>
      <c r="U886" s="1772"/>
      <c r="V886" s="1696"/>
      <c r="W886" s="1772"/>
      <c r="X886" s="1696"/>
      <c r="Y886" s="1696"/>
      <c r="Z886" s="1773"/>
    </row>
    <row r="887">
      <c r="A887" s="1771"/>
      <c r="B887" s="1777"/>
      <c r="C887" s="1771"/>
      <c r="D887" s="1771"/>
      <c r="E887" s="1771"/>
      <c r="F887" s="1771"/>
      <c r="G887" s="1770"/>
      <c r="H887" s="1771"/>
      <c r="I887" s="1770"/>
      <c r="J887" s="1771"/>
      <c r="K887" s="1771"/>
      <c r="L887" s="1771"/>
      <c r="M887" s="1771"/>
      <c r="N887" s="1779"/>
      <c r="O887" s="1770"/>
      <c r="P887" s="1771"/>
      <c r="Q887" s="1766"/>
      <c r="R887" s="1766"/>
      <c r="S887" s="1696"/>
      <c r="T887" s="1696"/>
      <c r="U887" s="1772"/>
      <c r="V887" s="1696"/>
      <c r="W887" s="1772"/>
      <c r="X887" s="1696"/>
      <c r="Y887" s="1696"/>
      <c r="Z887" s="1773"/>
    </row>
    <row r="888">
      <c r="A888" s="1766"/>
      <c r="B888" s="1780"/>
      <c r="C888" s="1766"/>
      <c r="D888" s="1766"/>
      <c r="E888" s="1766"/>
      <c r="F888" s="1766"/>
      <c r="G888" s="1766"/>
      <c r="H888" s="1766"/>
      <c r="I888" s="1766"/>
      <c r="J888" s="1766"/>
      <c r="K888" s="1766"/>
      <c r="L888" s="1766"/>
      <c r="M888" s="1766"/>
      <c r="N888" s="1781"/>
      <c r="O888" s="1766"/>
      <c r="P888" s="1766"/>
      <c r="Q888" s="1766"/>
      <c r="R888" s="1766"/>
      <c r="S888" s="1696"/>
      <c r="T888" s="1696"/>
      <c r="U888" s="1772"/>
      <c r="V888" s="1696"/>
      <c r="W888" s="1772"/>
      <c r="X888" s="1696"/>
      <c r="Y888" s="1696"/>
      <c r="Z888" s="1773"/>
    </row>
    <row r="889">
      <c r="A889" s="1765"/>
      <c r="B889" s="1782"/>
      <c r="C889" s="1765"/>
      <c r="D889" s="1765"/>
      <c r="E889" s="1765"/>
      <c r="F889" s="1765"/>
      <c r="G889" s="1765"/>
      <c r="H889" s="1765"/>
      <c r="I889" s="1765"/>
      <c r="J889" s="1765"/>
      <c r="K889" s="1765"/>
      <c r="L889" s="1765"/>
      <c r="M889" s="1765"/>
      <c r="N889" s="1765"/>
      <c r="O889" s="1765"/>
      <c r="P889" s="1765"/>
      <c r="Q889" s="1766"/>
      <c r="R889" s="1766"/>
      <c r="S889" s="1696"/>
      <c r="T889" s="1696"/>
      <c r="U889" s="1772"/>
      <c r="V889" s="1696"/>
      <c r="W889" s="1772"/>
      <c r="X889" s="1696"/>
      <c r="Y889" s="1696"/>
      <c r="Z889" s="1773"/>
    </row>
    <row r="890">
      <c r="A890" s="1771"/>
      <c r="B890" s="1777"/>
      <c r="C890" s="1771"/>
      <c r="D890" s="1771"/>
      <c r="E890" s="1771"/>
      <c r="F890" s="1771"/>
      <c r="G890" s="1777"/>
      <c r="H890" s="1771"/>
      <c r="I890" s="1778"/>
      <c r="J890" s="1771"/>
      <c r="K890" s="1771"/>
      <c r="L890" s="1771"/>
      <c r="M890" s="1771"/>
      <c r="N890" s="1779"/>
      <c r="O890" s="1770"/>
      <c r="P890" s="1771"/>
      <c r="Q890" s="1766"/>
      <c r="R890" s="1766"/>
      <c r="S890" s="1696"/>
      <c r="T890" s="1696"/>
      <c r="U890" s="1772"/>
      <c r="V890" s="1696"/>
      <c r="W890" s="1772"/>
      <c r="X890" s="1696"/>
      <c r="Y890" s="1696"/>
      <c r="Z890" s="1773"/>
    </row>
    <row r="891">
      <c r="A891" s="1766"/>
      <c r="B891" s="1780"/>
      <c r="C891" s="1766"/>
      <c r="D891" s="1766"/>
      <c r="E891" s="1766"/>
      <c r="F891" s="1766"/>
      <c r="G891" s="1766"/>
      <c r="H891" s="1766"/>
      <c r="I891" s="1766"/>
      <c r="J891" s="1766"/>
      <c r="K891" s="1766"/>
      <c r="L891" s="1766"/>
      <c r="M891" s="1766"/>
      <c r="N891" s="1781"/>
      <c r="O891" s="1766"/>
      <c r="P891" s="1766"/>
      <c r="Q891" s="1766"/>
      <c r="R891" s="1766"/>
      <c r="S891" s="1696"/>
      <c r="T891" s="1696"/>
      <c r="U891" s="1772"/>
      <c r="V891" s="1696"/>
      <c r="W891" s="1772"/>
      <c r="X891" s="1696"/>
      <c r="Y891" s="1696"/>
      <c r="Z891" s="1773"/>
    </row>
    <row r="892">
      <c r="A892" s="1765"/>
      <c r="B892" s="1782"/>
      <c r="C892" s="1765"/>
      <c r="D892" s="1765"/>
      <c r="E892" s="1765"/>
      <c r="F892" s="1765"/>
      <c r="G892" s="1765"/>
      <c r="H892" s="1765"/>
      <c r="I892" s="1765"/>
      <c r="J892" s="1765"/>
      <c r="K892" s="1765"/>
      <c r="L892" s="1765"/>
      <c r="M892" s="1765"/>
      <c r="N892" s="1765"/>
      <c r="O892" s="1765"/>
      <c r="P892" s="1765"/>
      <c r="Q892" s="1766"/>
      <c r="R892" s="1766"/>
      <c r="S892" s="1696"/>
      <c r="T892" s="1696"/>
      <c r="U892" s="1772"/>
      <c r="V892" s="1696"/>
      <c r="W892" s="1772"/>
      <c r="X892" s="1696"/>
      <c r="Y892" s="1696"/>
      <c r="Z892" s="1773"/>
    </row>
    <row r="893">
      <c r="A893" s="1771"/>
      <c r="B893" s="1777"/>
      <c r="C893" s="1771"/>
      <c r="D893" s="1771"/>
      <c r="E893" s="1771"/>
      <c r="F893" s="1771"/>
      <c r="G893" s="1770"/>
      <c r="H893" s="1771"/>
      <c r="I893" s="1778"/>
      <c r="J893" s="1771"/>
      <c r="K893" s="1771"/>
      <c r="L893" s="1771"/>
      <c r="M893" s="1771"/>
      <c r="N893" s="1779"/>
      <c r="O893" s="1770"/>
      <c r="P893" s="1771"/>
      <c r="Q893" s="1766"/>
      <c r="R893" s="1766"/>
      <c r="S893" s="1696"/>
      <c r="T893" s="1696"/>
      <c r="U893" s="1772"/>
      <c r="V893" s="1696"/>
      <c r="W893" s="1772"/>
      <c r="X893" s="1696"/>
      <c r="Y893" s="1696"/>
      <c r="Z893" s="1773"/>
    </row>
    <row r="894">
      <c r="A894" s="1766"/>
      <c r="B894" s="1780"/>
      <c r="C894" s="1766"/>
      <c r="D894" s="1766"/>
      <c r="E894" s="1766"/>
      <c r="F894" s="1766"/>
      <c r="G894" s="1766"/>
      <c r="H894" s="1766"/>
      <c r="I894" s="1766"/>
      <c r="J894" s="1766"/>
      <c r="K894" s="1766"/>
      <c r="L894" s="1766"/>
      <c r="M894" s="1766"/>
      <c r="N894" s="1781"/>
      <c r="O894" s="1766"/>
      <c r="P894" s="1766"/>
      <c r="Q894" s="1766"/>
      <c r="R894" s="1766"/>
      <c r="S894" s="1696"/>
      <c r="T894" s="1696"/>
      <c r="U894" s="1772"/>
      <c r="V894" s="1696"/>
      <c r="W894" s="1772"/>
      <c r="X894" s="1696"/>
      <c r="Y894" s="1696"/>
      <c r="Z894" s="1773"/>
    </row>
    <row r="895">
      <c r="A895" s="1765"/>
      <c r="B895" s="1782"/>
      <c r="C895" s="1765"/>
      <c r="D895" s="1765"/>
      <c r="E895" s="1765"/>
      <c r="F895" s="1765"/>
      <c r="G895" s="1765"/>
      <c r="H895" s="1765"/>
      <c r="I895" s="1765"/>
      <c r="J895" s="1765"/>
      <c r="K895" s="1765"/>
      <c r="L895" s="1765"/>
      <c r="M895" s="1765"/>
      <c r="N895" s="1765"/>
      <c r="O895" s="1765"/>
      <c r="P895" s="1765"/>
      <c r="Q895" s="1766"/>
      <c r="R895" s="1766"/>
      <c r="S895" s="1696"/>
      <c r="T895" s="1696"/>
      <c r="U895" s="1772"/>
      <c r="V895" s="1696"/>
      <c r="W895" s="1772"/>
      <c r="X895" s="1696"/>
      <c r="Y895" s="1696"/>
      <c r="Z895" s="1773"/>
    </row>
    <row r="896">
      <c r="A896" s="1771"/>
      <c r="B896" s="1777"/>
      <c r="C896" s="1771"/>
      <c r="D896" s="1771"/>
      <c r="E896" s="1771"/>
      <c r="F896" s="1771"/>
      <c r="G896" s="1771"/>
      <c r="H896" s="1771"/>
      <c r="I896" s="1778"/>
      <c r="J896" s="1771"/>
      <c r="K896" s="1771"/>
      <c r="L896" s="1771"/>
      <c r="M896" s="1771"/>
      <c r="N896" s="1779"/>
      <c r="O896" s="1770"/>
      <c r="P896" s="1771"/>
      <c r="Q896" s="1766"/>
      <c r="R896" s="1766"/>
      <c r="S896" s="1696"/>
      <c r="T896" s="1696"/>
      <c r="U896" s="1772"/>
      <c r="V896" s="1696"/>
      <c r="W896" s="1772"/>
      <c r="X896" s="1696"/>
      <c r="Y896" s="1696"/>
      <c r="Z896" s="1773"/>
    </row>
    <row r="897">
      <c r="A897" s="1766"/>
      <c r="B897" s="1780"/>
      <c r="C897" s="1766"/>
      <c r="D897" s="1766"/>
      <c r="E897" s="1766"/>
      <c r="F897" s="1766"/>
      <c r="G897" s="1766"/>
      <c r="H897" s="1766"/>
      <c r="I897" s="1766"/>
      <c r="J897" s="1766"/>
      <c r="K897" s="1766"/>
      <c r="L897" s="1766"/>
      <c r="M897" s="1766"/>
      <c r="N897" s="1781"/>
      <c r="O897" s="1766"/>
      <c r="P897" s="1766"/>
      <c r="Q897" s="1766"/>
      <c r="R897" s="1766"/>
      <c r="S897" s="1696"/>
      <c r="T897" s="1696"/>
      <c r="U897" s="1772"/>
      <c r="V897" s="1696"/>
      <c r="W897" s="1772"/>
      <c r="X897" s="1696"/>
      <c r="Y897" s="1696"/>
      <c r="Z897" s="1773"/>
    </row>
    <row r="898">
      <c r="A898" s="1765"/>
      <c r="B898" s="1782"/>
      <c r="C898" s="1765"/>
      <c r="D898" s="1765"/>
      <c r="E898" s="1765"/>
      <c r="F898" s="1765"/>
      <c r="G898" s="1765"/>
      <c r="H898" s="1765"/>
      <c r="I898" s="1765"/>
      <c r="J898" s="1765"/>
      <c r="K898" s="1765"/>
      <c r="L898" s="1765"/>
      <c r="M898" s="1765"/>
      <c r="N898" s="1765"/>
      <c r="O898" s="1765"/>
      <c r="P898" s="1765"/>
      <c r="Q898" s="1766"/>
      <c r="R898" s="1766"/>
      <c r="S898" s="1696"/>
      <c r="T898" s="1696"/>
      <c r="U898" s="1772"/>
      <c r="V898" s="1696"/>
      <c r="W898" s="1772"/>
      <c r="X898" s="1696"/>
      <c r="Y898" s="1696"/>
      <c r="Z898" s="1773"/>
    </row>
    <row r="899">
      <c r="A899" s="1771"/>
      <c r="B899" s="1777"/>
      <c r="C899" s="1771"/>
      <c r="D899" s="1771"/>
      <c r="E899" s="1771"/>
      <c r="F899" s="1771"/>
      <c r="G899" s="1770"/>
      <c r="H899" s="1771"/>
      <c r="I899" s="1778"/>
      <c r="J899" s="1771"/>
      <c r="K899" s="1771"/>
      <c r="L899" s="1771"/>
      <c r="M899" s="1771"/>
      <c r="N899" s="1779"/>
      <c r="O899" s="1770"/>
      <c r="P899" s="1771"/>
      <c r="Q899" s="1766"/>
      <c r="R899" s="1766"/>
      <c r="S899" s="1696"/>
      <c r="T899" s="1696"/>
      <c r="U899" s="1772"/>
      <c r="V899" s="1696"/>
      <c r="W899" s="1772"/>
      <c r="X899" s="1696"/>
      <c r="Y899" s="1696"/>
      <c r="Z899" s="1773"/>
    </row>
    <row r="900">
      <c r="A900" s="1766"/>
      <c r="B900" s="1780"/>
      <c r="C900" s="1766"/>
      <c r="D900" s="1766"/>
      <c r="E900" s="1766"/>
      <c r="F900" s="1766"/>
      <c r="G900" s="1766"/>
      <c r="H900" s="1766"/>
      <c r="I900" s="1766"/>
      <c r="J900" s="1766"/>
      <c r="K900" s="1766"/>
      <c r="L900" s="1766"/>
      <c r="M900" s="1766"/>
      <c r="N900" s="1781"/>
      <c r="O900" s="1766"/>
      <c r="P900" s="1766"/>
      <c r="Q900" s="1766"/>
      <c r="R900" s="1766"/>
      <c r="S900" s="1696"/>
      <c r="T900" s="1696"/>
      <c r="U900" s="1772"/>
      <c r="V900" s="1696"/>
      <c r="W900" s="1772"/>
      <c r="X900" s="1696"/>
      <c r="Y900" s="1696"/>
      <c r="Z900" s="1773"/>
    </row>
    <row r="901">
      <c r="A901" s="1765"/>
      <c r="B901" s="1782"/>
      <c r="C901" s="1765"/>
      <c r="D901" s="1765"/>
      <c r="E901" s="1765"/>
      <c r="F901" s="1765"/>
      <c r="G901" s="1765"/>
      <c r="H901" s="1765"/>
      <c r="I901" s="1765"/>
      <c r="J901" s="1765"/>
      <c r="K901" s="1765"/>
      <c r="L901" s="1765"/>
      <c r="M901" s="1765"/>
      <c r="N901" s="1765"/>
      <c r="O901" s="1765"/>
      <c r="P901" s="1765"/>
      <c r="Q901" s="1766"/>
      <c r="R901" s="1766"/>
      <c r="S901" s="1696"/>
      <c r="T901" s="1696"/>
      <c r="U901" s="1772"/>
      <c r="V901" s="1696"/>
      <c r="W901" s="1772"/>
      <c r="X901" s="1696"/>
      <c r="Y901" s="1696"/>
      <c r="Z901" s="1773"/>
    </row>
    <row r="902">
      <c r="A902" s="1771"/>
      <c r="B902" s="1777"/>
      <c r="C902" s="1771"/>
      <c r="D902" s="1771"/>
      <c r="E902" s="1771"/>
      <c r="F902" s="1771"/>
      <c r="G902" s="1770"/>
      <c r="H902" s="1771"/>
      <c r="I902" s="1778"/>
      <c r="J902" s="1771"/>
      <c r="K902" s="1771"/>
      <c r="L902" s="1771"/>
      <c r="M902" s="1771"/>
      <c r="N902" s="1779"/>
      <c r="O902" s="1770"/>
      <c r="P902" s="1771"/>
      <c r="Q902" s="1766"/>
      <c r="R902" s="1766"/>
      <c r="S902" s="1696"/>
      <c r="T902" s="1696"/>
      <c r="U902" s="1772"/>
      <c r="V902" s="1696"/>
      <c r="W902" s="1772"/>
      <c r="X902" s="1696"/>
      <c r="Y902" s="1696"/>
      <c r="Z902" s="1773"/>
    </row>
    <row r="903">
      <c r="A903" s="1766"/>
      <c r="B903" s="1780"/>
      <c r="C903" s="1766"/>
      <c r="D903" s="1766"/>
      <c r="E903" s="1766"/>
      <c r="F903" s="1766"/>
      <c r="G903" s="1766"/>
      <c r="H903" s="1766"/>
      <c r="I903" s="1766"/>
      <c r="J903" s="1766"/>
      <c r="K903" s="1766"/>
      <c r="L903" s="1766"/>
      <c r="M903" s="1766"/>
      <c r="N903" s="1781"/>
      <c r="O903" s="1766"/>
      <c r="P903" s="1766"/>
      <c r="Q903" s="1766"/>
      <c r="R903" s="1766"/>
      <c r="S903" s="1696"/>
      <c r="T903" s="1696"/>
      <c r="U903" s="1772"/>
      <c r="V903" s="1696"/>
      <c r="W903" s="1772"/>
      <c r="X903" s="1696"/>
      <c r="Y903" s="1696"/>
      <c r="Z903" s="1773"/>
    </row>
    <row r="904">
      <c r="A904" s="1765"/>
      <c r="B904" s="1782"/>
      <c r="C904" s="1765"/>
      <c r="D904" s="1765"/>
      <c r="E904" s="1765"/>
      <c r="F904" s="1765"/>
      <c r="G904" s="1765"/>
      <c r="H904" s="1765"/>
      <c r="I904" s="1765"/>
      <c r="J904" s="1765"/>
      <c r="K904" s="1765"/>
      <c r="L904" s="1765"/>
      <c r="M904" s="1765"/>
      <c r="N904" s="1765"/>
      <c r="O904" s="1765"/>
      <c r="P904" s="1765"/>
      <c r="Q904" s="1766"/>
      <c r="R904" s="1766"/>
      <c r="S904" s="1696"/>
      <c r="T904" s="1696"/>
      <c r="U904" s="1772"/>
      <c r="V904" s="1696"/>
      <c r="W904" s="1772"/>
      <c r="X904" s="1696"/>
      <c r="Y904" s="1696"/>
      <c r="Z904" s="1773"/>
    </row>
    <row r="905">
      <c r="A905" s="1771"/>
      <c r="B905" s="1777"/>
      <c r="C905" s="1771"/>
      <c r="D905" s="1771"/>
      <c r="E905" s="1771"/>
      <c r="F905" s="1771"/>
      <c r="G905" s="1770"/>
      <c r="H905" s="1771"/>
      <c r="I905" s="1778"/>
      <c r="J905" s="1771"/>
      <c r="K905" s="1771"/>
      <c r="L905" s="1770"/>
      <c r="M905" s="1771"/>
      <c r="N905" s="1779"/>
      <c r="O905" s="1770"/>
      <c r="P905" s="1771"/>
      <c r="Q905" s="1766"/>
      <c r="R905" s="1766"/>
      <c r="S905" s="1696"/>
      <c r="T905" s="1696"/>
      <c r="U905" s="1772"/>
      <c r="V905" s="1696"/>
      <c r="W905" s="1772"/>
      <c r="X905" s="1696"/>
      <c r="Y905" s="1696"/>
      <c r="Z905" s="1773"/>
    </row>
    <row r="906">
      <c r="A906" s="1766"/>
      <c r="B906" s="1780"/>
      <c r="C906" s="1766"/>
      <c r="D906" s="1766"/>
      <c r="E906" s="1766"/>
      <c r="F906" s="1766"/>
      <c r="G906" s="1766"/>
      <c r="H906" s="1766"/>
      <c r="I906" s="1766"/>
      <c r="J906" s="1766"/>
      <c r="K906" s="1766"/>
      <c r="L906" s="1766"/>
      <c r="M906" s="1766"/>
      <c r="N906" s="1781"/>
      <c r="O906" s="1766"/>
      <c r="P906" s="1766"/>
      <c r="Q906" s="1766"/>
      <c r="R906" s="1766"/>
      <c r="S906" s="1696"/>
      <c r="T906" s="1696"/>
      <c r="U906" s="1772"/>
      <c r="V906" s="1696"/>
      <c r="W906" s="1772"/>
      <c r="X906" s="1696"/>
      <c r="Y906" s="1696"/>
      <c r="Z906" s="1773"/>
    </row>
    <row r="907">
      <c r="A907" s="1765"/>
      <c r="B907" s="1782"/>
      <c r="C907" s="1765"/>
      <c r="D907" s="1765"/>
      <c r="E907" s="1765"/>
      <c r="F907" s="1765"/>
      <c r="G907" s="1765"/>
      <c r="H907" s="1765"/>
      <c r="I907" s="1765"/>
      <c r="J907" s="1765"/>
      <c r="K907" s="1765"/>
      <c r="L907" s="1765"/>
      <c r="M907" s="1765"/>
      <c r="N907" s="1765"/>
      <c r="O907" s="1765"/>
      <c r="P907" s="1765"/>
      <c r="Q907" s="1766"/>
      <c r="R907" s="1766"/>
      <c r="S907" s="1696"/>
      <c r="T907" s="1696"/>
      <c r="U907" s="1772"/>
      <c r="V907" s="1696"/>
      <c r="W907" s="1772"/>
      <c r="X907" s="1696"/>
      <c r="Y907" s="1696"/>
      <c r="Z907" s="1773"/>
    </row>
    <row r="908">
      <c r="A908" s="1771"/>
      <c r="B908" s="1777"/>
      <c r="C908" s="1771"/>
      <c r="D908" s="1771"/>
      <c r="E908" s="1771"/>
      <c r="F908" s="1771"/>
      <c r="G908" s="1770"/>
      <c r="H908" s="1771"/>
      <c r="I908" s="1778"/>
      <c r="J908" s="1771"/>
      <c r="K908" s="1771"/>
      <c r="L908" s="1771"/>
      <c r="M908" s="1771"/>
      <c r="N908" s="1779"/>
      <c r="O908" s="1770"/>
      <c r="P908" s="1771"/>
      <c r="Q908" s="1766"/>
      <c r="R908" s="1766"/>
      <c r="S908" s="1696"/>
      <c r="T908" s="1696"/>
      <c r="U908" s="1772"/>
      <c r="V908" s="1696"/>
      <c r="W908" s="1772"/>
      <c r="X908" s="1696"/>
      <c r="Y908" s="1696"/>
      <c r="Z908" s="1773"/>
    </row>
    <row r="909">
      <c r="A909" s="1766"/>
      <c r="B909" s="1780"/>
      <c r="C909" s="1766"/>
      <c r="D909" s="1766"/>
      <c r="E909" s="1766"/>
      <c r="F909" s="1766"/>
      <c r="G909" s="1766"/>
      <c r="H909" s="1766"/>
      <c r="I909" s="1766"/>
      <c r="J909" s="1766"/>
      <c r="K909" s="1766"/>
      <c r="L909" s="1766"/>
      <c r="M909" s="1766"/>
      <c r="N909" s="1781"/>
      <c r="O909" s="1766"/>
      <c r="P909" s="1766"/>
      <c r="Q909" s="1766"/>
      <c r="R909" s="1766"/>
      <c r="S909" s="1696"/>
      <c r="T909" s="1696"/>
      <c r="U909" s="1772"/>
      <c r="V909" s="1696"/>
      <c r="W909" s="1772"/>
      <c r="X909" s="1696"/>
      <c r="Y909" s="1696"/>
      <c r="Z909" s="1773"/>
    </row>
    <row r="910">
      <c r="A910" s="1765"/>
      <c r="B910" s="1782"/>
      <c r="C910" s="1765"/>
      <c r="D910" s="1765"/>
      <c r="E910" s="1765"/>
      <c r="F910" s="1765"/>
      <c r="G910" s="1765"/>
      <c r="H910" s="1765"/>
      <c r="I910" s="1765"/>
      <c r="J910" s="1765"/>
      <c r="K910" s="1765"/>
      <c r="L910" s="1765"/>
      <c r="M910" s="1765"/>
      <c r="N910" s="1765"/>
      <c r="O910" s="1765"/>
      <c r="P910" s="1765"/>
      <c r="Q910" s="1766"/>
      <c r="R910" s="1766"/>
      <c r="S910" s="1696"/>
      <c r="T910" s="1696"/>
      <c r="U910" s="1772"/>
      <c r="V910" s="1696"/>
      <c r="W910" s="1772"/>
      <c r="X910" s="1696"/>
      <c r="Y910" s="1696"/>
      <c r="Z910" s="1773"/>
    </row>
    <row r="911">
      <c r="A911" s="1771"/>
      <c r="B911" s="1777"/>
      <c r="C911" s="1771"/>
      <c r="D911" s="1771"/>
      <c r="E911" s="1771"/>
      <c r="F911" s="1771"/>
      <c r="G911" s="1771"/>
      <c r="H911" s="1771"/>
      <c r="I911" s="1778"/>
      <c r="J911" s="1771"/>
      <c r="K911" s="1771"/>
      <c r="L911" s="1771"/>
      <c r="M911" s="1771"/>
      <c r="N911" s="1779"/>
      <c r="O911" s="1770"/>
      <c r="P911" s="1771"/>
      <c r="Q911" s="1766"/>
      <c r="R911" s="1766"/>
      <c r="S911" s="1696"/>
      <c r="T911" s="1696"/>
      <c r="U911" s="1772"/>
      <c r="V911" s="1696"/>
      <c r="W911" s="1772"/>
      <c r="X911" s="1696"/>
      <c r="Y911" s="1696"/>
      <c r="Z911" s="1773"/>
    </row>
    <row r="912">
      <c r="A912" s="1766"/>
      <c r="B912" s="1780"/>
      <c r="C912" s="1766"/>
      <c r="D912" s="1766"/>
      <c r="E912" s="1766"/>
      <c r="F912" s="1766"/>
      <c r="G912" s="1766"/>
      <c r="H912" s="1766"/>
      <c r="I912" s="1766"/>
      <c r="J912" s="1766"/>
      <c r="K912" s="1766"/>
      <c r="L912" s="1766"/>
      <c r="M912" s="1766"/>
      <c r="N912" s="1781"/>
      <c r="O912" s="1766"/>
      <c r="P912" s="1766"/>
      <c r="Q912" s="1766"/>
      <c r="R912" s="1766"/>
      <c r="S912" s="1696"/>
      <c r="T912" s="1696"/>
      <c r="U912" s="1772"/>
      <c r="V912" s="1696"/>
      <c r="W912" s="1772"/>
      <c r="X912" s="1696"/>
      <c r="Y912" s="1696"/>
      <c r="Z912" s="1773"/>
    </row>
    <row r="913">
      <c r="A913" s="1765"/>
      <c r="B913" s="1782"/>
      <c r="C913" s="1765"/>
      <c r="D913" s="1765"/>
      <c r="E913" s="1765"/>
      <c r="F913" s="1765"/>
      <c r="G913" s="1765"/>
      <c r="H913" s="1765"/>
      <c r="I913" s="1765"/>
      <c r="J913" s="1765"/>
      <c r="K913" s="1765"/>
      <c r="L913" s="1765"/>
      <c r="M913" s="1765"/>
      <c r="N913" s="1765"/>
      <c r="O913" s="1765"/>
      <c r="P913" s="1765"/>
      <c r="Q913" s="1766"/>
      <c r="R913" s="1766"/>
      <c r="S913" s="1696"/>
      <c r="T913" s="1696"/>
      <c r="U913" s="1772"/>
      <c r="V913" s="1696"/>
      <c r="W913" s="1772"/>
      <c r="X913" s="1696"/>
      <c r="Y913" s="1696"/>
      <c r="Z913" s="1773"/>
    </row>
    <row r="914">
      <c r="A914" s="1771"/>
      <c r="B914" s="1777"/>
      <c r="C914" s="1771"/>
      <c r="D914" s="1771"/>
      <c r="E914" s="1771"/>
      <c r="F914" s="1771"/>
      <c r="G914" s="1770"/>
      <c r="H914" s="1771"/>
      <c r="I914" s="1778"/>
      <c r="J914" s="1771"/>
      <c r="K914" s="1771"/>
      <c r="L914" s="1771"/>
      <c r="M914" s="1771"/>
      <c r="N914" s="1779"/>
      <c r="O914" s="1770"/>
      <c r="P914" s="1771"/>
      <c r="Q914" s="1766"/>
      <c r="R914" s="1766"/>
      <c r="S914" s="1696"/>
      <c r="T914" s="1696"/>
      <c r="U914" s="1772"/>
      <c r="V914" s="1696"/>
      <c r="W914" s="1772"/>
      <c r="X914" s="1696"/>
      <c r="Y914" s="1696"/>
      <c r="Z914" s="1773"/>
    </row>
    <row r="915">
      <c r="A915" s="1766"/>
      <c r="B915" s="1780"/>
      <c r="C915" s="1766"/>
      <c r="D915" s="1766"/>
      <c r="E915" s="1766"/>
      <c r="F915" s="1766"/>
      <c r="G915" s="1766"/>
      <c r="H915" s="1766"/>
      <c r="I915" s="1766"/>
      <c r="J915" s="1766"/>
      <c r="K915" s="1766"/>
      <c r="L915" s="1766"/>
      <c r="M915" s="1766"/>
      <c r="N915" s="1781"/>
      <c r="O915" s="1766"/>
      <c r="P915" s="1766"/>
      <c r="Q915" s="1766"/>
      <c r="R915" s="1766"/>
      <c r="S915" s="1696"/>
      <c r="T915" s="1696"/>
      <c r="U915" s="1772"/>
      <c r="V915" s="1696"/>
      <c r="W915" s="1772"/>
      <c r="X915" s="1696"/>
      <c r="Y915" s="1696"/>
      <c r="Z915" s="1773"/>
    </row>
    <row r="916">
      <c r="A916" s="1765"/>
      <c r="B916" s="1782"/>
      <c r="C916" s="1765"/>
      <c r="D916" s="1765"/>
      <c r="E916" s="1765"/>
      <c r="F916" s="1765"/>
      <c r="G916" s="1765"/>
      <c r="H916" s="1765"/>
      <c r="I916" s="1765"/>
      <c r="J916" s="1765"/>
      <c r="K916" s="1765"/>
      <c r="L916" s="1765"/>
      <c r="M916" s="1765"/>
      <c r="N916" s="1765"/>
      <c r="O916" s="1765"/>
      <c r="P916" s="1765"/>
      <c r="Q916" s="1766"/>
      <c r="R916" s="1766"/>
      <c r="S916" s="1696"/>
      <c r="T916" s="1696"/>
      <c r="U916" s="1772"/>
      <c r="V916" s="1696"/>
      <c r="W916" s="1772"/>
      <c r="X916" s="1696"/>
      <c r="Y916" s="1696"/>
      <c r="Z916" s="1773"/>
    </row>
    <row r="917">
      <c r="A917" s="1771"/>
      <c r="B917" s="1777"/>
      <c r="C917" s="1771"/>
      <c r="D917" s="1771"/>
      <c r="E917" s="1770"/>
      <c r="F917" s="1771"/>
      <c r="G917" s="1770"/>
      <c r="H917" s="1771"/>
      <c r="I917" s="1778"/>
      <c r="J917" s="1771"/>
      <c r="K917" s="1771"/>
      <c r="L917" s="1771"/>
      <c r="M917" s="1771"/>
      <c r="N917" s="1779"/>
      <c r="O917" s="1770"/>
      <c r="P917" s="1771"/>
      <c r="Q917" s="1766"/>
      <c r="R917" s="1766"/>
      <c r="S917" s="1696"/>
      <c r="T917" s="1696"/>
      <c r="U917" s="1772"/>
      <c r="V917" s="1696"/>
      <c r="W917" s="1772"/>
      <c r="X917" s="1696"/>
      <c r="Y917" s="1696"/>
      <c r="Z917" s="1773"/>
    </row>
    <row r="918">
      <c r="A918" s="1766"/>
      <c r="B918" s="1780"/>
      <c r="C918" s="1766"/>
      <c r="D918" s="1766"/>
      <c r="E918" s="1766"/>
      <c r="F918" s="1766"/>
      <c r="G918" s="1766"/>
      <c r="H918" s="1766"/>
      <c r="I918" s="1766"/>
      <c r="J918" s="1766"/>
      <c r="K918" s="1766"/>
      <c r="L918" s="1766"/>
      <c r="M918" s="1766"/>
      <c r="N918" s="1781"/>
      <c r="O918" s="1766"/>
      <c r="P918" s="1766"/>
      <c r="Q918" s="1766"/>
      <c r="R918" s="1766"/>
      <c r="S918" s="1696"/>
      <c r="T918" s="1696"/>
      <c r="U918" s="1772"/>
      <c r="V918" s="1696"/>
      <c r="W918" s="1772"/>
      <c r="X918" s="1696"/>
      <c r="Y918" s="1696"/>
      <c r="Z918" s="1773"/>
    </row>
    <row r="919">
      <c r="A919" s="1765"/>
      <c r="B919" s="1782"/>
      <c r="C919" s="1765"/>
      <c r="D919" s="1765"/>
      <c r="E919" s="1765"/>
      <c r="F919" s="1765"/>
      <c r="G919" s="1765"/>
      <c r="H919" s="1765"/>
      <c r="I919" s="1765"/>
      <c r="J919" s="1765"/>
      <c r="K919" s="1765"/>
      <c r="L919" s="1765"/>
      <c r="M919" s="1765"/>
      <c r="N919" s="1765"/>
      <c r="O919" s="1765"/>
      <c r="P919" s="1765"/>
      <c r="Q919" s="1766"/>
      <c r="R919" s="1766"/>
      <c r="S919" s="1696"/>
      <c r="T919" s="1696"/>
      <c r="U919" s="1772"/>
      <c r="V919" s="1696"/>
      <c r="W919" s="1772"/>
      <c r="X919" s="1696"/>
      <c r="Y919" s="1696"/>
      <c r="Z919" s="1773"/>
    </row>
    <row r="920">
      <c r="A920" s="1771"/>
      <c r="B920" s="1777"/>
      <c r="C920" s="1771"/>
      <c r="D920" s="1771"/>
      <c r="E920" s="1771"/>
      <c r="F920" s="1771"/>
      <c r="G920" s="1777"/>
      <c r="H920" s="1771"/>
      <c r="I920" s="1778"/>
      <c r="J920" s="1771"/>
      <c r="K920" s="1771"/>
      <c r="L920" s="1771"/>
      <c r="M920" s="1771"/>
      <c r="N920" s="1779"/>
      <c r="O920" s="1770"/>
      <c r="P920" s="1771"/>
      <c r="Q920" s="1766"/>
      <c r="R920" s="1766"/>
      <c r="S920" s="1696"/>
      <c r="T920" s="1696"/>
      <c r="U920" s="1772"/>
      <c r="V920" s="1696"/>
      <c r="W920" s="1772"/>
      <c r="X920" s="1696"/>
      <c r="Y920" s="1696"/>
      <c r="Z920" s="1773"/>
    </row>
    <row r="921">
      <c r="A921" s="1766"/>
      <c r="B921" s="1780"/>
      <c r="C921" s="1766"/>
      <c r="D921" s="1766"/>
      <c r="E921" s="1766"/>
      <c r="F921" s="1766"/>
      <c r="G921" s="1766"/>
      <c r="H921" s="1766"/>
      <c r="I921" s="1766"/>
      <c r="J921" s="1766"/>
      <c r="K921" s="1766"/>
      <c r="L921" s="1766"/>
      <c r="M921" s="1766"/>
      <c r="N921" s="1781"/>
      <c r="O921" s="1766"/>
      <c r="P921" s="1766"/>
      <c r="Q921" s="1766"/>
      <c r="R921" s="1766"/>
      <c r="S921" s="1696"/>
      <c r="T921" s="1696"/>
      <c r="U921" s="1772"/>
      <c r="V921" s="1696"/>
      <c r="W921" s="1772"/>
      <c r="X921" s="1696"/>
      <c r="Y921" s="1696"/>
      <c r="Z921" s="1773"/>
    </row>
    <row r="922">
      <c r="A922" s="1765"/>
      <c r="B922" s="1782"/>
      <c r="C922" s="1765"/>
      <c r="D922" s="1765"/>
      <c r="E922" s="1765"/>
      <c r="F922" s="1765"/>
      <c r="G922" s="1765"/>
      <c r="H922" s="1765"/>
      <c r="I922" s="1765"/>
      <c r="J922" s="1765"/>
      <c r="K922" s="1765"/>
      <c r="L922" s="1765"/>
      <c r="M922" s="1765"/>
      <c r="N922" s="1765"/>
      <c r="O922" s="1765"/>
      <c r="P922" s="1765"/>
      <c r="Q922" s="1766"/>
      <c r="R922" s="1766"/>
      <c r="S922" s="1696"/>
      <c r="T922" s="1696"/>
      <c r="U922" s="1772"/>
      <c r="V922" s="1696"/>
      <c r="W922" s="1772"/>
      <c r="X922" s="1696"/>
      <c r="Y922" s="1696"/>
      <c r="Z922" s="1773"/>
    </row>
    <row r="923">
      <c r="A923" s="1771"/>
      <c r="B923" s="1777"/>
      <c r="C923" s="1771"/>
      <c r="D923" s="1771"/>
      <c r="E923" s="1771"/>
      <c r="F923" s="1771"/>
      <c r="G923" s="1770"/>
      <c r="H923" s="1771"/>
      <c r="I923" s="1778"/>
      <c r="J923" s="1771"/>
      <c r="K923" s="1771"/>
      <c r="L923" s="1771"/>
      <c r="M923" s="1771"/>
      <c r="N923" s="1779"/>
      <c r="O923" s="1770"/>
      <c r="P923" s="1771"/>
      <c r="Q923" s="1766"/>
      <c r="R923" s="1766"/>
      <c r="S923" s="1696"/>
      <c r="T923" s="1696"/>
      <c r="U923" s="1772"/>
      <c r="V923" s="1696"/>
      <c r="W923" s="1772"/>
      <c r="X923" s="1696"/>
      <c r="Y923" s="1696"/>
      <c r="Z923" s="1773"/>
    </row>
    <row r="924">
      <c r="A924" s="1766"/>
      <c r="B924" s="1780"/>
      <c r="C924" s="1766"/>
      <c r="D924" s="1766"/>
      <c r="E924" s="1766"/>
      <c r="F924" s="1766"/>
      <c r="G924" s="1766"/>
      <c r="H924" s="1766"/>
      <c r="I924" s="1766"/>
      <c r="J924" s="1766"/>
      <c r="K924" s="1766"/>
      <c r="L924" s="1766"/>
      <c r="M924" s="1766"/>
      <c r="N924" s="1781"/>
      <c r="O924" s="1766"/>
      <c r="P924" s="1766"/>
      <c r="Q924" s="1766"/>
      <c r="R924" s="1766"/>
      <c r="S924" s="1696"/>
      <c r="T924" s="1696"/>
      <c r="U924" s="1772"/>
      <c r="V924" s="1696"/>
      <c r="W924" s="1772"/>
      <c r="X924" s="1696"/>
      <c r="Y924" s="1696"/>
      <c r="Z924" s="1773"/>
    </row>
    <row r="925">
      <c r="A925" s="1765"/>
      <c r="B925" s="1782"/>
      <c r="C925" s="1765"/>
      <c r="D925" s="1765"/>
      <c r="E925" s="1765"/>
      <c r="F925" s="1765"/>
      <c r="G925" s="1765"/>
      <c r="H925" s="1765"/>
      <c r="I925" s="1765"/>
      <c r="J925" s="1765"/>
      <c r="K925" s="1765"/>
      <c r="L925" s="1765"/>
      <c r="M925" s="1765"/>
      <c r="N925" s="1765"/>
      <c r="O925" s="1765"/>
      <c r="P925" s="1765"/>
      <c r="Q925" s="1766"/>
      <c r="R925" s="1766"/>
      <c r="S925" s="1696"/>
      <c r="T925" s="1696"/>
      <c r="U925" s="1772"/>
      <c r="V925" s="1696"/>
      <c r="W925" s="1772"/>
      <c r="X925" s="1696"/>
      <c r="Y925" s="1696"/>
      <c r="Z925" s="1773"/>
    </row>
    <row r="926">
      <c r="A926" s="1771"/>
      <c r="B926" s="1777"/>
      <c r="C926" s="1771"/>
      <c r="D926" s="1771"/>
      <c r="E926" s="1771"/>
      <c r="F926" s="1771"/>
      <c r="G926" s="1770"/>
      <c r="H926" s="1771"/>
      <c r="I926" s="1778"/>
      <c r="J926" s="1771"/>
      <c r="K926" s="1771"/>
      <c r="L926" s="1771"/>
      <c r="M926" s="1771"/>
      <c r="N926" s="1779"/>
      <c r="O926" s="1770"/>
      <c r="P926" s="1771"/>
      <c r="Q926" s="1766"/>
      <c r="R926" s="1766"/>
      <c r="S926" s="1696"/>
      <c r="T926" s="1696"/>
      <c r="U926" s="1772"/>
      <c r="V926" s="1696"/>
      <c r="W926" s="1772"/>
      <c r="X926" s="1696"/>
      <c r="Y926" s="1696"/>
      <c r="Z926" s="1773"/>
    </row>
    <row r="927">
      <c r="A927" s="1766"/>
      <c r="B927" s="1780"/>
      <c r="C927" s="1766"/>
      <c r="D927" s="1766"/>
      <c r="E927" s="1766"/>
      <c r="F927" s="1766"/>
      <c r="G927" s="1766"/>
      <c r="H927" s="1766"/>
      <c r="I927" s="1766"/>
      <c r="J927" s="1766"/>
      <c r="K927" s="1766"/>
      <c r="L927" s="1766"/>
      <c r="M927" s="1766"/>
      <c r="N927" s="1781"/>
      <c r="O927" s="1766"/>
      <c r="P927" s="1766"/>
      <c r="Q927" s="1766"/>
      <c r="R927" s="1766"/>
      <c r="S927" s="1696"/>
      <c r="T927" s="1696"/>
      <c r="U927" s="1772"/>
      <c r="V927" s="1696"/>
      <c r="W927" s="1772"/>
      <c r="X927" s="1696"/>
      <c r="Y927" s="1696"/>
      <c r="Z927" s="1773"/>
    </row>
    <row r="928">
      <c r="A928" s="1765"/>
      <c r="B928" s="1782"/>
      <c r="C928" s="1765"/>
      <c r="D928" s="1765"/>
      <c r="E928" s="1765"/>
      <c r="F928" s="1765"/>
      <c r="G928" s="1765"/>
      <c r="H928" s="1765"/>
      <c r="I928" s="1765"/>
      <c r="J928" s="1765"/>
      <c r="K928" s="1765"/>
      <c r="L928" s="1765"/>
      <c r="M928" s="1765"/>
      <c r="N928" s="1765"/>
      <c r="O928" s="1765"/>
      <c r="P928" s="1765"/>
      <c r="Q928" s="1766"/>
      <c r="R928" s="1766"/>
      <c r="S928" s="1696"/>
      <c r="T928" s="1696"/>
      <c r="U928" s="1772"/>
      <c r="V928" s="1696"/>
      <c r="W928" s="1772"/>
      <c r="X928" s="1696"/>
      <c r="Y928" s="1696"/>
      <c r="Z928" s="1773"/>
    </row>
    <row r="929">
      <c r="A929" s="1771"/>
      <c r="B929" s="1777"/>
      <c r="C929" s="1771"/>
      <c r="D929" s="1771"/>
      <c r="E929" s="1771"/>
      <c r="F929" s="1771"/>
      <c r="G929" s="1771"/>
      <c r="H929" s="1771"/>
      <c r="I929" s="1778"/>
      <c r="J929" s="1771"/>
      <c r="K929" s="1771"/>
      <c r="L929" s="1771"/>
      <c r="M929" s="1771"/>
      <c r="N929" s="1779"/>
      <c r="O929" s="1770"/>
      <c r="P929" s="1771"/>
      <c r="Q929" s="1766"/>
      <c r="R929" s="1766"/>
      <c r="S929" s="1696"/>
      <c r="T929" s="1696"/>
      <c r="U929" s="1772"/>
      <c r="V929" s="1696"/>
      <c r="W929" s="1772"/>
      <c r="X929" s="1696"/>
      <c r="Y929" s="1696"/>
      <c r="Z929" s="1773"/>
    </row>
    <row r="930">
      <c r="A930" s="1766"/>
      <c r="B930" s="1780"/>
      <c r="C930" s="1766"/>
      <c r="D930" s="1766"/>
      <c r="E930" s="1766"/>
      <c r="F930" s="1766"/>
      <c r="G930" s="1766"/>
      <c r="H930" s="1766"/>
      <c r="I930" s="1766"/>
      <c r="J930" s="1766"/>
      <c r="K930" s="1766"/>
      <c r="L930" s="1766"/>
      <c r="M930" s="1766"/>
      <c r="N930" s="1781"/>
      <c r="O930" s="1766"/>
      <c r="P930" s="1766"/>
      <c r="Q930" s="1766"/>
      <c r="R930" s="1766"/>
      <c r="S930" s="1696"/>
      <c r="T930" s="1696"/>
      <c r="U930" s="1772"/>
      <c r="V930" s="1696"/>
      <c r="W930" s="1772"/>
      <c r="X930" s="1696"/>
      <c r="Y930" s="1696"/>
      <c r="Z930" s="1773"/>
    </row>
    <row r="931">
      <c r="A931" s="1765"/>
      <c r="B931" s="1782"/>
      <c r="C931" s="1765"/>
      <c r="D931" s="1765"/>
      <c r="E931" s="1765"/>
      <c r="F931" s="1765"/>
      <c r="G931" s="1765"/>
      <c r="H931" s="1765"/>
      <c r="I931" s="1765"/>
      <c r="J931" s="1765"/>
      <c r="K931" s="1765"/>
      <c r="L931" s="1765"/>
      <c r="M931" s="1765"/>
      <c r="N931" s="1765"/>
      <c r="O931" s="1765"/>
      <c r="P931" s="1765"/>
      <c r="Q931" s="1766"/>
      <c r="R931" s="1766"/>
      <c r="S931" s="1696"/>
      <c r="T931" s="1696"/>
      <c r="U931" s="1772"/>
      <c r="V931" s="1696"/>
      <c r="W931" s="1772"/>
      <c r="X931" s="1696"/>
      <c r="Y931" s="1696"/>
      <c r="Z931" s="1773"/>
    </row>
    <row r="932">
      <c r="A932" s="1771"/>
      <c r="B932" s="1777"/>
      <c r="C932" s="1771"/>
      <c r="D932" s="1771"/>
      <c r="E932" s="1771"/>
      <c r="F932" s="1771"/>
      <c r="G932" s="1770"/>
      <c r="H932" s="1771"/>
      <c r="I932" s="1778"/>
      <c r="J932" s="1771"/>
      <c r="K932" s="1771"/>
      <c r="L932" s="1771"/>
      <c r="M932" s="1771"/>
      <c r="N932" s="1779"/>
      <c r="O932" s="1770"/>
      <c r="P932" s="1771"/>
      <c r="Q932" s="1766"/>
      <c r="R932" s="1766"/>
      <c r="S932" s="1696"/>
      <c r="T932" s="1696"/>
      <c r="U932" s="1772"/>
      <c r="V932" s="1696"/>
      <c r="W932" s="1772"/>
      <c r="X932" s="1696"/>
      <c r="Y932" s="1696"/>
      <c r="Z932" s="1773"/>
    </row>
    <row r="933">
      <c r="A933" s="1766"/>
      <c r="B933" s="1780"/>
      <c r="C933" s="1766"/>
      <c r="D933" s="1766"/>
      <c r="E933" s="1766"/>
      <c r="F933" s="1766"/>
      <c r="G933" s="1766"/>
      <c r="H933" s="1766"/>
      <c r="I933" s="1766"/>
      <c r="J933" s="1766"/>
      <c r="K933" s="1766"/>
      <c r="L933" s="1766"/>
      <c r="M933" s="1766"/>
      <c r="N933" s="1781"/>
      <c r="O933" s="1766"/>
      <c r="P933" s="1766"/>
      <c r="Q933" s="1766"/>
      <c r="R933" s="1766"/>
      <c r="S933" s="1696"/>
      <c r="T933" s="1696"/>
      <c r="U933" s="1772"/>
      <c r="V933" s="1696"/>
      <c r="W933" s="1772"/>
      <c r="X933" s="1696"/>
      <c r="Y933" s="1696"/>
      <c r="Z933" s="1773"/>
    </row>
    <row r="934">
      <c r="A934" s="1765"/>
      <c r="B934" s="1782"/>
      <c r="C934" s="1765"/>
      <c r="D934" s="1765"/>
      <c r="E934" s="1765"/>
      <c r="F934" s="1765"/>
      <c r="G934" s="1765"/>
      <c r="H934" s="1765"/>
      <c r="I934" s="1765"/>
      <c r="J934" s="1765"/>
      <c r="K934" s="1765"/>
      <c r="L934" s="1765"/>
      <c r="M934" s="1765"/>
      <c r="N934" s="1765"/>
      <c r="O934" s="1765"/>
      <c r="P934" s="1765"/>
      <c r="Q934" s="1766"/>
      <c r="R934" s="1766"/>
      <c r="S934" s="1696"/>
      <c r="T934" s="1696"/>
      <c r="U934" s="1772"/>
      <c r="V934" s="1696"/>
      <c r="W934" s="1772"/>
      <c r="X934" s="1696"/>
      <c r="Y934" s="1696"/>
      <c r="Z934" s="1773"/>
    </row>
    <row r="935">
      <c r="A935" s="1771"/>
      <c r="B935" s="1777"/>
      <c r="C935" s="1771"/>
      <c r="D935" s="1771"/>
      <c r="E935" s="1771"/>
      <c r="F935" s="1771"/>
      <c r="G935" s="1770"/>
      <c r="H935" s="1771"/>
      <c r="I935" s="1778"/>
      <c r="J935" s="1771"/>
      <c r="K935" s="1771"/>
      <c r="L935" s="1771"/>
      <c r="M935" s="1771"/>
      <c r="N935" s="1779"/>
      <c r="O935" s="1770"/>
      <c r="P935" s="1771"/>
      <c r="Q935" s="1766"/>
      <c r="R935" s="1766"/>
      <c r="S935" s="1696"/>
      <c r="T935" s="1696"/>
      <c r="U935" s="1772"/>
      <c r="V935" s="1696"/>
      <c r="W935" s="1772"/>
      <c r="X935" s="1696"/>
      <c r="Y935" s="1696"/>
      <c r="Z935" s="1773"/>
    </row>
    <row r="936">
      <c r="A936" s="1766"/>
      <c r="B936" s="1780"/>
      <c r="C936" s="1766"/>
      <c r="D936" s="1766"/>
      <c r="E936" s="1766"/>
      <c r="F936" s="1766"/>
      <c r="G936" s="1766"/>
      <c r="H936" s="1766"/>
      <c r="I936" s="1766"/>
      <c r="J936" s="1766"/>
      <c r="K936" s="1766"/>
      <c r="L936" s="1766"/>
      <c r="M936" s="1766"/>
      <c r="N936" s="1781"/>
      <c r="O936" s="1766"/>
      <c r="P936" s="1766"/>
      <c r="Q936" s="1766"/>
      <c r="R936" s="1766"/>
      <c r="S936" s="1696"/>
      <c r="T936" s="1696"/>
      <c r="U936" s="1772"/>
      <c r="V936" s="1696"/>
      <c r="W936" s="1772"/>
      <c r="X936" s="1696"/>
      <c r="Y936" s="1696"/>
      <c r="Z936" s="1773"/>
    </row>
    <row r="937">
      <c r="A937" s="1765"/>
      <c r="B937" s="1782"/>
      <c r="C937" s="1765"/>
      <c r="D937" s="1765"/>
      <c r="E937" s="1765"/>
      <c r="F937" s="1765"/>
      <c r="G937" s="1765"/>
      <c r="H937" s="1765"/>
      <c r="I937" s="1765"/>
      <c r="J937" s="1765"/>
      <c r="K937" s="1765"/>
      <c r="L937" s="1765"/>
      <c r="M937" s="1765"/>
      <c r="N937" s="1765"/>
      <c r="O937" s="1765"/>
      <c r="P937" s="1765"/>
      <c r="Q937" s="1766"/>
      <c r="R937" s="1766"/>
      <c r="S937" s="1696"/>
      <c r="T937" s="1696"/>
      <c r="U937" s="1772"/>
      <c r="V937" s="1696"/>
      <c r="W937" s="1772"/>
      <c r="X937" s="1696"/>
      <c r="Y937" s="1696"/>
      <c r="Z937" s="1773"/>
    </row>
    <row r="938">
      <c r="A938" s="1771"/>
      <c r="B938" s="1777"/>
      <c r="C938" s="1771"/>
      <c r="D938" s="1771"/>
      <c r="E938" s="1771"/>
      <c r="F938" s="1771"/>
      <c r="G938" s="1770"/>
      <c r="H938" s="1771"/>
      <c r="I938" s="1770"/>
      <c r="J938" s="1771"/>
      <c r="K938" s="1771"/>
      <c r="L938" s="1771"/>
      <c r="M938" s="1771"/>
      <c r="N938" s="1779"/>
      <c r="O938" s="1770"/>
      <c r="P938" s="1771"/>
      <c r="Q938" s="1766"/>
      <c r="R938" s="1766"/>
      <c r="S938" s="1696"/>
      <c r="T938" s="1696"/>
      <c r="U938" s="1772"/>
      <c r="V938" s="1696"/>
      <c r="W938" s="1772"/>
      <c r="X938" s="1696"/>
      <c r="Y938" s="1696"/>
      <c r="Z938" s="1773"/>
    </row>
    <row r="939">
      <c r="A939" s="1766"/>
      <c r="B939" s="1780"/>
      <c r="C939" s="1766"/>
      <c r="D939" s="1766"/>
      <c r="E939" s="1766"/>
      <c r="F939" s="1766"/>
      <c r="G939" s="1766"/>
      <c r="H939" s="1766"/>
      <c r="I939" s="1766"/>
      <c r="J939" s="1766"/>
      <c r="K939" s="1766"/>
      <c r="L939" s="1766"/>
      <c r="M939" s="1766"/>
      <c r="N939" s="1781"/>
      <c r="O939" s="1766"/>
      <c r="P939" s="1766"/>
      <c r="Q939" s="1766"/>
      <c r="R939" s="1766"/>
      <c r="S939" s="1696"/>
      <c r="T939" s="1696"/>
      <c r="U939" s="1772"/>
      <c r="V939" s="1696"/>
      <c r="W939" s="1772"/>
      <c r="X939" s="1696"/>
      <c r="Y939" s="1696"/>
      <c r="Z939" s="1773"/>
    </row>
    <row r="940">
      <c r="A940" s="1765"/>
      <c r="B940" s="1782"/>
      <c r="C940" s="1765"/>
      <c r="D940" s="1765"/>
      <c r="E940" s="1765"/>
      <c r="F940" s="1765"/>
      <c r="G940" s="1765"/>
      <c r="H940" s="1765"/>
      <c r="I940" s="1765"/>
      <c r="J940" s="1765"/>
      <c r="K940" s="1765"/>
      <c r="L940" s="1765"/>
      <c r="M940" s="1765"/>
      <c r="N940" s="1765"/>
      <c r="O940" s="1765"/>
      <c r="P940" s="1765"/>
      <c r="Q940" s="1766"/>
      <c r="R940" s="1766"/>
      <c r="S940" s="1696"/>
      <c r="T940" s="1696"/>
      <c r="U940" s="1772"/>
      <c r="V940" s="1696"/>
      <c r="W940" s="1772"/>
      <c r="X940" s="1696"/>
      <c r="Y940" s="1696"/>
      <c r="Z940" s="1773"/>
    </row>
    <row r="941">
      <c r="A941" s="1771"/>
      <c r="B941" s="1777"/>
      <c r="C941" s="1771"/>
      <c r="D941" s="1771"/>
      <c r="E941" s="1771"/>
      <c r="F941" s="1771"/>
      <c r="G941" s="1770"/>
      <c r="H941" s="1771"/>
      <c r="I941" s="1770"/>
      <c r="J941" s="1771"/>
      <c r="K941" s="1771"/>
      <c r="L941" s="1771"/>
      <c r="M941" s="1771"/>
      <c r="N941" s="1779"/>
      <c r="O941" s="1770"/>
      <c r="P941" s="1771"/>
      <c r="Q941" s="1766"/>
      <c r="R941" s="1766"/>
      <c r="S941" s="1696"/>
      <c r="T941" s="1696"/>
      <c r="U941" s="1772"/>
      <c r="V941" s="1696"/>
      <c r="W941" s="1772"/>
      <c r="X941" s="1696"/>
      <c r="Y941" s="1696"/>
      <c r="Z941" s="1773"/>
    </row>
    <row r="942">
      <c r="A942" s="1766"/>
      <c r="B942" s="1780"/>
      <c r="C942" s="1766"/>
      <c r="D942" s="1766"/>
      <c r="E942" s="1766"/>
      <c r="F942" s="1766"/>
      <c r="G942" s="1766"/>
      <c r="H942" s="1766"/>
      <c r="I942" s="1766"/>
      <c r="J942" s="1766"/>
      <c r="K942" s="1766"/>
      <c r="L942" s="1766"/>
      <c r="M942" s="1766"/>
      <c r="N942" s="1781"/>
      <c r="O942" s="1766"/>
      <c r="P942" s="1766"/>
      <c r="Q942" s="1766"/>
      <c r="R942" s="1766"/>
      <c r="S942" s="1696"/>
      <c r="T942" s="1696"/>
      <c r="U942" s="1772"/>
      <c r="V942" s="1696"/>
      <c r="W942" s="1772"/>
      <c r="X942" s="1696"/>
      <c r="Y942" s="1696"/>
      <c r="Z942" s="1773"/>
    </row>
    <row r="943">
      <c r="A943" s="1765"/>
      <c r="B943" s="1782"/>
      <c r="C943" s="1765"/>
      <c r="D943" s="1765"/>
      <c r="E943" s="1765"/>
      <c r="F943" s="1765"/>
      <c r="G943" s="1765"/>
      <c r="H943" s="1765"/>
      <c r="I943" s="1765"/>
      <c r="J943" s="1765"/>
      <c r="K943" s="1765"/>
      <c r="L943" s="1765"/>
      <c r="M943" s="1765"/>
      <c r="N943" s="1765"/>
      <c r="O943" s="1765"/>
      <c r="P943" s="1765"/>
      <c r="Q943" s="1766"/>
      <c r="R943" s="1766"/>
      <c r="S943" s="1696"/>
      <c r="T943" s="1696"/>
      <c r="U943" s="1772"/>
      <c r="V943" s="1696"/>
      <c r="W943" s="1772"/>
      <c r="X943" s="1696"/>
      <c r="Y943" s="1696"/>
      <c r="Z943" s="1773"/>
    </row>
    <row r="944">
      <c r="A944" s="1771"/>
      <c r="B944" s="1777"/>
      <c r="C944" s="1771"/>
      <c r="D944" s="1771"/>
      <c r="E944" s="1771"/>
      <c r="F944" s="1771"/>
      <c r="G944" s="1771"/>
      <c r="H944" s="1771"/>
      <c r="I944" s="1778"/>
      <c r="J944" s="1771"/>
      <c r="K944" s="1771"/>
      <c r="L944" s="1771"/>
      <c r="M944" s="1771"/>
      <c r="N944" s="1779"/>
      <c r="O944" s="1770"/>
      <c r="P944" s="1771"/>
      <c r="Q944" s="1766"/>
      <c r="R944" s="1766"/>
      <c r="S944" s="1696"/>
      <c r="T944" s="1696"/>
      <c r="U944" s="1772"/>
      <c r="V944" s="1696"/>
      <c r="W944" s="1772"/>
      <c r="X944" s="1696"/>
      <c r="Y944" s="1696"/>
      <c r="Z944" s="1773"/>
    </row>
    <row r="945">
      <c r="A945" s="1766"/>
      <c r="B945" s="1780"/>
      <c r="C945" s="1766"/>
      <c r="D945" s="1766"/>
      <c r="E945" s="1766"/>
      <c r="F945" s="1766"/>
      <c r="G945" s="1766"/>
      <c r="H945" s="1766"/>
      <c r="I945" s="1766"/>
      <c r="J945" s="1766"/>
      <c r="K945" s="1766"/>
      <c r="L945" s="1766"/>
      <c r="M945" s="1766"/>
      <c r="N945" s="1781"/>
      <c r="O945" s="1766"/>
      <c r="P945" s="1766"/>
      <c r="Q945" s="1766"/>
      <c r="R945" s="1766"/>
      <c r="S945" s="1696"/>
      <c r="T945" s="1696"/>
      <c r="U945" s="1772"/>
      <c r="V945" s="1696"/>
      <c r="W945" s="1772"/>
      <c r="X945" s="1696"/>
      <c r="Y945" s="1696"/>
      <c r="Z945" s="1773"/>
    </row>
    <row r="946">
      <c r="A946" s="1765"/>
      <c r="B946" s="1782"/>
      <c r="C946" s="1765"/>
      <c r="D946" s="1765"/>
      <c r="E946" s="1765"/>
      <c r="F946" s="1765"/>
      <c r="G946" s="1765"/>
      <c r="H946" s="1765"/>
      <c r="I946" s="1765"/>
      <c r="J946" s="1765"/>
      <c r="K946" s="1765"/>
      <c r="L946" s="1765"/>
      <c r="M946" s="1765"/>
      <c r="N946" s="1765"/>
      <c r="O946" s="1765"/>
      <c r="P946" s="1765"/>
      <c r="Q946" s="1766"/>
      <c r="R946" s="1766"/>
      <c r="S946" s="1696"/>
      <c r="T946" s="1696"/>
      <c r="U946" s="1772"/>
      <c r="V946" s="1696"/>
      <c r="W946" s="1772"/>
      <c r="X946" s="1696"/>
      <c r="Y946" s="1696"/>
      <c r="Z946" s="1773"/>
    </row>
    <row r="947">
      <c r="A947" s="1771"/>
      <c r="B947" s="1777"/>
      <c r="C947" s="1771"/>
      <c r="D947" s="1771"/>
      <c r="E947" s="1771"/>
      <c r="F947" s="1771"/>
      <c r="G947" s="1771"/>
      <c r="H947" s="1771"/>
      <c r="I947" s="1778"/>
      <c r="J947" s="1771"/>
      <c r="K947" s="1771"/>
      <c r="L947" s="1771"/>
      <c r="M947" s="1771"/>
      <c r="N947" s="1779"/>
      <c r="O947" s="1770"/>
      <c r="P947" s="1771"/>
      <c r="Q947" s="1766"/>
      <c r="R947" s="1766"/>
      <c r="S947" s="1696"/>
      <c r="T947" s="1696"/>
      <c r="U947" s="1772"/>
      <c r="V947" s="1696"/>
      <c r="W947" s="1772"/>
      <c r="X947" s="1696"/>
      <c r="Y947" s="1696"/>
      <c r="Z947" s="1773"/>
    </row>
    <row r="948">
      <c r="A948" s="1766"/>
      <c r="B948" s="1780"/>
      <c r="C948" s="1766"/>
      <c r="D948" s="1766"/>
      <c r="E948" s="1766"/>
      <c r="F948" s="1766"/>
      <c r="G948" s="1766"/>
      <c r="H948" s="1766"/>
      <c r="I948" s="1766"/>
      <c r="J948" s="1766"/>
      <c r="K948" s="1766"/>
      <c r="L948" s="1766"/>
      <c r="M948" s="1766"/>
      <c r="N948" s="1781"/>
      <c r="O948" s="1766"/>
      <c r="P948" s="1766"/>
      <c r="Q948" s="1766"/>
      <c r="R948" s="1766"/>
      <c r="S948" s="1696"/>
      <c r="T948" s="1696"/>
      <c r="U948" s="1772"/>
      <c r="V948" s="1696"/>
      <c r="W948" s="1772"/>
      <c r="X948" s="1696"/>
      <c r="Y948" s="1696"/>
      <c r="Z948" s="1773"/>
    </row>
    <row r="949">
      <c r="A949" s="1765"/>
      <c r="B949" s="1782"/>
      <c r="C949" s="1765"/>
      <c r="D949" s="1765"/>
      <c r="E949" s="1765"/>
      <c r="F949" s="1765"/>
      <c r="G949" s="1765"/>
      <c r="H949" s="1765"/>
      <c r="I949" s="1765"/>
      <c r="J949" s="1765"/>
      <c r="K949" s="1765"/>
      <c r="L949" s="1765"/>
      <c r="M949" s="1765"/>
      <c r="N949" s="1765"/>
      <c r="O949" s="1765"/>
      <c r="P949" s="1765"/>
      <c r="Q949" s="1766"/>
      <c r="R949" s="1766"/>
      <c r="S949" s="1696"/>
      <c r="T949" s="1696"/>
      <c r="U949" s="1772"/>
      <c r="V949" s="1696"/>
      <c r="W949" s="1772"/>
      <c r="X949" s="1696"/>
      <c r="Y949" s="1696"/>
      <c r="Z949" s="1773"/>
    </row>
    <row r="950">
      <c r="A950" s="1771"/>
      <c r="B950" s="1777"/>
      <c r="C950" s="1771"/>
      <c r="D950" s="1771"/>
      <c r="E950" s="1771"/>
      <c r="F950" s="1771"/>
      <c r="G950" s="1770"/>
      <c r="H950" s="1771"/>
      <c r="I950" s="1770"/>
      <c r="J950" s="1771"/>
      <c r="K950" s="1771"/>
      <c r="L950" s="1771"/>
      <c r="M950" s="1771"/>
      <c r="N950" s="1779"/>
      <c r="O950" s="1770"/>
      <c r="P950" s="1771"/>
      <c r="Q950" s="1766"/>
      <c r="R950" s="1766"/>
      <c r="S950" s="1696"/>
      <c r="T950" s="1696"/>
      <c r="U950" s="1772"/>
      <c r="V950" s="1696"/>
      <c r="W950" s="1772"/>
      <c r="X950" s="1696"/>
      <c r="Y950" s="1696"/>
      <c r="Z950" s="1773"/>
    </row>
    <row r="951">
      <c r="A951" s="1766"/>
      <c r="B951" s="1780"/>
      <c r="C951" s="1766"/>
      <c r="D951" s="1766"/>
      <c r="E951" s="1766"/>
      <c r="F951" s="1766"/>
      <c r="G951" s="1766"/>
      <c r="H951" s="1766"/>
      <c r="I951" s="1766"/>
      <c r="J951" s="1766"/>
      <c r="K951" s="1766"/>
      <c r="L951" s="1766"/>
      <c r="M951" s="1766"/>
      <c r="N951" s="1781"/>
      <c r="O951" s="1766"/>
      <c r="P951" s="1766"/>
      <c r="Q951" s="1766"/>
      <c r="R951" s="1766"/>
      <c r="S951" s="1696"/>
      <c r="T951" s="1696"/>
      <c r="U951" s="1772"/>
      <c r="V951" s="1696"/>
      <c r="W951" s="1772"/>
      <c r="X951" s="1696"/>
      <c r="Y951" s="1696"/>
      <c r="Z951" s="1773"/>
    </row>
    <row r="952">
      <c r="A952" s="1765"/>
      <c r="B952" s="1782"/>
      <c r="C952" s="1765"/>
      <c r="D952" s="1765"/>
      <c r="E952" s="1765"/>
      <c r="F952" s="1765"/>
      <c r="G952" s="1765"/>
      <c r="H952" s="1765"/>
      <c r="I952" s="1765"/>
      <c r="J952" s="1765"/>
      <c r="K952" s="1765"/>
      <c r="L952" s="1765"/>
      <c r="M952" s="1765"/>
      <c r="N952" s="1765"/>
      <c r="O952" s="1765"/>
      <c r="P952" s="1765"/>
      <c r="Q952" s="1766"/>
      <c r="R952" s="1766"/>
      <c r="S952" s="1696"/>
      <c r="T952" s="1696"/>
      <c r="U952" s="1772"/>
      <c r="V952" s="1696"/>
      <c r="W952" s="1772"/>
      <c r="X952" s="1696"/>
      <c r="Y952" s="1696"/>
      <c r="Z952" s="1773"/>
    </row>
    <row r="953">
      <c r="A953" s="1771"/>
      <c r="B953" s="1777"/>
      <c r="C953" s="1771"/>
      <c r="D953" s="1771"/>
      <c r="E953" s="1771"/>
      <c r="F953" s="1771"/>
      <c r="G953" s="1770"/>
      <c r="H953" s="1771"/>
      <c r="I953" s="1770"/>
      <c r="J953" s="1771"/>
      <c r="K953" s="1771"/>
      <c r="L953" s="1771"/>
      <c r="M953" s="1771"/>
      <c r="N953" s="1779"/>
      <c r="O953" s="1770"/>
      <c r="P953" s="1771"/>
      <c r="Q953" s="1766"/>
      <c r="R953" s="1766"/>
      <c r="S953" s="1696"/>
      <c r="T953" s="1696"/>
      <c r="U953" s="1772"/>
      <c r="V953" s="1696"/>
      <c r="W953" s="1772"/>
      <c r="X953" s="1696"/>
      <c r="Y953" s="1696"/>
      <c r="Z953" s="1773"/>
    </row>
    <row r="954">
      <c r="A954" s="1766"/>
      <c r="B954" s="1780"/>
      <c r="C954" s="1766"/>
      <c r="D954" s="1766"/>
      <c r="E954" s="1766"/>
      <c r="F954" s="1766"/>
      <c r="G954" s="1766"/>
      <c r="H954" s="1766"/>
      <c r="I954" s="1766"/>
      <c r="J954" s="1766"/>
      <c r="K954" s="1766"/>
      <c r="L954" s="1766"/>
      <c r="M954" s="1766"/>
      <c r="N954" s="1781"/>
      <c r="O954" s="1766"/>
      <c r="P954" s="1766"/>
      <c r="Q954" s="1766"/>
      <c r="R954" s="1766"/>
      <c r="S954" s="1696"/>
      <c r="T954" s="1696"/>
      <c r="U954" s="1772"/>
      <c r="V954" s="1696"/>
      <c r="W954" s="1772"/>
      <c r="X954" s="1696"/>
      <c r="Y954" s="1696"/>
      <c r="Z954" s="1773"/>
    </row>
    <row r="955">
      <c r="A955" s="1765"/>
      <c r="B955" s="1782"/>
      <c r="C955" s="1765"/>
      <c r="D955" s="1765"/>
      <c r="E955" s="1765"/>
      <c r="F955" s="1765"/>
      <c r="G955" s="1765"/>
      <c r="H955" s="1765"/>
      <c r="I955" s="1765"/>
      <c r="J955" s="1765"/>
      <c r="K955" s="1765"/>
      <c r="L955" s="1765"/>
      <c r="M955" s="1765"/>
      <c r="N955" s="1765"/>
      <c r="O955" s="1765"/>
      <c r="P955" s="1765"/>
      <c r="Q955" s="1766"/>
      <c r="R955" s="1766"/>
      <c r="S955" s="1696"/>
      <c r="T955" s="1696"/>
      <c r="U955" s="1772"/>
      <c r="V955" s="1696"/>
      <c r="W955" s="1772"/>
      <c r="X955" s="1696"/>
      <c r="Y955" s="1696"/>
      <c r="Z955" s="1773"/>
    </row>
    <row r="956">
      <c r="A956" s="1771"/>
      <c r="B956" s="1777"/>
      <c r="C956" s="1771"/>
      <c r="D956" s="1771"/>
      <c r="E956" s="1771"/>
      <c r="F956" s="1771"/>
      <c r="G956" s="1770"/>
      <c r="H956" s="1771"/>
      <c r="I956" s="1770"/>
      <c r="J956" s="1771"/>
      <c r="K956" s="1771"/>
      <c r="L956" s="1771"/>
      <c r="M956" s="1771"/>
      <c r="N956" s="1779"/>
      <c r="O956" s="1770"/>
      <c r="P956" s="1771"/>
      <c r="Q956" s="1766"/>
      <c r="R956" s="1766"/>
      <c r="S956" s="1696"/>
      <c r="T956" s="1696"/>
      <c r="U956" s="1772"/>
      <c r="V956" s="1696"/>
      <c r="W956" s="1772"/>
      <c r="X956" s="1696"/>
      <c r="Y956" s="1696"/>
      <c r="Z956" s="1773"/>
    </row>
    <row r="957">
      <c r="A957" s="1766"/>
      <c r="B957" s="1780"/>
      <c r="C957" s="1766"/>
      <c r="D957" s="1766"/>
      <c r="E957" s="1766"/>
      <c r="F957" s="1766"/>
      <c r="G957" s="1766"/>
      <c r="H957" s="1766"/>
      <c r="I957" s="1766"/>
      <c r="J957" s="1766"/>
      <c r="K957" s="1766"/>
      <c r="L957" s="1766"/>
      <c r="M957" s="1766"/>
      <c r="N957" s="1781"/>
      <c r="O957" s="1766"/>
      <c r="P957" s="1766"/>
      <c r="Q957" s="1766"/>
      <c r="R957" s="1766"/>
      <c r="S957" s="1696"/>
      <c r="T957" s="1696"/>
      <c r="U957" s="1772"/>
      <c r="V957" s="1696"/>
      <c r="W957" s="1772"/>
      <c r="X957" s="1696"/>
      <c r="Y957" s="1696"/>
      <c r="Z957" s="1773"/>
    </row>
    <row r="958">
      <c r="A958" s="1765"/>
      <c r="B958" s="1782"/>
      <c r="C958" s="1765"/>
      <c r="D958" s="1765"/>
      <c r="E958" s="1765"/>
      <c r="F958" s="1765"/>
      <c r="G958" s="1765"/>
      <c r="H958" s="1765"/>
      <c r="I958" s="1765"/>
      <c r="J958" s="1765"/>
      <c r="K958" s="1765"/>
      <c r="L958" s="1765"/>
      <c r="M958" s="1765"/>
      <c r="N958" s="1765"/>
      <c r="O958" s="1765"/>
      <c r="P958" s="1765"/>
      <c r="Q958" s="1766"/>
      <c r="R958" s="1766"/>
      <c r="S958" s="1696"/>
      <c r="T958" s="1696"/>
      <c r="U958" s="1772"/>
      <c r="V958" s="1696"/>
      <c r="W958" s="1772"/>
      <c r="X958" s="1696"/>
      <c r="Y958" s="1696"/>
      <c r="Z958" s="1773"/>
    </row>
    <row r="959">
      <c r="A959" s="1771"/>
      <c r="B959" s="1777"/>
      <c r="C959" s="1771"/>
      <c r="D959" s="1771"/>
      <c r="E959" s="1771"/>
      <c r="F959" s="1771"/>
      <c r="G959" s="1770"/>
      <c r="H959" s="1771"/>
      <c r="I959" s="1770"/>
      <c r="J959" s="1771"/>
      <c r="K959" s="1771"/>
      <c r="L959" s="1771"/>
      <c r="M959" s="1771"/>
      <c r="N959" s="1779"/>
      <c r="O959" s="1770"/>
      <c r="P959" s="1771"/>
      <c r="Q959" s="1766"/>
      <c r="R959" s="1766"/>
      <c r="S959" s="1696"/>
      <c r="T959" s="1696"/>
      <c r="U959" s="1772"/>
      <c r="V959" s="1696"/>
      <c r="W959" s="1772"/>
      <c r="X959" s="1696"/>
      <c r="Y959" s="1696"/>
      <c r="Z959" s="1773"/>
    </row>
    <row r="960">
      <c r="A960" s="1766"/>
      <c r="B960" s="1780"/>
      <c r="C960" s="1766"/>
      <c r="D960" s="1766"/>
      <c r="E960" s="1766"/>
      <c r="F960" s="1766"/>
      <c r="G960" s="1766"/>
      <c r="H960" s="1766"/>
      <c r="I960" s="1766"/>
      <c r="J960" s="1766"/>
      <c r="K960" s="1766"/>
      <c r="L960" s="1766"/>
      <c r="M960" s="1766"/>
      <c r="N960" s="1781"/>
      <c r="O960" s="1766"/>
      <c r="P960" s="1766"/>
      <c r="Q960" s="1766"/>
      <c r="R960" s="1766"/>
      <c r="S960" s="1696"/>
      <c r="T960" s="1696"/>
      <c r="U960" s="1772"/>
      <c r="V960" s="1696"/>
      <c r="W960" s="1772"/>
      <c r="X960" s="1696"/>
      <c r="Y960" s="1696"/>
      <c r="Z960" s="1773"/>
    </row>
    <row r="961">
      <c r="A961" s="1765"/>
      <c r="B961" s="1782"/>
      <c r="C961" s="1765"/>
      <c r="D961" s="1765"/>
      <c r="E961" s="1765"/>
      <c r="F961" s="1765"/>
      <c r="G961" s="1765"/>
      <c r="H961" s="1765"/>
      <c r="I961" s="1765"/>
      <c r="J961" s="1765"/>
      <c r="K961" s="1765"/>
      <c r="L961" s="1765"/>
      <c r="M961" s="1765"/>
      <c r="N961" s="1765"/>
      <c r="O961" s="1765"/>
      <c r="P961" s="1765"/>
      <c r="Q961" s="1766"/>
      <c r="R961" s="1766"/>
      <c r="S961" s="1696"/>
      <c r="T961" s="1696"/>
      <c r="U961" s="1772"/>
      <c r="V961" s="1696"/>
      <c r="W961" s="1772"/>
      <c r="X961" s="1696"/>
      <c r="Y961" s="1696"/>
      <c r="Z961" s="1773"/>
    </row>
    <row r="962">
      <c r="A962" s="1771"/>
      <c r="B962" s="1777"/>
      <c r="C962" s="1771"/>
      <c r="D962" s="1771"/>
      <c r="E962" s="1771"/>
      <c r="F962" s="1771"/>
      <c r="G962" s="1770"/>
      <c r="H962" s="1771"/>
      <c r="I962" s="1770"/>
      <c r="J962" s="1771"/>
      <c r="K962" s="1771"/>
      <c r="L962" s="1771"/>
      <c r="M962" s="1771"/>
      <c r="N962" s="1779"/>
      <c r="O962" s="1770"/>
      <c r="P962" s="1771"/>
      <c r="Q962" s="1766"/>
      <c r="R962" s="1766"/>
      <c r="S962" s="1696"/>
      <c r="T962" s="1696"/>
      <c r="U962" s="1772"/>
      <c r="V962" s="1696"/>
      <c r="W962" s="1772"/>
      <c r="X962" s="1696"/>
      <c r="Y962" s="1696"/>
      <c r="Z962" s="1773"/>
    </row>
    <row r="963">
      <c r="A963" s="1766"/>
      <c r="B963" s="1780"/>
      <c r="C963" s="1766"/>
      <c r="D963" s="1766"/>
      <c r="E963" s="1766"/>
      <c r="F963" s="1766"/>
      <c r="G963" s="1766"/>
      <c r="H963" s="1766"/>
      <c r="I963" s="1766"/>
      <c r="J963" s="1766"/>
      <c r="K963" s="1766"/>
      <c r="L963" s="1766"/>
      <c r="M963" s="1766"/>
      <c r="N963" s="1781"/>
      <c r="O963" s="1766"/>
      <c r="P963" s="1766"/>
      <c r="Q963" s="1766"/>
      <c r="R963" s="1766"/>
      <c r="S963" s="1696"/>
      <c r="T963" s="1696"/>
      <c r="U963" s="1772"/>
      <c r="V963" s="1696"/>
      <c r="W963" s="1772"/>
      <c r="X963" s="1696"/>
      <c r="Y963" s="1696"/>
      <c r="Z963" s="1773"/>
    </row>
    <row r="964">
      <c r="A964" s="1765"/>
      <c r="B964" s="1782"/>
      <c r="C964" s="1765"/>
      <c r="D964" s="1765"/>
      <c r="E964" s="1765"/>
      <c r="F964" s="1765"/>
      <c r="G964" s="1765"/>
      <c r="H964" s="1765"/>
      <c r="I964" s="1765"/>
      <c r="J964" s="1765"/>
      <c r="K964" s="1765"/>
      <c r="L964" s="1765"/>
      <c r="M964" s="1765"/>
      <c r="N964" s="1765"/>
      <c r="O964" s="1765"/>
      <c r="P964" s="1765"/>
      <c r="Q964" s="1766"/>
      <c r="R964" s="1766"/>
      <c r="S964" s="1696"/>
      <c r="T964" s="1696"/>
      <c r="U964" s="1772"/>
      <c r="V964" s="1696"/>
      <c r="W964" s="1772"/>
      <c r="X964" s="1696"/>
      <c r="Y964" s="1696"/>
      <c r="Z964" s="1773"/>
    </row>
    <row r="965">
      <c r="A965" s="1771"/>
      <c r="B965" s="1777"/>
      <c r="C965" s="1771"/>
      <c r="D965" s="1771"/>
      <c r="E965" s="1771"/>
      <c r="F965" s="1771"/>
      <c r="G965" s="1770"/>
      <c r="H965" s="1771"/>
      <c r="I965" s="1770"/>
      <c r="J965" s="1771"/>
      <c r="K965" s="1771"/>
      <c r="L965" s="1771"/>
      <c r="M965" s="1771"/>
      <c r="N965" s="1779"/>
      <c r="O965" s="1770"/>
      <c r="P965" s="1771"/>
      <c r="Q965" s="1766"/>
      <c r="R965" s="1766"/>
      <c r="S965" s="1696"/>
      <c r="T965" s="1696"/>
      <c r="U965" s="1772"/>
      <c r="V965" s="1696"/>
      <c r="W965" s="1772"/>
      <c r="X965" s="1696"/>
      <c r="Y965" s="1696"/>
      <c r="Z965" s="1773"/>
    </row>
    <row r="966">
      <c r="A966" s="1766"/>
      <c r="B966" s="1780"/>
      <c r="C966" s="1766"/>
      <c r="D966" s="1766"/>
      <c r="E966" s="1766"/>
      <c r="F966" s="1766"/>
      <c r="G966" s="1766"/>
      <c r="H966" s="1766"/>
      <c r="I966" s="1766"/>
      <c r="J966" s="1766"/>
      <c r="K966" s="1766"/>
      <c r="L966" s="1766"/>
      <c r="M966" s="1766"/>
      <c r="N966" s="1781"/>
      <c r="O966" s="1766"/>
      <c r="P966" s="1766"/>
      <c r="Q966" s="1766"/>
      <c r="R966" s="1766"/>
      <c r="S966" s="1696"/>
      <c r="T966" s="1696"/>
      <c r="U966" s="1772"/>
      <c r="V966" s="1696"/>
      <c r="W966" s="1772"/>
      <c r="X966" s="1696"/>
      <c r="Y966" s="1696"/>
      <c r="Z966" s="1773"/>
    </row>
    <row r="967">
      <c r="A967" s="1765"/>
      <c r="B967" s="1782"/>
      <c r="C967" s="1765"/>
      <c r="D967" s="1765"/>
      <c r="E967" s="1765"/>
      <c r="F967" s="1765"/>
      <c r="G967" s="1765"/>
      <c r="H967" s="1765"/>
      <c r="I967" s="1765"/>
      <c r="J967" s="1765"/>
      <c r="K967" s="1765"/>
      <c r="L967" s="1765"/>
      <c r="M967" s="1765"/>
      <c r="N967" s="1765"/>
      <c r="O967" s="1765"/>
      <c r="P967" s="1765"/>
      <c r="Q967" s="1766"/>
      <c r="R967" s="1766"/>
      <c r="S967" s="1696"/>
      <c r="T967" s="1696"/>
      <c r="U967" s="1772"/>
      <c r="V967" s="1696"/>
      <c r="W967" s="1772"/>
      <c r="X967" s="1696"/>
      <c r="Y967" s="1696"/>
      <c r="Z967" s="1773"/>
    </row>
    <row r="968">
      <c r="A968" s="1771"/>
      <c r="B968" s="1777"/>
      <c r="C968" s="1771"/>
      <c r="D968" s="1771"/>
      <c r="E968" s="1771"/>
      <c r="F968" s="1771"/>
      <c r="G968" s="1770"/>
      <c r="H968" s="1771"/>
      <c r="I968" s="1770"/>
      <c r="J968" s="1771"/>
      <c r="K968" s="1771"/>
      <c r="L968" s="1771"/>
      <c r="M968" s="1771"/>
      <c r="N968" s="1779"/>
      <c r="O968" s="1770"/>
      <c r="P968" s="1771"/>
      <c r="Q968" s="1766"/>
      <c r="R968" s="1766"/>
      <c r="S968" s="1696"/>
      <c r="T968" s="1696"/>
      <c r="U968" s="1772"/>
      <c r="V968" s="1696"/>
      <c r="W968" s="1772"/>
      <c r="X968" s="1696"/>
      <c r="Y968" s="1696"/>
      <c r="Z968" s="1773"/>
    </row>
    <row r="969">
      <c r="A969" s="1766"/>
      <c r="B969" s="1780"/>
      <c r="C969" s="1766"/>
      <c r="D969" s="1766"/>
      <c r="E969" s="1766"/>
      <c r="F969" s="1766"/>
      <c r="G969" s="1766"/>
      <c r="H969" s="1766"/>
      <c r="I969" s="1766"/>
      <c r="J969" s="1766"/>
      <c r="K969" s="1766"/>
      <c r="L969" s="1766"/>
      <c r="M969" s="1766"/>
      <c r="N969" s="1781"/>
      <c r="O969" s="1766"/>
      <c r="P969" s="1766"/>
      <c r="Q969" s="1766"/>
      <c r="R969" s="1766"/>
      <c r="S969" s="1696"/>
      <c r="T969" s="1696"/>
      <c r="U969" s="1772"/>
      <c r="V969" s="1696"/>
      <c r="W969" s="1772"/>
      <c r="X969" s="1696"/>
      <c r="Y969" s="1696"/>
      <c r="Z969" s="1773"/>
    </row>
    <row r="970">
      <c r="A970" s="1765"/>
      <c r="B970" s="1782"/>
      <c r="C970" s="1765"/>
      <c r="D970" s="1765"/>
      <c r="E970" s="1765"/>
      <c r="F970" s="1765"/>
      <c r="G970" s="1765"/>
      <c r="H970" s="1765"/>
      <c r="I970" s="1765"/>
      <c r="J970" s="1765"/>
      <c r="K970" s="1765"/>
      <c r="L970" s="1765"/>
      <c r="M970" s="1765"/>
      <c r="N970" s="1765"/>
      <c r="O970" s="1765"/>
      <c r="P970" s="1765"/>
      <c r="Q970" s="1766"/>
      <c r="R970" s="1766"/>
      <c r="S970" s="1696"/>
      <c r="T970" s="1696"/>
      <c r="U970" s="1772"/>
      <c r="V970" s="1696"/>
      <c r="W970" s="1772"/>
      <c r="X970" s="1696"/>
      <c r="Y970" s="1696"/>
      <c r="Z970" s="1773"/>
    </row>
    <row r="971">
      <c r="A971" s="1771"/>
      <c r="B971" s="1777"/>
      <c r="C971" s="1771"/>
      <c r="D971" s="1771"/>
      <c r="E971" s="1771"/>
      <c r="F971" s="1771"/>
      <c r="G971" s="1770"/>
      <c r="H971" s="1771"/>
      <c r="I971" s="1770"/>
      <c r="J971" s="1771"/>
      <c r="K971" s="1771"/>
      <c r="L971" s="1771"/>
      <c r="M971" s="1771"/>
      <c r="N971" s="1779"/>
      <c r="O971" s="1770"/>
      <c r="P971" s="1771"/>
      <c r="Q971" s="1766"/>
      <c r="R971" s="1766"/>
      <c r="S971" s="1696"/>
      <c r="T971" s="1696"/>
      <c r="U971" s="1772"/>
      <c r="V971" s="1696"/>
      <c r="W971" s="1772"/>
      <c r="X971" s="1696"/>
      <c r="Y971" s="1696"/>
      <c r="Z971" s="1773"/>
    </row>
    <row r="972">
      <c r="A972" s="1766"/>
      <c r="B972" s="1780"/>
      <c r="C972" s="1766"/>
      <c r="D972" s="1766"/>
      <c r="E972" s="1766"/>
      <c r="F972" s="1766"/>
      <c r="G972" s="1766"/>
      <c r="H972" s="1766"/>
      <c r="I972" s="1766"/>
      <c r="J972" s="1766"/>
      <c r="K972" s="1766"/>
      <c r="L972" s="1766"/>
      <c r="M972" s="1766"/>
      <c r="N972" s="1781"/>
      <c r="O972" s="1766"/>
      <c r="P972" s="1766"/>
      <c r="Q972" s="1766"/>
      <c r="R972" s="1766"/>
      <c r="S972" s="1696"/>
      <c r="T972" s="1696"/>
      <c r="U972" s="1772"/>
      <c r="V972" s="1696"/>
      <c r="W972" s="1772"/>
      <c r="X972" s="1696"/>
      <c r="Y972" s="1696"/>
      <c r="Z972" s="1773"/>
    </row>
    <row r="973">
      <c r="A973" s="1765"/>
      <c r="B973" s="1782"/>
      <c r="C973" s="1765"/>
      <c r="D973" s="1765"/>
      <c r="E973" s="1765"/>
      <c r="F973" s="1765"/>
      <c r="G973" s="1765"/>
      <c r="H973" s="1765"/>
      <c r="I973" s="1765"/>
      <c r="J973" s="1765"/>
      <c r="K973" s="1765"/>
      <c r="L973" s="1765"/>
      <c r="M973" s="1765"/>
      <c r="N973" s="1765"/>
      <c r="O973" s="1765"/>
      <c r="P973" s="1765"/>
      <c r="Q973" s="1766"/>
      <c r="R973" s="1766"/>
      <c r="S973" s="1696"/>
      <c r="T973" s="1696"/>
      <c r="U973" s="1772"/>
      <c r="V973" s="1696"/>
      <c r="W973" s="1772"/>
      <c r="X973" s="1696"/>
      <c r="Y973" s="1696"/>
      <c r="Z973" s="1773"/>
    </row>
    <row r="974">
      <c r="A974" s="1771"/>
      <c r="B974" s="1777"/>
      <c r="C974" s="1771"/>
      <c r="D974" s="1771"/>
      <c r="E974" s="1771"/>
      <c r="F974" s="1771"/>
      <c r="G974" s="1770"/>
      <c r="H974" s="1771"/>
      <c r="I974" s="1770"/>
      <c r="J974" s="1771"/>
      <c r="K974" s="1771"/>
      <c r="L974" s="1771"/>
      <c r="M974" s="1771"/>
      <c r="N974" s="1779"/>
      <c r="O974" s="1770"/>
      <c r="P974" s="1771"/>
      <c r="Q974" s="1766"/>
      <c r="R974" s="1766"/>
      <c r="S974" s="1696"/>
      <c r="T974" s="1696"/>
      <c r="U974" s="1772"/>
      <c r="V974" s="1696"/>
      <c r="W974" s="1772"/>
      <c r="X974" s="1696"/>
      <c r="Y974" s="1696"/>
      <c r="Z974" s="1773"/>
    </row>
    <row r="975">
      <c r="A975" s="1766"/>
      <c r="B975" s="1780"/>
      <c r="C975" s="1766"/>
      <c r="D975" s="1766"/>
      <c r="E975" s="1766"/>
      <c r="F975" s="1766"/>
      <c r="G975" s="1766"/>
      <c r="H975" s="1766"/>
      <c r="I975" s="1766"/>
      <c r="J975" s="1766"/>
      <c r="K975" s="1766"/>
      <c r="L975" s="1766"/>
      <c r="M975" s="1766"/>
      <c r="N975" s="1781"/>
      <c r="O975" s="1766"/>
      <c r="P975" s="1766"/>
      <c r="Q975" s="1766"/>
      <c r="R975" s="1766"/>
      <c r="S975" s="1696"/>
      <c r="T975" s="1696"/>
      <c r="U975" s="1772"/>
      <c r="V975" s="1696"/>
      <c r="W975" s="1772"/>
      <c r="X975" s="1696"/>
      <c r="Y975" s="1696"/>
      <c r="Z975" s="1773"/>
    </row>
    <row r="976">
      <c r="A976" s="1765"/>
      <c r="B976" s="1782"/>
      <c r="C976" s="1765"/>
      <c r="D976" s="1765"/>
      <c r="E976" s="1765"/>
      <c r="F976" s="1765"/>
      <c r="G976" s="1765"/>
      <c r="H976" s="1765"/>
      <c r="I976" s="1765"/>
      <c r="J976" s="1765"/>
      <c r="K976" s="1765"/>
      <c r="L976" s="1765"/>
      <c r="M976" s="1765"/>
      <c r="N976" s="1765"/>
      <c r="O976" s="1765"/>
      <c r="P976" s="1765"/>
      <c r="Q976" s="1766"/>
      <c r="R976" s="1766"/>
      <c r="S976" s="1696"/>
      <c r="T976" s="1696"/>
      <c r="U976" s="1772"/>
      <c r="V976" s="1696"/>
      <c r="W976" s="1772"/>
      <c r="X976" s="1696"/>
      <c r="Y976" s="1696"/>
      <c r="Z976" s="1773"/>
    </row>
    <row r="977">
      <c r="A977" s="1771"/>
      <c r="B977" s="1777"/>
      <c r="C977" s="1771"/>
      <c r="D977" s="1771"/>
      <c r="E977" s="1771"/>
      <c r="F977" s="1771"/>
      <c r="G977" s="1770"/>
      <c r="H977" s="1771"/>
      <c r="I977" s="1770"/>
      <c r="J977" s="1771"/>
      <c r="K977" s="1771"/>
      <c r="L977" s="1771"/>
      <c r="M977" s="1771"/>
      <c r="N977" s="1779"/>
      <c r="O977" s="1770"/>
      <c r="P977" s="1771"/>
      <c r="Q977" s="1766"/>
      <c r="R977" s="1766"/>
      <c r="S977" s="1696"/>
      <c r="T977" s="1696"/>
      <c r="U977" s="1772"/>
      <c r="V977" s="1696"/>
      <c r="W977" s="1772"/>
      <c r="X977" s="1696"/>
      <c r="Y977" s="1696"/>
      <c r="Z977" s="1773"/>
    </row>
    <row r="978">
      <c r="A978" s="1766"/>
      <c r="B978" s="1780"/>
      <c r="C978" s="1766"/>
      <c r="D978" s="1766"/>
      <c r="E978" s="1766"/>
      <c r="F978" s="1766"/>
      <c r="G978" s="1766"/>
      <c r="H978" s="1766"/>
      <c r="I978" s="1766"/>
      <c r="J978" s="1766"/>
      <c r="K978" s="1766"/>
      <c r="L978" s="1766"/>
      <c r="M978" s="1766"/>
      <c r="N978" s="1781"/>
      <c r="O978" s="1766"/>
      <c r="P978" s="1766"/>
      <c r="Q978" s="1766"/>
      <c r="R978" s="1766"/>
      <c r="S978" s="1696"/>
      <c r="T978" s="1696"/>
      <c r="U978" s="1772"/>
      <c r="V978" s="1696"/>
      <c r="W978" s="1772"/>
      <c r="X978" s="1696"/>
      <c r="Y978" s="1696"/>
      <c r="Z978" s="1773"/>
    </row>
    <row r="979">
      <c r="A979" s="1765"/>
      <c r="B979" s="1782"/>
      <c r="C979" s="1765"/>
      <c r="D979" s="1765"/>
      <c r="E979" s="1765"/>
      <c r="F979" s="1765"/>
      <c r="G979" s="1765"/>
      <c r="H979" s="1765"/>
      <c r="I979" s="1765"/>
      <c r="J979" s="1765"/>
      <c r="K979" s="1765"/>
      <c r="L979" s="1765"/>
      <c r="M979" s="1765"/>
      <c r="N979" s="1765"/>
      <c r="O979" s="1765"/>
      <c r="P979" s="1765"/>
      <c r="Q979" s="1766"/>
      <c r="R979" s="1766"/>
      <c r="S979" s="1696"/>
      <c r="T979" s="1696"/>
      <c r="U979" s="1772"/>
      <c r="V979" s="1696"/>
      <c r="W979" s="1772"/>
      <c r="X979" s="1696"/>
      <c r="Y979" s="1696"/>
      <c r="Z979" s="1773"/>
    </row>
    <row r="980">
      <c r="A980" s="1771"/>
      <c r="B980" s="1777"/>
      <c r="C980" s="1771"/>
      <c r="D980" s="1771"/>
      <c r="E980" s="1770"/>
      <c r="F980" s="1771"/>
      <c r="G980" s="1771"/>
      <c r="H980" s="1771"/>
      <c r="I980" s="1778"/>
      <c r="J980" s="1771"/>
      <c r="K980" s="1771"/>
      <c r="L980" s="1771"/>
      <c r="M980" s="1771"/>
      <c r="N980" s="1779"/>
      <c r="O980" s="1770"/>
      <c r="P980" s="1771"/>
      <c r="Q980" s="1766"/>
      <c r="R980" s="1766"/>
      <c r="S980" s="1696"/>
      <c r="T980" s="1696"/>
      <c r="U980" s="1772"/>
      <c r="V980" s="1696"/>
      <c r="W980" s="1772"/>
      <c r="X980" s="1696"/>
      <c r="Y980" s="1696"/>
      <c r="Z980" s="1773"/>
    </row>
    <row r="981">
      <c r="A981" s="1766"/>
      <c r="B981" s="1780"/>
      <c r="C981" s="1766"/>
      <c r="D981" s="1766"/>
      <c r="E981" s="1766"/>
      <c r="F981" s="1766"/>
      <c r="G981" s="1766"/>
      <c r="H981" s="1766"/>
      <c r="I981" s="1766"/>
      <c r="J981" s="1766"/>
      <c r="K981" s="1766"/>
      <c r="L981" s="1766"/>
      <c r="M981" s="1766"/>
      <c r="N981" s="1781"/>
      <c r="O981" s="1766"/>
      <c r="P981" s="1766"/>
      <c r="Q981" s="1766"/>
      <c r="R981" s="1766"/>
      <c r="S981" s="1696"/>
      <c r="T981" s="1696"/>
      <c r="U981" s="1772"/>
      <c r="V981" s="1696"/>
      <c r="W981" s="1772"/>
      <c r="X981" s="1696"/>
      <c r="Y981" s="1696"/>
      <c r="Z981" s="1773"/>
    </row>
    <row r="982">
      <c r="A982" s="1765"/>
      <c r="B982" s="1782"/>
      <c r="C982" s="1765"/>
      <c r="D982" s="1765"/>
      <c r="E982" s="1765"/>
      <c r="F982" s="1765"/>
      <c r="G982" s="1765"/>
      <c r="H982" s="1765"/>
      <c r="I982" s="1765"/>
      <c r="J982" s="1765"/>
      <c r="K982" s="1765"/>
      <c r="L982" s="1765"/>
      <c r="M982" s="1765"/>
      <c r="N982" s="1765"/>
      <c r="O982" s="1765"/>
      <c r="P982" s="1765"/>
      <c r="Q982" s="1766"/>
      <c r="R982" s="1766"/>
      <c r="S982" s="1696"/>
      <c r="T982" s="1696"/>
      <c r="U982" s="1772"/>
      <c r="V982" s="1696"/>
      <c r="W982" s="1772"/>
      <c r="X982" s="1696"/>
      <c r="Y982" s="1696"/>
      <c r="Z982" s="1773"/>
    </row>
    <row r="983">
      <c r="A983" s="1771"/>
      <c r="B983" s="1777"/>
      <c r="C983" s="1771"/>
      <c r="D983" s="1771"/>
      <c r="E983" s="1771"/>
      <c r="F983" s="1771"/>
      <c r="G983" s="1777"/>
      <c r="H983" s="1771"/>
      <c r="I983" s="1770"/>
      <c r="J983" s="1771"/>
      <c r="K983" s="1771"/>
      <c r="L983" s="1771"/>
      <c r="M983" s="1771"/>
      <c r="N983" s="1779"/>
      <c r="O983" s="1770"/>
      <c r="P983" s="1771"/>
      <c r="Q983" s="1766"/>
      <c r="R983" s="1766"/>
      <c r="S983" s="1696"/>
      <c r="T983" s="1696"/>
      <c r="U983" s="1772"/>
      <c r="V983" s="1696"/>
      <c r="W983" s="1772"/>
      <c r="X983" s="1696"/>
      <c r="Y983" s="1696"/>
      <c r="Z983" s="1773"/>
    </row>
    <row r="984">
      <c r="A984" s="1766"/>
      <c r="B984" s="1780"/>
      <c r="C984" s="1766"/>
      <c r="D984" s="1766"/>
      <c r="E984" s="1766"/>
      <c r="F984" s="1766"/>
      <c r="G984" s="1766"/>
      <c r="H984" s="1766"/>
      <c r="I984" s="1766"/>
      <c r="J984" s="1766"/>
      <c r="K984" s="1766"/>
      <c r="L984" s="1766"/>
      <c r="M984" s="1766"/>
      <c r="N984" s="1781"/>
      <c r="O984" s="1766"/>
      <c r="P984" s="1766"/>
      <c r="Q984" s="1766"/>
      <c r="R984" s="1766"/>
      <c r="S984" s="1696"/>
      <c r="T984" s="1696"/>
      <c r="U984" s="1772"/>
      <c r="V984" s="1696"/>
      <c r="W984" s="1772"/>
      <c r="X984" s="1696"/>
      <c r="Y984" s="1696"/>
      <c r="Z984" s="1773"/>
    </row>
    <row r="985">
      <c r="A985" s="1765"/>
      <c r="B985" s="1782"/>
      <c r="C985" s="1765"/>
      <c r="D985" s="1765"/>
      <c r="E985" s="1765"/>
      <c r="F985" s="1765"/>
      <c r="G985" s="1765"/>
      <c r="H985" s="1765"/>
      <c r="I985" s="1765"/>
      <c r="J985" s="1765"/>
      <c r="K985" s="1765"/>
      <c r="L985" s="1765"/>
      <c r="M985" s="1765"/>
      <c r="N985" s="1765"/>
      <c r="O985" s="1765"/>
      <c r="P985" s="1765"/>
      <c r="Q985" s="1766"/>
      <c r="R985" s="1766"/>
      <c r="S985" s="1696"/>
      <c r="T985" s="1696"/>
      <c r="U985" s="1772"/>
      <c r="V985" s="1696"/>
      <c r="W985" s="1772"/>
      <c r="X985" s="1696"/>
      <c r="Y985" s="1696"/>
      <c r="Z985" s="1773"/>
    </row>
    <row r="986">
      <c r="A986" s="1771"/>
      <c r="B986" s="1777"/>
      <c r="C986" s="1771"/>
      <c r="D986" s="1771"/>
      <c r="E986" s="1771"/>
      <c r="F986" s="1771"/>
      <c r="G986" s="1770"/>
      <c r="H986" s="1771"/>
      <c r="I986" s="1770"/>
      <c r="J986" s="1771"/>
      <c r="K986" s="1771"/>
      <c r="L986" s="1771"/>
      <c r="M986" s="1771"/>
      <c r="N986" s="1779"/>
      <c r="O986" s="1770"/>
      <c r="P986" s="1771"/>
      <c r="Q986" s="1766"/>
      <c r="R986" s="1766"/>
      <c r="S986" s="1696"/>
      <c r="T986" s="1696"/>
      <c r="U986" s="1772"/>
      <c r="V986" s="1696"/>
      <c r="W986" s="1772"/>
      <c r="X986" s="1696"/>
      <c r="Y986" s="1696"/>
      <c r="Z986" s="1773"/>
    </row>
    <row r="987">
      <c r="A987" s="1766"/>
      <c r="B987" s="1780"/>
      <c r="C987" s="1766"/>
      <c r="D987" s="1766"/>
      <c r="E987" s="1766"/>
      <c r="F987" s="1766"/>
      <c r="G987" s="1766"/>
      <c r="H987" s="1766"/>
      <c r="I987" s="1766"/>
      <c r="J987" s="1766"/>
      <c r="K987" s="1766"/>
      <c r="L987" s="1766"/>
      <c r="M987" s="1766"/>
      <c r="N987" s="1781"/>
      <c r="O987" s="1766"/>
      <c r="P987" s="1766"/>
      <c r="Q987" s="1766"/>
      <c r="R987" s="1766"/>
      <c r="S987" s="1696"/>
      <c r="T987" s="1696"/>
      <c r="U987" s="1772"/>
      <c r="V987" s="1696"/>
      <c r="W987" s="1772"/>
      <c r="X987" s="1696"/>
      <c r="Y987" s="1696"/>
      <c r="Z987" s="1773"/>
    </row>
    <row r="988">
      <c r="A988" s="1765"/>
      <c r="B988" s="1782"/>
      <c r="C988" s="1765"/>
      <c r="D988" s="1765"/>
      <c r="E988" s="1765"/>
      <c r="F988" s="1765"/>
      <c r="G988" s="1765"/>
      <c r="H988" s="1765"/>
      <c r="I988" s="1765"/>
      <c r="J988" s="1765"/>
      <c r="K988" s="1765"/>
      <c r="L988" s="1765"/>
      <c r="M988" s="1765"/>
      <c r="N988" s="1765"/>
      <c r="O988" s="1765"/>
      <c r="P988" s="1765"/>
      <c r="Q988" s="1766"/>
      <c r="R988" s="1766"/>
      <c r="S988" s="1696"/>
      <c r="T988" s="1696"/>
      <c r="U988" s="1772"/>
      <c r="V988" s="1696"/>
      <c r="W988" s="1772"/>
      <c r="X988" s="1696"/>
      <c r="Y988" s="1696"/>
      <c r="Z988" s="1773"/>
    </row>
    <row r="989">
      <c r="A989" s="1771"/>
      <c r="B989" s="1777"/>
      <c r="C989" s="1771"/>
      <c r="D989" s="1771"/>
      <c r="E989" s="1771"/>
      <c r="F989" s="1771"/>
      <c r="G989" s="1770"/>
      <c r="H989" s="1771"/>
      <c r="I989" s="1778"/>
      <c r="J989" s="1771"/>
      <c r="K989" s="1771"/>
      <c r="L989" s="1771"/>
      <c r="M989" s="1771"/>
      <c r="N989" s="1779"/>
      <c r="O989" s="1770"/>
      <c r="P989" s="1771"/>
      <c r="Q989" s="1766"/>
      <c r="R989" s="1766"/>
      <c r="S989" s="1696"/>
      <c r="T989" s="1696"/>
      <c r="U989" s="1772"/>
      <c r="V989" s="1696"/>
      <c r="W989" s="1772"/>
      <c r="X989" s="1696"/>
      <c r="Y989" s="1696"/>
      <c r="Z989" s="1773"/>
    </row>
    <row r="990">
      <c r="A990" s="1766"/>
      <c r="B990" s="1780"/>
      <c r="C990" s="1766"/>
      <c r="D990" s="1766"/>
      <c r="E990" s="1766"/>
      <c r="F990" s="1766"/>
      <c r="G990" s="1766"/>
      <c r="H990" s="1766"/>
      <c r="I990" s="1766"/>
      <c r="J990" s="1766"/>
      <c r="K990" s="1766"/>
      <c r="L990" s="1766"/>
      <c r="M990" s="1766"/>
      <c r="N990" s="1781"/>
      <c r="O990" s="1766"/>
      <c r="P990" s="1766"/>
      <c r="Q990" s="1766"/>
      <c r="R990" s="1766"/>
      <c r="S990" s="1696"/>
      <c r="T990" s="1696"/>
      <c r="U990" s="1772"/>
      <c r="V990" s="1696"/>
      <c r="W990" s="1772"/>
      <c r="X990" s="1696"/>
      <c r="Y990" s="1696"/>
      <c r="Z990" s="1773"/>
    </row>
    <row r="991">
      <c r="A991" s="1765"/>
      <c r="B991" s="1782"/>
      <c r="C991" s="1765"/>
      <c r="D991" s="1765"/>
      <c r="E991" s="1765"/>
      <c r="F991" s="1765"/>
      <c r="G991" s="1765"/>
      <c r="H991" s="1765"/>
      <c r="I991" s="1765"/>
      <c r="J991" s="1765"/>
      <c r="K991" s="1765"/>
      <c r="L991" s="1765"/>
      <c r="M991" s="1765"/>
      <c r="N991" s="1765"/>
      <c r="O991" s="1765"/>
      <c r="P991" s="1765"/>
      <c r="Q991" s="1766"/>
      <c r="R991" s="1766"/>
      <c r="S991" s="1696"/>
      <c r="T991" s="1696"/>
      <c r="U991" s="1772"/>
      <c r="V991" s="1696"/>
      <c r="W991" s="1772"/>
      <c r="X991" s="1696"/>
      <c r="Y991" s="1696"/>
      <c r="Z991" s="1773"/>
    </row>
    <row r="992">
      <c r="A992" s="1771"/>
      <c r="B992" s="1777"/>
      <c r="C992" s="1771"/>
      <c r="D992" s="1771"/>
      <c r="E992" s="1771"/>
      <c r="F992" s="1771"/>
      <c r="G992" s="1770"/>
      <c r="H992" s="1771"/>
      <c r="I992" s="1778"/>
      <c r="J992" s="1771"/>
      <c r="K992" s="1771"/>
      <c r="L992" s="1771"/>
      <c r="M992" s="1771"/>
      <c r="N992" s="1779"/>
      <c r="O992" s="1770"/>
      <c r="P992" s="1771"/>
      <c r="Q992" s="1766"/>
      <c r="R992" s="1766"/>
      <c r="S992" s="1696"/>
      <c r="T992" s="1696"/>
      <c r="U992" s="1772"/>
      <c r="V992" s="1696"/>
      <c r="W992" s="1772"/>
      <c r="X992" s="1696"/>
      <c r="Y992" s="1696"/>
      <c r="Z992" s="1773"/>
    </row>
    <row r="993">
      <c r="A993" s="1766"/>
      <c r="B993" s="1780"/>
      <c r="C993" s="1766"/>
      <c r="D993" s="1766"/>
      <c r="E993" s="1766"/>
      <c r="F993" s="1766"/>
      <c r="G993" s="1766"/>
      <c r="H993" s="1766"/>
      <c r="I993" s="1766"/>
      <c r="J993" s="1766"/>
      <c r="K993" s="1766"/>
      <c r="L993" s="1766"/>
      <c r="M993" s="1766"/>
      <c r="N993" s="1781"/>
      <c r="O993" s="1766"/>
      <c r="P993" s="1766"/>
      <c r="Q993" s="1766"/>
      <c r="R993" s="1766"/>
      <c r="S993" s="1696"/>
      <c r="T993" s="1696"/>
      <c r="U993" s="1772"/>
      <c r="V993" s="1696"/>
      <c r="W993" s="1772"/>
      <c r="X993" s="1696"/>
      <c r="Y993" s="1696"/>
      <c r="Z993" s="1773"/>
    </row>
    <row r="994">
      <c r="A994" s="1765"/>
      <c r="B994" s="1782"/>
      <c r="C994" s="1765"/>
      <c r="D994" s="1765"/>
      <c r="E994" s="1765"/>
      <c r="F994" s="1765"/>
      <c r="G994" s="1765"/>
      <c r="H994" s="1765"/>
      <c r="I994" s="1765"/>
      <c r="J994" s="1765"/>
      <c r="K994" s="1765"/>
      <c r="L994" s="1765"/>
      <c r="M994" s="1765"/>
      <c r="N994" s="1765"/>
      <c r="O994" s="1765"/>
      <c r="P994" s="1765"/>
      <c r="Q994" s="1766"/>
      <c r="R994" s="1766"/>
      <c r="S994" s="1696"/>
      <c r="T994" s="1696"/>
      <c r="U994" s="1772"/>
      <c r="V994" s="1696"/>
      <c r="W994" s="1772"/>
      <c r="X994" s="1696"/>
      <c r="Y994" s="1696"/>
      <c r="Z994" s="1773"/>
    </row>
    <row r="995">
      <c r="A995" s="1771"/>
      <c r="B995" s="1777"/>
      <c r="C995" s="1771"/>
      <c r="D995" s="1771"/>
      <c r="E995" s="1771"/>
      <c r="F995" s="1771"/>
      <c r="G995" s="1770"/>
      <c r="H995" s="1771"/>
      <c r="I995" s="1770"/>
      <c r="J995" s="1771"/>
      <c r="K995" s="1771"/>
      <c r="L995" s="1771"/>
      <c r="M995" s="1771"/>
      <c r="N995" s="1779"/>
      <c r="O995" s="1770"/>
      <c r="P995" s="1771"/>
      <c r="Q995" s="1766"/>
      <c r="R995" s="1766"/>
      <c r="S995" s="1696"/>
      <c r="T995" s="1696"/>
      <c r="U995" s="1772"/>
      <c r="V995" s="1696"/>
      <c r="W995" s="1772"/>
      <c r="X995" s="1696"/>
      <c r="Y995" s="1696"/>
      <c r="Z995" s="1773"/>
    </row>
    <row r="996">
      <c r="A996" s="1766"/>
      <c r="B996" s="1780"/>
      <c r="C996" s="1766"/>
      <c r="D996" s="1766"/>
      <c r="E996" s="1766"/>
      <c r="F996" s="1766"/>
      <c r="G996" s="1766"/>
      <c r="H996" s="1766"/>
      <c r="I996" s="1766"/>
      <c r="J996" s="1766"/>
      <c r="K996" s="1766"/>
      <c r="L996" s="1766"/>
      <c r="M996" s="1766"/>
      <c r="N996" s="1781"/>
      <c r="O996" s="1766"/>
      <c r="P996" s="1766"/>
      <c r="Q996" s="1766"/>
      <c r="R996" s="1766"/>
      <c r="S996" s="1696"/>
      <c r="T996" s="1696"/>
      <c r="U996" s="1772"/>
      <c r="V996" s="1696"/>
      <c r="W996" s="1772"/>
      <c r="X996" s="1696"/>
      <c r="Y996" s="1696"/>
      <c r="Z996" s="1773"/>
    </row>
    <row r="997">
      <c r="A997" s="1765"/>
      <c r="B997" s="1782"/>
      <c r="C997" s="1765"/>
      <c r="D997" s="1765"/>
      <c r="E997" s="1765"/>
      <c r="F997" s="1765"/>
      <c r="G997" s="1765"/>
      <c r="H997" s="1765"/>
      <c r="I997" s="1765"/>
      <c r="J997" s="1765"/>
      <c r="K997" s="1765"/>
      <c r="L997" s="1765"/>
      <c r="M997" s="1765"/>
      <c r="N997" s="1765"/>
      <c r="O997" s="1765"/>
      <c r="P997" s="1765"/>
      <c r="Q997" s="1766"/>
      <c r="R997" s="1766"/>
      <c r="S997" s="1696"/>
      <c r="T997" s="1696"/>
      <c r="U997" s="1772"/>
      <c r="V997" s="1696"/>
      <c r="W997" s="1772"/>
      <c r="X997" s="1696"/>
      <c r="Y997" s="1696"/>
      <c r="Z997" s="1773"/>
    </row>
    <row r="998">
      <c r="A998" s="1771"/>
      <c r="B998" s="1777"/>
      <c r="C998" s="1771"/>
      <c r="D998" s="1771"/>
      <c r="E998" s="1771"/>
      <c r="F998" s="1771"/>
      <c r="G998" s="1770"/>
      <c r="H998" s="1771"/>
      <c r="I998" s="1770"/>
      <c r="J998" s="1771"/>
      <c r="K998" s="1771"/>
      <c r="L998" s="1771"/>
      <c r="M998" s="1771"/>
      <c r="N998" s="1779"/>
      <c r="O998" s="1770"/>
      <c r="P998" s="1771"/>
      <c r="Q998" s="1766"/>
      <c r="R998" s="1766"/>
      <c r="S998" s="1696"/>
      <c r="T998" s="1696"/>
      <c r="U998" s="1772"/>
      <c r="V998" s="1696"/>
      <c r="W998" s="1772"/>
      <c r="X998" s="1696"/>
      <c r="Y998" s="1696"/>
      <c r="Z998" s="1773"/>
    </row>
    <row r="999">
      <c r="A999" s="1766"/>
      <c r="B999" s="1780"/>
      <c r="C999" s="1766"/>
      <c r="D999" s="1766"/>
      <c r="E999" s="1766"/>
      <c r="F999" s="1766"/>
      <c r="G999" s="1766"/>
      <c r="H999" s="1766"/>
      <c r="I999" s="1766"/>
      <c r="J999" s="1766"/>
      <c r="K999" s="1766"/>
      <c r="L999" s="1766"/>
      <c r="M999" s="1766"/>
      <c r="N999" s="1781"/>
      <c r="O999" s="1766"/>
      <c r="P999" s="1766"/>
      <c r="Q999" s="1766"/>
      <c r="R999" s="1766"/>
      <c r="S999" s="1696"/>
      <c r="T999" s="1696"/>
      <c r="U999" s="1772"/>
      <c r="V999" s="1696"/>
      <c r="W999" s="1772"/>
      <c r="X999" s="1696"/>
      <c r="Y999" s="1696"/>
      <c r="Z999" s="1773"/>
    </row>
    <row r="1000">
      <c r="A1000" s="1765"/>
      <c r="B1000" s="1782"/>
      <c r="C1000" s="1765"/>
      <c r="D1000" s="1765"/>
      <c r="E1000" s="1765"/>
      <c r="F1000" s="1765"/>
      <c r="G1000" s="1765"/>
      <c r="H1000" s="1765"/>
      <c r="I1000" s="1765"/>
      <c r="J1000" s="1765"/>
      <c r="K1000" s="1765"/>
      <c r="L1000" s="1765"/>
      <c r="M1000" s="1765"/>
      <c r="N1000" s="1765"/>
      <c r="O1000" s="1765"/>
      <c r="P1000" s="1765"/>
      <c r="Q1000" s="1766"/>
      <c r="R1000" s="1766"/>
      <c r="S1000" s="1696"/>
      <c r="T1000" s="1696"/>
      <c r="U1000" s="1772"/>
      <c r="V1000" s="1696"/>
      <c r="W1000" s="1772"/>
      <c r="X1000" s="1696"/>
      <c r="Y1000" s="1696"/>
      <c r="Z1000" s="1773"/>
    </row>
    <row r="1001">
      <c r="A1001" s="1771"/>
      <c r="B1001" s="1777"/>
      <c r="C1001" s="1771"/>
      <c r="D1001" s="1771"/>
      <c r="E1001" s="1771"/>
      <c r="F1001" s="1771"/>
      <c r="G1001" s="1770"/>
      <c r="H1001" s="1771"/>
      <c r="I1001" s="1785"/>
      <c r="J1001" s="1771"/>
      <c r="K1001" s="1771"/>
      <c r="L1001" s="1771"/>
      <c r="M1001" s="1771"/>
      <c r="N1001" s="1779"/>
      <c r="O1001" s="1770"/>
      <c r="P1001" s="1771"/>
      <c r="Q1001" s="1766"/>
      <c r="R1001" s="1766"/>
      <c r="S1001" s="1696"/>
      <c r="T1001" s="1696"/>
      <c r="U1001" s="1772"/>
      <c r="V1001" s="1696"/>
      <c r="W1001" s="1772"/>
      <c r="X1001" s="1696"/>
      <c r="Y1001" s="1696"/>
      <c r="Z1001" s="1773"/>
    </row>
    <row r="1002">
      <c r="A1002" s="1766"/>
      <c r="B1002" s="1780"/>
      <c r="C1002" s="1766"/>
      <c r="D1002" s="1766"/>
      <c r="E1002" s="1766"/>
      <c r="F1002" s="1766"/>
      <c r="G1002" s="1766"/>
      <c r="H1002" s="1766"/>
      <c r="I1002" s="1766"/>
      <c r="J1002" s="1766"/>
      <c r="K1002" s="1766"/>
      <c r="L1002" s="1766"/>
      <c r="M1002" s="1766"/>
      <c r="N1002" s="1781"/>
      <c r="O1002" s="1766"/>
      <c r="P1002" s="1766"/>
      <c r="Q1002" s="1766"/>
      <c r="R1002" s="1766"/>
      <c r="S1002" s="1696"/>
      <c r="T1002" s="1696"/>
      <c r="U1002" s="1772"/>
      <c r="V1002" s="1696"/>
      <c r="W1002" s="1772"/>
      <c r="X1002" s="1696"/>
      <c r="Y1002" s="1696"/>
      <c r="Z1002" s="1773"/>
    </row>
    <row r="1003">
      <c r="A1003" s="1765"/>
      <c r="B1003" s="1782"/>
      <c r="C1003" s="1765"/>
      <c r="D1003" s="1765"/>
      <c r="E1003" s="1765"/>
      <c r="F1003" s="1765"/>
      <c r="G1003" s="1765"/>
      <c r="H1003" s="1765"/>
      <c r="I1003" s="1765"/>
      <c r="J1003" s="1765"/>
      <c r="K1003" s="1765"/>
      <c r="L1003" s="1765"/>
      <c r="M1003" s="1765"/>
      <c r="N1003" s="1765"/>
      <c r="O1003" s="1765"/>
      <c r="P1003" s="1765"/>
      <c r="Q1003" s="1766"/>
      <c r="R1003" s="1766"/>
      <c r="S1003" s="1696"/>
      <c r="T1003" s="1696"/>
      <c r="U1003" s="1772"/>
      <c r="V1003" s="1696"/>
      <c r="W1003" s="1772"/>
      <c r="X1003" s="1696"/>
      <c r="Y1003" s="1696"/>
      <c r="Z1003" s="1773"/>
    </row>
    <row r="1004">
      <c r="A1004" s="1771"/>
      <c r="B1004" s="1777"/>
      <c r="C1004" s="1771"/>
      <c r="D1004" s="1771"/>
      <c r="E1004" s="1771"/>
      <c r="F1004" s="1771"/>
      <c r="G1004" s="1770"/>
      <c r="H1004" s="1771"/>
      <c r="I1004" s="1778"/>
      <c r="J1004" s="1771"/>
      <c r="K1004" s="1771"/>
      <c r="L1004" s="1771"/>
      <c r="M1004" s="1771"/>
      <c r="N1004" s="1779"/>
      <c r="O1004" s="1770"/>
      <c r="P1004" s="1771"/>
      <c r="Q1004" s="1766"/>
      <c r="R1004" s="1766"/>
      <c r="S1004" s="1696"/>
      <c r="T1004" s="1696"/>
      <c r="U1004" s="1772"/>
      <c r="V1004" s="1696"/>
      <c r="W1004" s="1772"/>
      <c r="X1004" s="1696"/>
      <c r="Y1004" s="1696"/>
      <c r="Z1004" s="1773"/>
    </row>
    <row r="1005">
      <c r="A1005" s="1766"/>
      <c r="B1005" s="1780"/>
      <c r="C1005" s="1766"/>
      <c r="D1005" s="1766"/>
      <c r="E1005" s="1766"/>
      <c r="F1005" s="1766"/>
      <c r="G1005" s="1766"/>
      <c r="H1005" s="1766"/>
      <c r="I1005" s="1766"/>
      <c r="J1005" s="1766"/>
      <c r="K1005" s="1766"/>
      <c r="L1005" s="1766"/>
      <c r="M1005" s="1766"/>
      <c r="N1005" s="1781"/>
      <c r="O1005" s="1766"/>
      <c r="P1005" s="1766"/>
      <c r="Q1005" s="1766"/>
      <c r="R1005" s="1766"/>
      <c r="S1005" s="1696"/>
      <c r="T1005" s="1696"/>
      <c r="U1005" s="1772"/>
      <c r="V1005" s="1696"/>
      <c r="W1005" s="1772"/>
      <c r="X1005" s="1696"/>
      <c r="Y1005" s="1696"/>
      <c r="Z1005" s="1773"/>
    </row>
    <row r="1006">
      <c r="A1006" s="1765"/>
      <c r="B1006" s="1782"/>
      <c r="C1006" s="1765"/>
      <c r="D1006" s="1765"/>
      <c r="E1006" s="1765"/>
      <c r="F1006" s="1765"/>
      <c r="G1006" s="1765"/>
      <c r="H1006" s="1765"/>
      <c r="I1006" s="1765"/>
      <c r="J1006" s="1765"/>
      <c r="K1006" s="1765"/>
      <c r="L1006" s="1765"/>
      <c r="M1006" s="1765"/>
      <c r="N1006" s="1765"/>
      <c r="O1006" s="1765"/>
      <c r="P1006" s="1765"/>
      <c r="Q1006" s="1766"/>
      <c r="R1006" s="1766"/>
      <c r="S1006" s="1696"/>
      <c r="T1006" s="1696"/>
      <c r="U1006" s="1772"/>
      <c r="V1006" s="1696"/>
      <c r="W1006" s="1772"/>
      <c r="X1006" s="1696"/>
      <c r="Y1006" s="1696"/>
      <c r="Z1006" s="1773"/>
    </row>
    <row r="1007">
      <c r="A1007" s="1771"/>
      <c r="B1007" s="1777"/>
      <c r="C1007" s="1771"/>
      <c r="D1007" s="1771"/>
      <c r="E1007" s="1771"/>
      <c r="F1007" s="1771"/>
      <c r="G1007" s="1771"/>
      <c r="H1007" s="1771"/>
      <c r="I1007" s="1778"/>
      <c r="J1007" s="1771"/>
      <c r="K1007" s="1771"/>
      <c r="L1007" s="1771"/>
      <c r="M1007" s="1771"/>
      <c r="N1007" s="1779"/>
      <c r="O1007" s="1770"/>
      <c r="P1007" s="1771"/>
      <c r="Q1007" s="1766"/>
      <c r="R1007" s="1766"/>
      <c r="S1007" s="1696"/>
      <c r="T1007" s="1696"/>
      <c r="U1007" s="1772"/>
      <c r="V1007" s="1696"/>
      <c r="W1007" s="1772"/>
      <c r="X1007" s="1696"/>
      <c r="Y1007" s="1696"/>
      <c r="Z1007" s="1773"/>
    </row>
    <row r="1008">
      <c r="A1008" s="1766"/>
      <c r="B1008" s="1780"/>
      <c r="C1008" s="1766"/>
      <c r="D1008" s="1766"/>
      <c r="E1008" s="1766"/>
      <c r="F1008" s="1766"/>
      <c r="G1008" s="1766"/>
      <c r="H1008" s="1766"/>
      <c r="I1008" s="1766"/>
      <c r="J1008" s="1766"/>
      <c r="K1008" s="1766"/>
      <c r="L1008" s="1766"/>
      <c r="M1008" s="1766"/>
      <c r="N1008" s="1781"/>
      <c r="O1008" s="1766"/>
      <c r="P1008" s="1766"/>
      <c r="Q1008" s="1766"/>
      <c r="R1008" s="1766"/>
      <c r="S1008" s="1696"/>
      <c r="T1008" s="1696"/>
      <c r="U1008" s="1772"/>
      <c r="V1008" s="1696"/>
      <c r="W1008" s="1772"/>
      <c r="X1008" s="1696"/>
      <c r="Y1008" s="1696"/>
      <c r="Z1008" s="1773"/>
    </row>
    <row r="1009">
      <c r="A1009" s="1765"/>
      <c r="B1009" s="1782"/>
      <c r="C1009" s="1765"/>
      <c r="D1009" s="1765"/>
      <c r="E1009" s="1765"/>
      <c r="F1009" s="1765"/>
      <c r="G1009" s="1765"/>
      <c r="H1009" s="1765"/>
      <c r="I1009" s="1765"/>
      <c r="J1009" s="1765"/>
      <c r="K1009" s="1765"/>
      <c r="L1009" s="1765"/>
      <c r="M1009" s="1765"/>
      <c r="N1009" s="1765"/>
      <c r="O1009" s="1765"/>
      <c r="P1009" s="1765"/>
      <c r="Q1009" s="1766"/>
      <c r="R1009" s="1766"/>
      <c r="S1009" s="1696"/>
      <c r="T1009" s="1696"/>
      <c r="U1009" s="1772"/>
      <c r="V1009" s="1696"/>
      <c r="W1009" s="1772"/>
      <c r="X1009" s="1696"/>
      <c r="Y1009" s="1696"/>
      <c r="Z1009" s="1773"/>
    </row>
    <row r="1010">
      <c r="A1010" s="1771"/>
      <c r="B1010" s="1777"/>
      <c r="C1010" s="1771"/>
      <c r="D1010" s="1771"/>
      <c r="E1010" s="1771"/>
      <c r="F1010" s="1771"/>
      <c r="G1010" s="1777"/>
      <c r="H1010" s="1771"/>
      <c r="I1010" s="1778"/>
      <c r="J1010" s="1771"/>
      <c r="K1010" s="1771"/>
      <c r="L1010" s="1771"/>
      <c r="M1010" s="1771"/>
      <c r="N1010" s="1779"/>
      <c r="O1010" s="1770"/>
      <c r="P1010" s="1771"/>
      <c r="Q1010" s="1766"/>
      <c r="R1010" s="1766"/>
      <c r="S1010" s="1696"/>
      <c r="T1010" s="1696"/>
      <c r="U1010" s="1772"/>
      <c r="V1010" s="1696"/>
      <c r="W1010" s="1772"/>
      <c r="X1010" s="1696"/>
      <c r="Y1010" s="1696"/>
      <c r="Z1010" s="1773"/>
    </row>
    <row r="1011">
      <c r="A1011" s="1766"/>
      <c r="B1011" s="1780"/>
      <c r="C1011" s="1766"/>
      <c r="D1011" s="1766"/>
      <c r="E1011" s="1766"/>
      <c r="F1011" s="1766"/>
      <c r="G1011" s="1766"/>
      <c r="H1011" s="1766"/>
      <c r="I1011" s="1766"/>
      <c r="J1011" s="1766"/>
      <c r="K1011" s="1766"/>
      <c r="L1011" s="1766"/>
      <c r="M1011" s="1766"/>
      <c r="N1011" s="1781"/>
      <c r="O1011" s="1766"/>
      <c r="P1011" s="1766"/>
      <c r="Q1011" s="1766"/>
      <c r="R1011" s="1766"/>
      <c r="S1011" s="1696"/>
      <c r="T1011" s="1696"/>
      <c r="U1011" s="1772"/>
      <c r="V1011" s="1696"/>
      <c r="W1011" s="1772"/>
      <c r="X1011" s="1696"/>
      <c r="Y1011" s="1696"/>
      <c r="Z1011" s="1773"/>
    </row>
    <row r="1012">
      <c r="A1012" s="1765"/>
      <c r="B1012" s="1782"/>
      <c r="C1012" s="1765"/>
      <c r="D1012" s="1765"/>
      <c r="E1012" s="1765"/>
      <c r="F1012" s="1765"/>
      <c r="G1012" s="1765"/>
      <c r="H1012" s="1765"/>
      <c r="I1012" s="1765"/>
      <c r="J1012" s="1765"/>
      <c r="K1012" s="1765"/>
      <c r="L1012" s="1765"/>
      <c r="M1012" s="1765"/>
      <c r="N1012" s="1765"/>
      <c r="O1012" s="1765"/>
      <c r="P1012" s="1765"/>
      <c r="Q1012" s="1766"/>
      <c r="R1012" s="1766"/>
      <c r="S1012" s="1696"/>
      <c r="T1012" s="1696"/>
      <c r="U1012" s="1772"/>
      <c r="V1012" s="1696"/>
      <c r="W1012" s="1772"/>
      <c r="X1012" s="1696"/>
      <c r="Y1012" s="1696"/>
      <c r="Z1012" s="1773"/>
    </row>
    <row r="1013">
      <c r="A1013" s="1771"/>
      <c r="B1013" s="1777"/>
      <c r="C1013" s="1771"/>
      <c r="D1013" s="1771"/>
      <c r="E1013" s="1771"/>
      <c r="F1013" s="1771"/>
      <c r="G1013" s="1770"/>
      <c r="H1013" s="1771"/>
      <c r="I1013" s="1778"/>
      <c r="J1013" s="1771"/>
      <c r="K1013" s="1771"/>
      <c r="L1013" s="1771"/>
      <c r="M1013" s="1771"/>
      <c r="N1013" s="1779"/>
      <c r="O1013" s="1770"/>
      <c r="P1013" s="1771"/>
      <c r="Q1013" s="1766"/>
      <c r="R1013" s="1766"/>
      <c r="S1013" s="1696"/>
      <c r="T1013" s="1696"/>
      <c r="U1013" s="1772"/>
      <c r="V1013" s="1696"/>
      <c r="W1013" s="1772"/>
      <c r="X1013" s="1696"/>
      <c r="Y1013" s="1696"/>
      <c r="Z1013" s="1773"/>
    </row>
    <row r="1014">
      <c r="A1014" s="1766"/>
      <c r="B1014" s="1780"/>
      <c r="C1014" s="1766"/>
      <c r="D1014" s="1766"/>
      <c r="E1014" s="1766"/>
      <c r="F1014" s="1766"/>
      <c r="G1014" s="1766"/>
      <c r="H1014" s="1766"/>
      <c r="I1014" s="1766"/>
      <c r="J1014" s="1766"/>
      <c r="K1014" s="1766"/>
      <c r="L1014" s="1766"/>
      <c r="M1014" s="1766"/>
      <c r="N1014" s="1781"/>
      <c r="O1014" s="1766"/>
      <c r="P1014" s="1766"/>
      <c r="Q1014" s="1766"/>
      <c r="R1014" s="1766"/>
      <c r="S1014" s="1696"/>
      <c r="T1014" s="1696"/>
      <c r="U1014" s="1772"/>
      <c r="V1014" s="1696"/>
      <c r="W1014" s="1772"/>
      <c r="X1014" s="1696"/>
      <c r="Y1014" s="1696"/>
      <c r="Z1014" s="1773"/>
    </row>
    <row r="1015">
      <c r="A1015" s="1765"/>
      <c r="B1015" s="1782"/>
      <c r="C1015" s="1765"/>
      <c r="D1015" s="1765"/>
      <c r="E1015" s="1765"/>
      <c r="F1015" s="1765"/>
      <c r="G1015" s="1765"/>
      <c r="H1015" s="1765"/>
      <c r="I1015" s="1765"/>
      <c r="J1015" s="1765"/>
      <c r="K1015" s="1765"/>
      <c r="L1015" s="1765"/>
      <c r="M1015" s="1765"/>
      <c r="N1015" s="1765"/>
      <c r="O1015" s="1765"/>
      <c r="P1015" s="1765"/>
      <c r="Q1015" s="1766"/>
      <c r="R1015" s="1766"/>
      <c r="S1015" s="1696"/>
      <c r="T1015" s="1696"/>
      <c r="U1015" s="1772"/>
      <c r="V1015" s="1696"/>
      <c r="W1015" s="1772"/>
      <c r="X1015" s="1696"/>
      <c r="Y1015" s="1696"/>
      <c r="Z1015" s="1773"/>
    </row>
    <row r="1016">
      <c r="A1016" s="1771"/>
      <c r="B1016" s="1777"/>
      <c r="C1016" s="1771"/>
      <c r="D1016" s="1771"/>
      <c r="E1016" s="1771"/>
      <c r="F1016" s="1771"/>
      <c r="G1016" s="1777"/>
      <c r="H1016" s="1771"/>
      <c r="I1016" s="1770"/>
      <c r="J1016" s="1771"/>
      <c r="K1016" s="1771"/>
      <c r="L1016" s="1771"/>
      <c r="M1016" s="1771"/>
      <c r="N1016" s="1779"/>
      <c r="O1016" s="1770"/>
      <c r="P1016" s="1771"/>
      <c r="Q1016" s="1766"/>
      <c r="R1016" s="1766"/>
      <c r="S1016" s="1696"/>
      <c r="T1016" s="1696"/>
      <c r="U1016" s="1772"/>
      <c r="V1016" s="1696"/>
      <c r="W1016" s="1772"/>
      <c r="X1016" s="1696"/>
      <c r="Y1016" s="1696"/>
      <c r="Z1016" s="1773"/>
    </row>
    <row r="1017">
      <c r="A1017" s="1766"/>
      <c r="B1017" s="1780"/>
      <c r="C1017" s="1766"/>
      <c r="D1017" s="1766"/>
      <c r="E1017" s="1766"/>
      <c r="F1017" s="1766"/>
      <c r="G1017" s="1766"/>
      <c r="H1017" s="1766"/>
      <c r="I1017" s="1766"/>
      <c r="J1017" s="1766"/>
      <c r="K1017" s="1766"/>
      <c r="L1017" s="1766"/>
      <c r="M1017" s="1766"/>
      <c r="N1017" s="1781"/>
      <c r="O1017" s="1766"/>
      <c r="P1017" s="1766"/>
      <c r="Q1017" s="1766"/>
      <c r="R1017" s="1766"/>
      <c r="S1017" s="1696"/>
      <c r="T1017" s="1696"/>
      <c r="U1017" s="1772"/>
      <c r="V1017" s="1696"/>
      <c r="W1017" s="1772"/>
      <c r="X1017" s="1696"/>
      <c r="Y1017" s="1696"/>
      <c r="Z1017" s="1773"/>
    </row>
    <row r="1018">
      <c r="A1018" s="1765"/>
      <c r="B1018" s="1782"/>
      <c r="C1018" s="1765"/>
      <c r="D1018" s="1765"/>
      <c r="E1018" s="1765"/>
      <c r="F1018" s="1765"/>
      <c r="G1018" s="1765"/>
      <c r="H1018" s="1765"/>
      <c r="I1018" s="1765"/>
      <c r="J1018" s="1765"/>
      <c r="K1018" s="1765"/>
      <c r="L1018" s="1765"/>
      <c r="M1018" s="1765"/>
      <c r="N1018" s="1765"/>
      <c r="O1018" s="1765"/>
      <c r="P1018" s="1765"/>
      <c r="Q1018" s="1766"/>
      <c r="R1018" s="1766"/>
      <c r="S1018" s="1696"/>
      <c r="T1018" s="1696"/>
      <c r="U1018" s="1772"/>
      <c r="V1018" s="1696"/>
      <c r="W1018" s="1772"/>
      <c r="X1018" s="1696"/>
      <c r="Y1018" s="1696"/>
      <c r="Z1018" s="1773"/>
    </row>
    <row r="1019">
      <c r="A1019" s="1771"/>
      <c r="B1019" s="1777"/>
      <c r="C1019" s="1771"/>
      <c r="D1019" s="1771"/>
      <c r="E1019" s="1771"/>
      <c r="F1019" s="1771"/>
      <c r="G1019" s="1777"/>
      <c r="H1019" s="1771"/>
      <c r="I1019" s="1770"/>
      <c r="J1019" s="1771"/>
      <c r="K1019" s="1771"/>
      <c r="L1019" s="1771"/>
      <c r="M1019" s="1771"/>
      <c r="N1019" s="1779"/>
      <c r="O1019" s="1770"/>
      <c r="P1019" s="1771"/>
      <c r="Q1019" s="1766"/>
      <c r="R1019" s="1766"/>
      <c r="S1019" s="1696"/>
      <c r="T1019" s="1696"/>
      <c r="U1019" s="1772"/>
      <c r="V1019" s="1696"/>
      <c r="W1019" s="1772"/>
      <c r="X1019" s="1696"/>
      <c r="Y1019" s="1696"/>
      <c r="Z1019" s="1773"/>
    </row>
    <row r="1020">
      <c r="A1020" s="1766"/>
      <c r="B1020" s="1780"/>
      <c r="C1020" s="1766"/>
      <c r="D1020" s="1766"/>
      <c r="E1020" s="1766"/>
      <c r="F1020" s="1766"/>
      <c r="G1020" s="1766"/>
      <c r="H1020" s="1766"/>
      <c r="I1020" s="1766"/>
      <c r="J1020" s="1766"/>
      <c r="K1020" s="1766"/>
      <c r="L1020" s="1766"/>
      <c r="M1020" s="1766"/>
      <c r="N1020" s="1781"/>
      <c r="O1020" s="1766"/>
      <c r="P1020" s="1766"/>
      <c r="Q1020" s="1766"/>
      <c r="R1020" s="1766"/>
      <c r="S1020" s="1696"/>
      <c r="T1020" s="1696"/>
      <c r="U1020" s="1772"/>
      <c r="V1020" s="1696"/>
      <c r="W1020" s="1772"/>
      <c r="X1020" s="1696"/>
      <c r="Y1020" s="1696"/>
      <c r="Z1020" s="1773"/>
    </row>
    <row r="1021">
      <c r="A1021" s="1765"/>
      <c r="B1021" s="1782"/>
      <c r="C1021" s="1765"/>
      <c r="D1021" s="1765"/>
      <c r="E1021" s="1765"/>
      <c r="F1021" s="1765"/>
      <c r="G1021" s="1765"/>
      <c r="H1021" s="1765"/>
      <c r="I1021" s="1765"/>
      <c r="J1021" s="1765"/>
      <c r="K1021" s="1765"/>
      <c r="L1021" s="1765"/>
      <c r="M1021" s="1765"/>
      <c r="N1021" s="1765"/>
      <c r="O1021" s="1765"/>
      <c r="P1021" s="1765"/>
      <c r="Q1021" s="1766"/>
      <c r="R1021" s="1766"/>
      <c r="S1021" s="1696"/>
      <c r="T1021" s="1696"/>
      <c r="U1021" s="1772"/>
      <c r="V1021" s="1696"/>
      <c r="W1021" s="1772"/>
      <c r="X1021" s="1696"/>
      <c r="Y1021" s="1696"/>
      <c r="Z1021" s="1773"/>
    </row>
    <row r="1022">
      <c r="A1022" s="1771"/>
      <c r="B1022" s="1777"/>
      <c r="C1022" s="1771"/>
      <c r="D1022" s="1771"/>
      <c r="E1022" s="1771"/>
      <c r="F1022" s="1771"/>
      <c r="G1022" s="1777"/>
      <c r="H1022" s="1771"/>
      <c r="I1022" s="1770"/>
      <c r="J1022" s="1771"/>
      <c r="K1022" s="1771"/>
      <c r="L1022" s="1771"/>
      <c r="M1022" s="1771"/>
      <c r="N1022" s="1779"/>
      <c r="O1022" s="1770"/>
      <c r="P1022" s="1771"/>
      <c r="Q1022" s="1766"/>
      <c r="R1022" s="1766"/>
      <c r="S1022" s="1696"/>
      <c r="T1022" s="1696"/>
      <c r="U1022" s="1772"/>
      <c r="V1022" s="1696"/>
      <c r="W1022" s="1772"/>
      <c r="X1022" s="1696"/>
      <c r="Y1022" s="1696"/>
      <c r="Z1022" s="1773"/>
    </row>
    <row r="1023">
      <c r="A1023" s="1766"/>
      <c r="B1023" s="1780"/>
      <c r="C1023" s="1766"/>
      <c r="D1023" s="1766"/>
      <c r="E1023" s="1766"/>
      <c r="F1023" s="1766"/>
      <c r="G1023" s="1766"/>
      <c r="H1023" s="1766"/>
      <c r="I1023" s="1766"/>
      <c r="J1023" s="1766"/>
      <c r="K1023" s="1766"/>
      <c r="L1023" s="1766"/>
      <c r="M1023" s="1766"/>
      <c r="N1023" s="1781"/>
      <c r="O1023" s="1766"/>
      <c r="P1023" s="1766"/>
      <c r="Q1023" s="1766"/>
      <c r="R1023" s="1766"/>
      <c r="S1023" s="1696"/>
      <c r="T1023" s="1696"/>
      <c r="U1023" s="1772"/>
      <c r="V1023" s="1696"/>
      <c r="W1023" s="1772"/>
      <c r="X1023" s="1696"/>
      <c r="Y1023" s="1696"/>
      <c r="Z1023" s="1773"/>
    </row>
    <row r="1024">
      <c r="A1024" s="1765"/>
      <c r="B1024" s="1782"/>
      <c r="C1024" s="1765"/>
      <c r="D1024" s="1765"/>
      <c r="E1024" s="1765"/>
      <c r="F1024" s="1765"/>
      <c r="G1024" s="1765"/>
      <c r="H1024" s="1765"/>
      <c r="I1024" s="1765"/>
      <c r="J1024" s="1765"/>
      <c r="K1024" s="1765"/>
      <c r="L1024" s="1765"/>
      <c r="M1024" s="1765"/>
      <c r="N1024" s="1765"/>
      <c r="O1024" s="1765"/>
      <c r="P1024" s="1765"/>
      <c r="Q1024" s="1766"/>
      <c r="R1024" s="1766"/>
      <c r="S1024" s="1696"/>
      <c r="T1024" s="1696"/>
      <c r="U1024" s="1772"/>
      <c r="V1024" s="1696"/>
      <c r="W1024" s="1772"/>
      <c r="X1024" s="1696"/>
      <c r="Y1024" s="1696"/>
      <c r="Z1024" s="1773"/>
    </row>
    <row r="1025">
      <c r="A1025" s="1771"/>
      <c r="B1025" s="1777"/>
      <c r="C1025" s="1771"/>
      <c r="D1025" s="1771"/>
      <c r="E1025" s="1771"/>
      <c r="F1025" s="1771"/>
      <c r="G1025" s="1777"/>
      <c r="H1025" s="1771"/>
      <c r="I1025" s="1770"/>
      <c r="J1025" s="1771"/>
      <c r="K1025" s="1771"/>
      <c r="L1025" s="1771"/>
      <c r="M1025" s="1771"/>
      <c r="N1025" s="1779"/>
      <c r="O1025" s="1770"/>
      <c r="P1025" s="1771"/>
      <c r="Q1025" s="1766"/>
      <c r="R1025" s="1766"/>
      <c r="S1025" s="1696"/>
      <c r="T1025" s="1696"/>
      <c r="U1025" s="1772"/>
      <c r="V1025" s="1696"/>
      <c r="W1025" s="1772"/>
      <c r="X1025" s="1696"/>
      <c r="Y1025" s="1696"/>
      <c r="Z1025" s="1773"/>
    </row>
    <row r="1026">
      <c r="A1026" s="1766"/>
      <c r="B1026" s="1780"/>
      <c r="C1026" s="1766"/>
      <c r="D1026" s="1766"/>
      <c r="E1026" s="1766"/>
      <c r="F1026" s="1766"/>
      <c r="G1026" s="1766"/>
      <c r="H1026" s="1766"/>
      <c r="I1026" s="1766"/>
      <c r="J1026" s="1766"/>
      <c r="K1026" s="1766"/>
      <c r="L1026" s="1766"/>
      <c r="M1026" s="1766"/>
      <c r="N1026" s="1781"/>
      <c r="O1026" s="1766"/>
      <c r="P1026" s="1766"/>
      <c r="Q1026" s="1766"/>
      <c r="R1026" s="1766"/>
      <c r="S1026" s="1696"/>
      <c r="T1026" s="1696"/>
      <c r="U1026" s="1772"/>
      <c r="V1026" s="1696"/>
      <c r="W1026" s="1772"/>
      <c r="X1026" s="1696"/>
      <c r="Y1026" s="1696"/>
      <c r="Z1026" s="1773"/>
    </row>
    <row r="1027">
      <c r="A1027" s="1765"/>
      <c r="B1027" s="1782"/>
      <c r="C1027" s="1765"/>
      <c r="D1027" s="1765"/>
      <c r="E1027" s="1765"/>
      <c r="F1027" s="1765"/>
      <c r="G1027" s="1765"/>
      <c r="H1027" s="1765"/>
      <c r="I1027" s="1765"/>
      <c r="J1027" s="1765"/>
      <c r="K1027" s="1765"/>
      <c r="L1027" s="1765"/>
      <c r="M1027" s="1765"/>
      <c r="N1027" s="1765"/>
      <c r="O1027" s="1765"/>
      <c r="P1027" s="1765"/>
      <c r="Q1027" s="1766"/>
      <c r="R1027" s="1766"/>
      <c r="S1027" s="1696"/>
      <c r="T1027" s="1696"/>
      <c r="U1027" s="1772"/>
      <c r="V1027" s="1696"/>
      <c r="W1027" s="1772"/>
      <c r="X1027" s="1696"/>
      <c r="Y1027" s="1696"/>
      <c r="Z1027" s="1773"/>
    </row>
    <row r="1028">
      <c r="A1028" s="1771"/>
      <c r="B1028" s="1777"/>
      <c r="C1028" s="1771"/>
      <c r="D1028" s="1771"/>
      <c r="E1028" s="1771"/>
      <c r="F1028" s="1771"/>
      <c r="G1028" s="1777"/>
      <c r="H1028" s="1771"/>
      <c r="I1028" s="1770"/>
      <c r="J1028" s="1771"/>
      <c r="K1028" s="1771"/>
      <c r="L1028" s="1771"/>
      <c r="M1028" s="1771"/>
      <c r="N1028" s="1779"/>
      <c r="O1028" s="1770"/>
      <c r="P1028" s="1771"/>
      <c r="Q1028" s="1766"/>
      <c r="R1028" s="1766"/>
      <c r="S1028" s="1696"/>
      <c r="T1028" s="1696"/>
      <c r="U1028" s="1772"/>
      <c r="V1028" s="1696"/>
      <c r="W1028" s="1772"/>
      <c r="X1028" s="1696"/>
      <c r="Y1028" s="1696"/>
      <c r="Z1028" s="1773"/>
    </row>
    <row r="1029">
      <c r="A1029" s="1766"/>
      <c r="B1029" s="1780"/>
      <c r="C1029" s="1766"/>
      <c r="D1029" s="1766"/>
      <c r="E1029" s="1766"/>
      <c r="F1029" s="1766"/>
      <c r="G1029" s="1766"/>
      <c r="H1029" s="1766"/>
      <c r="I1029" s="1766"/>
      <c r="J1029" s="1766"/>
      <c r="K1029" s="1766"/>
      <c r="L1029" s="1766"/>
      <c r="M1029" s="1766"/>
      <c r="N1029" s="1781"/>
      <c r="O1029" s="1766"/>
      <c r="P1029" s="1766"/>
      <c r="Q1029" s="1766"/>
      <c r="R1029" s="1766"/>
      <c r="S1029" s="1696"/>
      <c r="T1029" s="1696"/>
      <c r="U1029" s="1772"/>
      <c r="V1029" s="1696"/>
      <c r="W1029" s="1772"/>
      <c r="X1029" s="1696"/>
      <c r="Y1029" s="1696"/>
      <c r="Z1029" s="1773"/>
    </row>
    <row r="1030">
      <c r="A1030" s="1765"/>
      <c r="B1030" s="1782"/>
      <c r="C1030" s="1765"/>
      <c r="D1030" s="1765"/>
      <c r="E1030" s="1765"/>
      <c r="F1030" s="1765"/>
      <c r="G1030" s="1765"/>
      <c r="H1030" s="1765"/>
      <c r="I1030" s="1765"/>
      <c r="J1030" s="1765"/>
      <c r="K1030" s="1765"/>
      <c r="L1030" s="1765"/>
      <c r="M1030" s="1765"/>
      <c r="N1030" s="1765"/>
      <c r="O1030" s="1765"/>
      <c r="P1030" s="1765"/>
      <c r="Q1030" s="1766"/>
      <c r="R1030" s="1766"/>
      <c r="S1030" s="1696"/>
      <c r="T1030" s="1696"/>
      <c r="U1030" s="1772"/>
      <c r="V1030" s="1696"/>
      <c r="W1030" s="1772"/>
      <c r="X1030" s="1696"/>
      <c r="Y1030" s="1696"/>
      <c r="Z1030" s="1773"/>
    </row>
    <row r="1031">
      <c r="A1031" s="1771"/>
      <c r="B1031" s="1777"/>
      <c r="C1031" s="1771"/>
      <c r="D1031" s="1771"/>
      <c r="E1031" s="1771"/>
      <c r="F1031" s="1771"/>
      <c r="G1031" s="1777"/>
      <c r="H1031" s="1771"/>
      <c r="I1031" s="1770"/>
      <c r="J1031" s="1771"/>
      <c r="K1031" s="1771"/>
      <c r="L1031" s="1771"/>
      <c r="M1031" s="1771"/>
      <c r="N1031" s="1779"/>
      <c r="O1031" s="1770"/>
      <c r="P1031" s="1771"/>
      <c r="Q1031" s="1766"/>
      <c r="R1031" s="1766"/>
      <c r="S1031" s="1696"/>
      <c r="T1031" s="1696"/>
      <c r="U1031" s="1772"/>
      <c r="V1031" s="1696"/>
      <c r="W1031" s="1772"/>
      <c r="X1031" s="1696"/>
      <c r="Y1031" s="1696"/>
      <c r="Z1031" s="1773"/>
    </row>
    <row r="1032">
      <c r="A1032" s="1766"/>
      <c r="B1032" s="1780"/>
      <c r="C1032" s="1766"/>
      <c r="D1032" s="1766"/>
      <c r="E1032" s="1766"/>
      <c r="F1032" s="1766"/>
      <c r="G1032" s="1766"/>
      <c r="H1032" s="1766"/>
      <c r="I1032" s="1766"/>
      <c r="J1032" s="1766"/>
      <c r="K1032" s="1766"/>
      <c r="L1032" s="1766"/>
      <c r="M1032" s="1766"/>
      <c r="N1032" s="1781"/>
      <c r="O1032" s="1766"/>
      <c r="P1032" s="1766"/>
      <c r="Q1032" s="1766"/>
      <c r="R1032" s="1766"/>
      <c r="S1032" s="1696"/>
      <c r="T1032" s="1696"/>
      <c r="U1032" s="1772"/>
      <c r="V1032" s="1696"/>
      <c r="W1032" s="1772"/>
      <c r="X1032" s="1696"/>
      <c r="Y1032" s="1696"/>
      <c r="Z1032" s="1773"/>
    </row>
    <row r="1033">
      <c r="A1033" s="1765"/>
      <c r="B1033" s="1782"/>
      <c r="C1033" s="1765"/>
      <c r="D1033" s="1765"/>
      <c r="E1033" s="1765"/>
      <c r="F1033" s="1765"/>
      <c r="G1033" s="1765"/>
      <c r="H1033" s="1765"/>
      <c r="I1033" s="1765"/>
      <c r="J1033" s="1765"/>
      <c r="K1033" s="1765"/>
      <c r="L1033" s="1765"/>
      <c r="M1033" s="1765"/>
      <c r="N1033" s="1765"/>
      <c r="O1033" s="1765"/>
      <c r="P1033" s="1765"/>
      <c r="Q1033" s="1766"/>
      <c r="R1033" s="1766"/>
      <c r="S1033" s="1696"/>
      <c r="T1033" s="1696"/>
      <c r="U1033" s="1772"/>
      <c r="V1033" s="1696"/>
      <c r="W1033" s="1772"/>
      <c r="X1033" s="1696"/>
      <c r="Y1033" s="1696"/>
      <c r="Z1033" s="1773"/>
    </row>
    <row r="1034">
      <c r="A1034" s="1771"/>
      <c r="B1034" s="1777"/>
      <c r="C1034" s="1771"/>
      <c r="D1034" s="1771"/>
      <c r="E1034" s="1771"/>
      <c r="F1034" s="1771"/>
      <c r="G1034" s="1777"/>
      <c r="H1034" s="1771"/>
      <c r="I1034" s="1770"/>
      <c r="J1034" s="1771"/>
      <c r="K1034" s="1771"/>
      <c r="L1034" s="1771"/>
      <c r="M1034" s="1771"/>
      <c r="N1034" s="1779"/>
      <c r="O1034" s="1770"/>
      <c r="P1034" s="1771"/>
      <c r="Q1034" s="1766"/>
      <c r="R1034" s="1766"/>
      <c r="S1034" s="1696"/>
      <c r="T1034" s="1696"/>
      <c r="U1034" s="1772"/>
      <c r="V1034" s="1696"/>
      <c r="W1034" s="1772"/>
      <c r="X1034" s="1696"/>
      <c r="Y1034" s="1696"/>
      <c r="Z1034" s="1773"/>
    </row>
    <row r="1035">
      <c r="A1035" s="1766"/>
      <c r="B1035" s="1780"/>
      <c r="C1035" s="1766"/>
      <c r="D1035" s="1766"/>
      <c r="E1035" s="1766"/>
      <c r="F1035" s="1766"/>
      <c r="G1035" s="1766"/>
      <c r="H1035" s="1766"/>
      <c r="I1035" s="1766"/>
      <c r="J1035" s="1766"/>
      <c r="K1035" s="1766"/>
      <c r="L1035" s="1766"/>
      <c r="M1035" s="1766"/>
      <c r="N1035" s="1781"/>
      <c r="O1035" s="1766"/>
      <c r="P1035" s="1766"/>
      <c r="Q1035" s="1766"/>
      <c r="R1035" s="1766"/>
      <c r="S1035" s="1696"/>
      <c r="T1035" s="1696"/>
      <c r="U1035" s="1772"/>
      <c r="V1035" s="1696"/>
      <c r="W1035" s="1772"/>
      <c r="X1035" s="1696"/>
      <c r="Y1035" s="1696"/>
      <c r="Z1035" s="1773"/>
    </row>
    <row r="1036">
      <c r="A1036" s="1765"/>
      <c r="B1036" s="1782"/>
      <c r="C1036" s="1765"/>
      <c r="D1036" s="1765"/>
      <c r="E1036" s="1765"/>
      <c r="F1036" s="1765"/>
      <c r="G1036" s="1765"/>
      <c r="H1036" s="1765"/>
      <c r="I1036" s="1765"/>
      <c r="J1036" s="1765"/>
      <c r="K1036" s="1765"/>
      <c r="L1036" s="1765"/>
      <c r="M1036" s="1765"/>
      <c r="N1036" s="1765"/>
      <c r="O1036" s="1765"/>
      <c r="P1036" s="1765"/>
      <c r="Q1036" s="1766"/>
      <c r="R1036" s="1766"/>
      <c r="S1036" s="1696"/>
      <c r="T1036" s="1696"/>
      <c r="U1036" s="1772"/>
      <c r="V1036" s="1696"/>
      <c r="W1036" s="1772"/>
      <c r="X1036" s="1696"/>
      <c r="Y1036" s="1696"/>
      <c r="Z1036" s="1773"/>
    </row>
    <row r="1037">
      <c r="A1037" s="1771"/>
      <c r="B1037" s="1777"/>
      <c r="C1037" s="1771"/>
      <c r="D1037" s="1771"/>
      <c r="E1037" s="1771"/>
      <c r="F1037" s="1771"/>
      <c r="G1037" s="1777"/>
      <c r="H1037" s="1771"/>
      <c r="I1037" s="1770"/>
      <c r="J1037" s="1771"/>
      <c r="K1037" s="1771"/>
      <c r="L1037" s="1771"/>
      <c r="M1037" s="1771"/>
      <c r="N1037" s="1779"/>
      <c r="O1037" s="1770"/>
      <c r="P1037" s="1771"/>
      <c r="Q1037" s="1766"/>
      <c r="R1037" s="1766"/>
      <c r="S1037" s="1696"/>
      <c r="T1037" s="1696"/>
      <c r="U1037" s="1772"/>
      <c r="V1037" s="1696"/>
      <c r="W1037" s="1772"/>
      <c r="X1037" s="1696"/>
      <c r="Y1037" s="1696"/>
      <c r="Z1037" s="1773"/>
    </row>
    <row r="1038">
      <c r="A1038" s="1766"/>
      <c r="B1038" s="1780"/>
      <c r="C1038" s="1766"/>
      <c r="D1038" s="1766"/>
      <c r="E1038" s="1766"/>
      <c r="F1038" s="1766"/>
      <c r="G1038" s="1766"/>
      <c r="H1038" s="1766"/>
      <c r="I1038" s="1766"/>
      <c r="J1038" s="1766"/>
      <c r="K1038" s="1766"/>
      <c r="L1038" s="1766"/>
      <c r="M1038" s="1766"/>
      <c r="N1038" s="1781"/>
      <c r="O1038" s="1766"/>
      <c r="P1038" s="1766"/>
      <c r="Q1038" s="1766"/>
      <c r="R1038" s="1766"/>
      <c r="S1038" s="1696"/>
      <c r="T1038" s="1696"/>
      <c r="U1038" s="1772"/>
      <c r="V1038" s="1696"/>
      <c r="W1038" s="1772"/>
      <c r="X1038" s="1696"/>
      <c r="Y1038" s="1696"/>
      <c r="Z1038" s="1773"/>
    </row>
    <row r="1039">
      <c r="A1039" s="1765"/>
      <c r="B1039" s="1782"/>
      <c r="C1039" s="1765"/>
      <c r="D1039" s="1765"/>
      <c r="E1039" s="1765"/>
      <c r="F1039" s="1765"/>
      <c r="G1039" s="1765"/>
      <c r="H1039" s="1765"/>
      <c r="I1039" s="1765"/>
      <c r="J1039" s="1765"/>
      <c r="K1039" s="1765"/>
      <c r="L1039" s="1765"/>
      <c r="M1039" s="1765"/>
      <c r="N1039" s="1765"/>
      <c r="O1039" s="1765"/>
      <c r="P1039" s="1765"/>
      <c r="Q1039" s="1766"/>
      <c r="R1039" s="1766"/>
      <c r="S1039" s="1696"/>
      <c r="T1039" s="1696"/>
      <c r="U1039" s="1772"/>
      <c r="V1039" s="1696"/>
      <c r="W1039" s="1772"/>
      <c r="X1039" s="1696"/>
      <c r="Y1039" s="1696"/>
      <c r="Z1039" s="1773"/>
    </row>
    <row r="1040">
      <c r="A1040" s="1771"/>
      <c r="B1040" s="1777"/>
      <c r="C1040" s="1771"/>
      <c r="D1040" s="1771"/>
      <c r="E1040" s="1771"/>
      <c r="F1040" s="1771"/>
      <c r="G1040" s="1777"/>
      <c r="H1040" s="1771"/>
      <c r="I1040" s="1770"/>
      <c r="J1040" s="1771"/>
      <c r="K1040" s="1771"/>
      <c r="L1040" s="1771"/>
      <c r="M1040" s="1771"/>
      <c r="N1040" s="1779"/>
      <c r="O1040" s="1770"/>
      <c r="P1040" s="1771"/>
      <c r="Q1040" s="1766"/>
      <c r="R1040" s="1766"/>
      <c r="S1040" s="1696"/>
      <c r="T1040" s="1696"/>
      <c r="U1040" s="1772"/>
      <c r="V1040" s="1696"/>
      <c r="W1040" s="1772"/>
      <c r="X1040" s="1696"/>
      <c r="Y1040" s="1696"/>
      <c r="Z1040" s="1773"/>
    </row>
    <row r="1041">
      <c r="A1041" s="1766"/>
      <c r="B1041" s="1780"/>
      <c r="C1041" s="1766"/>
      <c r="D1041" s="1766"/>
      <c r="E1041" s="1766"/>
      <c r="F1041" s="1766"/>
      <c r="G1041" s="1766"/>
      <c r="H1041" s="1766"/>
      <c r="I1041" s="1766"/>
      <c r="J1041" s="1766"/>
      <c r="K1041" s="1766"/>
      <c r="L1041" s="1766"/>
      <c r="M1041" s="1766"/>
      <c r="N1041" s="1781"/>
      <c r="O1041" s="1766"/>
      <c r="P1041" s="1766"/>
      <c r="Q1041" s="1766"/>
      <c r="R1041" s="1766"/>
      <c r="S1041" s="1696"/>
      <c r="T1041" s="1696"/>
      <c r="U1041" s="1772"/>
      <c r="V1041" s="1696"/>
      <c r="W1041" s="1772"/>
      <c r="X1041" s="1696"/>
      <c r="Y1041" s="1696"/>
      <c r="Z1041" s="1773"/>
    </row>
    <row r="1042">
      <c r="A1042" s="1765"/>
      <c r="B1042" s="1782"/>
      <c r="C1042" s="1765"/>
      <c r="D1042" s="1765"/>
      <c r="E1042" s="1765"/>
      <c r="F1042" s="1765"/>
      <c r="G1042" s="1765"/>
      <c r="H1042" s="1765"/>
      <c r="I1042" s="1765"/>
      <c r="J1042" s="1765"/>
      <c r="K1042" s="1765"/>
      <c r="L1042" s="1765"/>
      <c r="M1042" s="1765"/>
      <c r="N1042" s="1765"/>
      <c r="O1042" s="1765"/>
      <c r="P1042" s="1765"/>
      <c r="Q1042" s="1766"/>
      <c r="R1042" s="1766"/>
      <c r="S1042" s="1696"/>
      <c r="T1042" s="1696"/>
      <c r="U1042" s="1772"/>
      <c r="V1042" s="1696"/>
      <c r="W1042" s="1772"/>
      <c r="X1042" s="1696"/>
      <c r="Y1042" s="1696"/>
      <c r="Z1042" s="1773"/>
    </row>
    <row r="1043">
      <c r="A1043" s="1771"/>
      <c r="B1043" s="1777"/>
      <c r="C1043" s="1771"/>
      <c r="D1043" s="1771"/>
      <c r="E1043" s="1771"/>
      <c r="F1043" s="1771"/>
      <c r="G1043" s="1777"/>
      <c r="H1043" s="1771"/>
      <c r="I1043" s="1770"/>
      <c r="J1043" s="1771"/>
      <c r="K1043" s="1771"/>
      <c r="L1043" s="1771"/>
      <c r="M1043" s="1771"/>
      <c r="N1043" s="1779"/>
      <c r="O1043" s="1770"/>
      <c r="P1043" s="1771"/>
      <c r="Q1043" s="1766"/>
      <c r="R1043" s="1766"/>
      <c r="S1043" s="1696"/>
      <c r="T1043" s="1696"/>
      <c r="U1043" s="1772"/>
      <c r="V1043" s="1696"/>
      <c r="W1043" s="1772"/>
      <c r="X1043" s="1696"/>
      <c r="Y1043" s="1696"/>
      <c r="Z1043" s="1773"/>
    </row>
    <row r="1044">
      <c r="A1044" s="1766"/>
      <c r="B1044" s="1780"/>
      <c r="C1044" s="1766"/>
      <c r="D1044" s="1766"/>
      <c r="E1044" s="1766"/>
      <c r="F1044" s="1766"/>
      <c r="G1044" s="1766"/>
      <c r="H1044" s="1766"/>
      <c r="I1044" s="1766"/>
      <c r="J1044" s="1766"/>
      <c r="K1044" s="1766"/>
      <c r="L1044" s="1766"/>
      <c r="M1044" s="1766"/>
      <c r="N1044" s="1781"/>
      <c r="O1044" s="1766"/>
      <c r="P1044" s="1766"/>
      <c r="Q1044" s="1766"/>
      <c r="R1044" s="1766"/>
      <c r="S1044" s="1696"/>
      <c r="T1044" s="1696"/>
      <c r="U1044" s="1772"/>
      <c r="V1044" s="1696"/>
      <c r="W1044" s="1772"/>
      <c r="X1044" s="1696"/>
      <c r="Y1044" s="1696"/>
      <c r="Z1044" s="1773"/>
    </row>
    <row r="1045">
      <c r="A1045" s="1765"/>
      <c r="B1045" s="1782"/>
      <c r="C1045" s="1765"/>
      <c r="D1045" s="1765"/>
      <c r="E1045" s="1765"/>
      <c r="F1045" s="1765"/>
      <c r="G1045" s="1765"/>
      <c r="H1045" s="1765"/>
      <c r="I1045" s="1765"/>
      <c r="J1045" s="1765"/>
      <c r="K1045" s="1765"/>
      <c r="L1045" s="1765"/>
      <c r="M1045" s="1765"/>
      <c r="N1045" s="1765"/>
      <c r="O1045" s="1765"/>
      <c r="P1045" s="1765"/>
      <c r="Q1045" s="1766"/>
      <c r="R1045" s="1766"/>
      <c r="S1045" s="1696"/>
      <c r="T1045" s="1696"/>
      <c r="U1045" s="1772"/>
      <c r="V1045" s="1696"/>
      <c r="W1045" s="1772"/>
      <c r="X1045" s="1696"/>
      <c r="Y1045" s="1696"/>
      <c r="Z1045" s="1773"/>
    </row>
    <row r="1046">
      <c r="A1046" s="1771"/>
      <c r="B1046" s="1777"/>
      <c r="C1046" s="1771"/>
      <c r="D1046" s="1771"/>
      <c r="E1046" s="1771"/>
      <c r="F1046" s="1771"/>
      <c r="G1046" s="1777"/>
      <c r="H1046" s="1771"/>
      <c r="I1046" s="1770"/>
      <c r="J1046" s="1771"/>
      <c r="K1046" s="1771"/>
      <c r="L1046" s="1771"/>
      <c r="M1046" s="1771"/>
      <c r="N1046" s="1779"/>
      <c r="O1046" s="1770"/>
      <c r="P1046" s="1771"/>
      <c r="Q1046" s="1766"/>
      <c r="R1046" s="1766"/>
      <c r="S1046" s="1696"/>
      <c r="T1046" s="1696"/>
      <c r="U1046" s="1772"/>
      <c r="V1046" s="1696"/>
      <c r="W1046" s="1772"/>
      <c r="X1046" s="1696"/>
      <c r="Y1046" s="1696"/>
      <c r="Z1046" s="1773"/>
    </row>
    <row r="1047">
      <c r="A1047" s="1766"/>
      <c r="B1047" s="1780"/>
      <c r="C1047" s="1766"/>
      <c r="D1047" s="1766"/>
      <c r="E1047" s="1766"/>
      <c r="F1047" s="1766"/>
      <c r="G1047" s="1766"/>
      <c r="H1047" s="1766"/>
      <c r="I1047" s="1766"/>
      <c r="J1047" s="1766"/>
      <c r="K1047" s="1766"/>
      <c r="L1047" s="1766"/>
      <c r="M1047" s="1766"/>
      <c r="N1047" s="1781"/>
      <c r="O1047" s="1766"/>
      <c r="P1047" s="1766"/>
      <c r="Q1047" s="1766"/>
      <c r="R1047" s="1766"/>
      <c r="S1047" s="1696"/>
      <c r="T1047" s="1696"/>
      <c r="U1047" s="1772"/>
      <c r="V1047" s="1696"/>
      <c r="W1047" s="1772"/>
      <c r="X1047" s="1696"/>
      <c r="Y1047" s="1696"/>
      <c r="Z1047" s="1773"/>
    </row>
    <row r="1048">
      <c r="A1048" s="1765"/>
      <c r="B1048" s="1782"/>
      <c r="C1048" s="1765"/>
      <c r="D1048" s="1765"/>
      <c r="E1048" s="1765"/>
      <c r="F1048" s="1765"/>
      <c r="G1048" s="1765"/>
      <c r="H1048" s="1765"/>
      <c r="I1048" s="1765"/>
      <c r="J1048" s="1765"/>
      <c r="K1048" s="1765"/>
      <c r="L1048" s="1765"/>
      <c r="M1048" s="1765"/>
      <c r="N1048" s="1765"/>
      <c r="O1048" s="1765"/>
      <c r="P1048" s="1765"/>
      <c r="Q1048" s="1766"/>
      <c r="R1048" s="1766"/>
      <c r="S1048" s="1696"/>
      <c r="T1048" s="1696"/>
      <c r="U1048" s="1772"/>
      <c r="V1048" s="1696"/>
      <c r="W1048" s="1772"/>
      <c r="X1048" s="1696"/>
      <c r="Y1048" s="1696"/>
      <c r="Z1048" s="1773"/>
    </row>
    <row r="1049">
      <c r="A1049" s="1771"/>
      <c r="B1049" s="1777"/>
      <c r="C1049" s="1771"/>
      <c r="D1049" s="1771"/>
      <c r="E1049" s="1771"/>
      <c r="F1049" s="1771"/>
      <c r="G1049" s="1777"/>
      <c r="H1049" s="1771"/>
      <c r="I1049" s="1770"/>
      <c r="J1049" s="1771"/>
      <c r="K1049" s="1771"/>
      <c r="L1049" s="1771"/>
      <c r="M1049" s="1771"/>
      <c r="N1049" s="1779"/>
      <c r="O1049" s="1770"/>
      <c r="P1049" s="1771"/>
      <c r="Q1049" s="1766"/>
      <c r="R1049" s="1766"/>
      <c r="S1049" s="1696"/>
      <c r="T1049" s="1696"/>
      <c r="U1049" s="1772"/>
      <c r="V1049" s="1696"/>
      <c r="W1049" s="1772"/>
      <c r="X1049" s="1696"/>
      <c r="Y1049" s="1696"/>
      <c r="Z1049" s="1773"/>
    </row>
    <row r="1050">
      <c r="A1050" s="1766"/>
      <c r="B1050" s="1780"/>
      <c r="C1050" s="1766"/>
      <c r="D1050" s="1766"/>
      <c r="E1050" s="1766"/>
      <c r="F1050" s="1766"/>
      <c r="G1050" s="1766"/>
      <c r="H1050" s="1766"/>
      <c r="I1050" s="1766"/>
      <c r="J1050" s="1766"/>
      <c r="K1050" s="1766"/>
      <c r="L1050" s="1766"/>
      <c r="M1050" s="1766"/>
      <c r="N1050" s="1781"/>
      <c r="O1050" s="1766"/>
      <c r="P1050" s="1766"/>
      <c r="Q1050" s="1766"/>
      <c r="R1050" s="1766"/>
      <c r="S1050" s="1696"/>
      <c r="T1050" s="1696"/>
      <c r="U1050" s="1772"/>
      <c r="V1050" s="1696"/>
      <c r="W1050" s="1772"/>
      <c r="X1050" s="1696"/>
      <c r="Y1050" s="1696"/>
      <c r="Z1050" s="1773"/>
    </row>
    <row r="1051">
      <c r="A1051" s="1765"/>
      <c r="B1051" s="1782"/>
      <c r="C1051" s="1765"/>
      <c r="D1051" s="1765"/>
      <c r="E1051" s="1765"/>
      <c r="F1051" s="1765"/>
      <c r="G1051" s="1765"/>
      <c r="H1051" s="1765"/>
      <c r="I1051" s="1765"/>
      <c r="J1051" s="1765"/>
      <c r="K1051" s="1765"/>
      <c r="L1051" s="1765"/>
      <c r="M1051" s="1765"/>
      <c r="N1051" s="1765"/>
      <c r="O1051" s="1765"/>
      <c r="P1051" s="1765"/>
      <c r="Q1051" s="1766"/>
      <c r="R1051" s="1766"/>
      <c r="S1051" s="1696"/>
      <c r="T1051" s="1696"/>
      <c r="U1051" s="1772"/>
      <c r="V1051" s="1696"/>
      <c r="W1051" s="1772"/>
      <c r="X1051" s="1696"/>
      <c r="Y1051" s="1696"/>
      <c r="Z1051" s="1773"/>
    </row>
    <row r="1052">
      <c r="A1052" s="1771"/>
      <c r="B1052" s="1777"/>
      <c r="C1052" s="1771"/>
      <c r="D1052" s="1771"/>
      <c r="E1052" s="1771"/>
      <c r="F1052" s="1771"/>
      <c r="G1052" s="1770"/>
      <c r="H1052" s="1771"/>
      <c r="I1052" s="1770"/>
      <c r="J1052" s="1771"/>
      <c r="K1052" s="1771"/>
      <c r="L1052" s="1771"/>
      <c r="M1052" s="1771"/>
      <c r="N1052" s="1779"/>
      <c r="O1052" s="1770"/>
      <c r="P1052" s="1771"/>
      <c r="Q1052" s="1766"/>
      <c r="R1052" s="1766"/>
      <c r="S1052" s="1696"/>
      <c r="T1052" s="1696"/>
      <c r="U1052" s="1772"/>
      <c r="V1052" s="1696"/>
      <c r="W1052" s="1772"/>
      <c r="X1052" s="1696"/>
      <c r="Y1052" s="1696"/>
      <c r="Z1052" s="1773"/>
    </row>
    <row r="1053">
      <c r="A1053" s="1766"/>
      <c r="B1053" s="1780"/>
      <c r="C1053" s="1766"/>
      <c r="D1053" s="1766"/>
      <c r="E1053" s="1766"/>
      <c r="F1053" s="1766"/>
      <c r="G1053" s="1766"/>
      <c r="H1053" s="1766"/>
      <c r="I1053" s="1766"/>
      <c r="J1053" s="1766"/>
      <c r="K1053" s="1766"/>
      <c r="L1053" s="1766"/>
      <c r="M1053" s="1766"/>
      <c r="N1053" s="1781"/>
      <c r="O1053" s="1766"/>
      <c r="P1053" s="1766"/>
      <c r="Q1053" s="1766"/>
      <c r="R1053" s="1766"/>
      <c r="S1053" s="1696"/>
      <c r="T1053" s="1696"/>
      <c r="U1053" s="1772"/>
      <c r="V1053" s="1696"/>
      <c r="W1053" s="1772"/>
      <c r="X1053" s="1696"/>
      <c r="Y1053" s="1696"/>
      <c r="Z1053" s="1773"/>
    </row>
    <row r="1054">
      <c r="A1054" s="1765"/>
      <c r="B1054" s="1782"/>
      <c r="C1054" s="1765"/>
      <c r="D1054" s="1765"/>
      <c r="E1054" s="1765"/>
      <c r="F1054" s="1765"/>
      <c r="G1054" s="1765"/>
      <c r="H1054" s="1765"/>
      <c r="I1054" s="1765"/>
      <c r="J1054" s="1765"/>
      <c r="K1054" s="1765"/>
      <c r="L1054" s="1765"/>
      <c r="M1054" s="1765"/>
      <c r="N1054" s="1765"/>
      <c r="O1054" s="1765"/>
      <c r="P1054" s="1765"/>
      <c r="Q1054" s="1766"/>
      <c r="R1054" s="1766"/>
      <c r="S1054" s="1696"/>
      <c r="T1054" s="1696"/>
      <c r="U1054" s="1772"/>
      <c r="V1054" s="1696"/>
      <c r="W1054" s="1772"/>
      <c r="X1054" s="1696"/>
      <c r="Y1054" s="1696"/>
      <c r="Z1054" s="1773"/>
    </row>
    <row r="1055">
      <c r="A1055" s="1771"/>
      <c r="B1055" s="1777"/>
      <c r="C1055" s="1771"/>
      <c r="D1055" s="1771"/>
      <c r="E1055" s="1771"/>
      <c r="F1055" s="1771"/>
      <c r="G1055" s="1777"/>
      <c r="H1055" s="1771"/>
      <c r="I1055" s="1770"/>
      <c r="J1055" s="1771"/>
      <c r="K1055" s="1771"/>
      <c r="L1055" s="1771"/>
      <c r="M1055" s="1771"/>
      <c r="N1055" s="1779"/>
      <c r="O1055" s="1770"/>
      <c r="P1055" s="1771"/>
      <c r="Q1055" s="1766"/>
      <c r="R1055" s="1766"/>
      <c r="S1055" s="1696"/>
      <c r="T1055" s="1696"/>
      <c r="U1055" s="1772"/>
      <c r="V1055" s="1696"/>
      <c r="W1055" s="1772"/>
      <c r="X1055" s="1696"/>
      <c r="Y1055" s="1696"/>
      <c r="Z1055" s="1773"/>
    </row>
    <row r="1056">
      <c r="A1056" s="1766"/>
      <c r="B1056" s="1780"/>
      <c r="C1056" s="1766"/>
      <c r="D1056" s="1766"/>
      <c r="E1056" s="1766"/>
      <c r="F1056" s="1766"/>
      <c r="G1056" s="1766"/>
      <c r="H1056" s="1766"/>
      <c r="I1056" s="1766"/>
      <c r="J1056" s="1766"/>
      <c r="K1056" s="1766"/>
      <c r="L1056" s="1766"/>
      <c r="M1056" s="1766"/>
      <c r="N1056" s="1781"/>
      <c r="O1056" s="1766"/>
      <c r="P1056" s="1766"/>
      <c r="Q1056" s="1766"/>
      <c r="R1056" s="1766"/>
      <c r="S1056" s="1696"/>
      <c r="T1056" s="1696"/>
      <c r="U1056" s="1772"/>
      <c r="V1056" s="1696"/>
      <c r="W1056" s="1772"/>
      <c r="X1056" s="1696"/>
      <c r="Y1056" s="1696"/>
      <c r="Z1056" s="1773"/>
    </row>
    <row r="1057">
      <c r="A1057" s="1765"/>
      <c r="B1057" s="1782"/>
      <c r="C1057" s="1765"/>
      <c r="D1057" s="1765"/>
      <c r="E1057" s="1765"/>
      <c r="F1057" s="1765"/>
      <c r="G1057" s="1765"/>
      <c r="H1057" s="1765"/>
      <c r="I1057" s="1765"/>
      <c r="J1057" s="1765"/>
      <c r="K1057" s="1765"/>
      <c r="L1057" s="1765"/>
      <c r="M1057" s="1765"/>
      <c r="N1057" s="1765"/>
      <c r="O1057" s="1765"/>
      <c r="P1057" s="1765"/>
      <c r="Q1057" s="1766"/>
      <c r="R1057" s="1766"/>
      <c r="S1057" s="1696"/>
      <c r="T1057" s="1696"/>
      <c r="U1057" s="1772"/>
      <c r="V1057" s="1696"/>
      <c r="W1057" s="1772"/>
      <c r="X1057" s="1696"/>
      <c r="Y1057" s="1696"/>
      <c r="Z1057" s="1773"/>
    </row>
    <row r="1058">
      <c r="A1058" s="1771"/>
      <c r="B1058" s="1777"/>
      <c r="C1058" s="1771"/>
      <c r="D1058" s="1771"/>
      <c r="E1058" s="1771"/>
      <c r="F1058" s="1771"/>
      <c r="G1058" s="1777"/>
      <c r="H1058" s="1771"/>
      <c r="I1058" s="1770"/>
      <c r="J1058" s="1771"/>
      <c r="K1058" s="1771"/>
      <c r="L1058" s="1771"/>
      <c r="M1058" s="1771"/>
      <c r="N1058" s="1779"/>
      <c r="O1058" s="1770"/>
      <c r="P1058" s="1771"/>
      <c r="Q1058" s="1766"/>
      <c r="R1058" s="1766"/>
      <c r="S1058" s="1696"/>
      <c r="T1058" s="1696"/>
      <c r="U1058" s="1772"/>
      <c r="V1058" s="1696"/>
      <c r="W1058" s="1772"/>
      <c r="X1058" s="1696"/>
      <c r="Y1058" s="1696"/>
      <c r="Z1058" s="1773"/>
    </row>
    <row r="1059">
      <c r="A1059" s="1766"/>
      <c r="B1059" s="1780"/>
      <c r="C1059" s="1766"/>
      <c r="D1059" s="1766"/>
      <c r="E1059" s="1766"/>
      <c r="F1059" s="1766"/>
      <c r="G1059" s="1766"/>
      <c r="H1059" s="1766"/>
      <c r="I1059" s="1766"/>
      <c r="J1059" s="1766"/>
      <c r="K1059" s="1766"/>
      <c r="L1059" s="1766"/>
      <c r="M1059" s="1766"/>
      <c r="N1059" s="1781"/>
      <c r="O1059" s="1766"/>
      <c r="P1059" s="1766"/>
      <c r="Q1059" s="1766"/>
      <c r="R1059" s="1766"/>
      <c r="S1059" s="1696"/>
      <c r="T1059" s="1696"/>
      <c r="U1059" s="1772"/>
      <c r="V1059" s="1696"/>
      <c r="W1059" s="1772"/>
      <c r="X1059" s="1696"/>
      <c r="Y1059" s="1696"/>
      <c r="Z1059" s="1773"/>
    </row>
    <row r="1060">
      <c r="A1060" s="1765"/>
      <c r="B1060" s="1782"/>
      <c r="C1060" s="1765"/>
      <c r="D1060" s="1765"/>
      <c r="E1060" s="1765"/>
      <c r="F1060" s="1765"/>
      <c r="G1060" s="1765"/>
      <c r="H1060" s="1765"/>
      <c r="I1060" s="1765"/>
      <c r="J1060" s="1765"/>
      <c r="K1060" s="1765"/>
      <c r="L1060" s="1765"/>
      <c r="M1060" s="1765"/>
      <c r="N1060" s="1765"/>
      <c r="O1060" s="1765"/>
      <c r="P1060" s="1765"/>
      <c r="Q1060" s="1766"/>
      <c r="R1060" s="1766"/>
      <c r="S1060" s="1696"/>
      <c r="T1060" s="1696"/>
      <c r="U1060" s="1772"/>
      <c r="V1060" s="1696"/>
      <c r="W1060" s="1772"/>
      <c r="X1060" s="1696"/>
      <c r="Y1060" s="1696"/>
      <c r="Z1060" s="1773"/>
    </row>
    <row r="1061">
      <c r="A1061" s="1771"/>
      <c r="B1061" s="1777"/>
      <c r="C1061" s="1771"/>
      <c r="D1061" s="1771"/>
      <c r="E1061" s="1771"/>
      <c r="F1061" s="1771"/>
      <c r="G1061" s="1777"/>
      <c r="H1061" s="1771"/>
      <c r="I1061" s="1770"/>
      <c r="J1061" s="1771"/>
      <c r="K1061" s="1771"/>
      <c r="L1061" s="1771"/>
      <c r="M1061" s="1771"/>
      <c r="N1061" s="1779"/>
      <c r="O1061" s="1770"/>
      <c r="P1061" s="1771"/>
      <c r="Q1061" s="1766"/>
      <c r="R1061" s="1766"/>
      <c r="S1061" s="1696"/>
      <c r="T1061" s="1696"/>
      <c r="U1061" s="1772"/>
      <c r="V1061" s="1696"/>
      <c r="W1061" s="1772"/>
      <c r="X1061" s="1696"/>
      <c r="Y1061" s="1696"/>
      <c r="Z1061" s="1773"/>
    </row>
    <row r="1062">
      <c r="A1062" s="1766"/>
      <c r="B1062" s="1780"/>
      <c r="C1062" s="1766"/>
      <c r="D1062" s="1766"/>
      <c r="E1062" s="1766"/>
      <c r="F1062" s="1766"/>
      <c r="G1062" s="1766"/>
      <c r="H1062" s="1766"/>
      <c r="I1062" s="1766"/>
      <c r="J1062" s="1766"/>
      <c r="K1062" s="1766"/>
      <c r="L1062" s="1766"/>
      <c r="M1062" s="1766"/>
      <c r="N1062" s="1781"/>
      <c r="O1062" s="1766"/>
      <c r="P1062" s="1766"/>
      <c r="Q1062" s="1766"/>
      <c r="R1062" s="1766"/>
      <c r="S1062" s="1696"/>
      <c r="T1062" s="1696"/>
      <c r="U1062" s="1772"/>
      <c r="V1062" s="1696"/>
      <c r="W1062" s="1772"/>
      <c r="X1062" s="1696"/>
      <c r="Y1062" s="1696"/>
      <c r="Z1062" s="1773"/>
    </row>
    <row r="1063">
      <c r="A1063" s="1765"/>
      <c r="B1063" s="1782"/>
      <c r="C1063" s="1765"/>
      <c r="D1063" s="1765"/>
      <c r="E1063" s="1765"/>
      <c r="F1063" s="1765"/>
      <c r="G1063" s="1765"/>
      <c r="H1063" s="1765"/>
      <c r="I1063" s="1765"/>
      <c r="J1063" s="1765"/>
      <c r="K1063" s="1765"/>
      <c r="L1063" s="1765"/>
      <c r="M1063" s="1765"/>
      <c r="N1063" s="1765"/>
      <c r="O1063" s="1765"/>
      <c r="P1063" s="1765"/>
      <c r="Q1063" s="1766"/>
      <c r="R1063" s="1766"/>
      <c r="S1063" s="1696"/>
      <c r="T1063" s="1696"/>
      <c r="U1063" s="1772"/>
      <c r="V1063" s="1696"/>
      <c r="W1063" s="1772"/>
      <c r="X1063" s="1696"/>
      <c r="Y1063" s="1696"/>
      <c r="Z1063" s="1773"/>
    </row>
    <row r="1064">
      <c r="A1064" s="1771"/>
      <c r="B1064" s="1777"/>
      <c r="C1064" s="1771"/>
      <c r="D1064" s="1771"/>
      <c r="E1064" s="1771"/>
      <c r="F1064" s="1771"/>
      <c r="G1064" s="1777"/>
      <c r="H1064" s="1771"/>
      <c r="I1064" s="1770"/>
      <c r="J1064" s="1771"/>
      <c r="K1064" s="1771"/>
      <c r="L1064" s="1771"/>
      <c r="M1064" s="1771"/>
      <c r="N1064" s="1779"/>
      <c r="O1064" s="1770"/>
      <c r="P1064" s="1771"/>
      <c r="Q1064" s="1766"/>
      <c r="R1064" s="1766"/>
      <c r="S1064" s="1696"/>
      <c r="T1064" s="1696"/>
      <c r="U1064" s="1772"/>
      <c r="V1064" s="1696"/>
      <c r="W1064" s="1772"/>
      <c r="X1064" s="1696"/>
      <c r="Y1064" s="1696"/>
      <c r="Z1064" s="1773"/>
    </row>
    <row r="1065">
      <c r="A1065" s="1766"/>
      <c r="B1065" s="1780"/>
      <c r="C1065" s="1766"/>
      <c r="D1065" s="1766"/>
      <c r="E1065" s="1766"/>
      <c r="F1065" s="1766"/>
      <c r="G1065" s="1766"/>
      <c r="H1065" s="1766"/>
      <c r="I1065" s="1766"/>
      <c r="J1065" s="1766"/>
      <c r="K1065" s="1766"/>
      <c r="L1065" s="1766"/>
      <c r="M1065" s="1766"/>
      <c r="N1065" s="1781"/>
      <c r="O1065" s="1766"/>
      <c r="P1065" s="1766"/>
      <c r="Q1065" s="1766"/>
      <c r="R1065" s="1766"/>
      <c r="S1065" s="1696"/>
      <c r="T1065" s="1696"/>
      <c r="U1065" s="1772"/>
      <c r="V1065" s="1696"/>
      <c r="W1065" s="1772"/>
      <c r="X1065" s="1696"/>
      <c r="Y1065" s="1696"/>
      <c r="Z1065" s="1773"/>
    </row>
    <row r="1066">
      <c r="A1066" s="1765"/>
      <c r="B1066" s="1782"/>
      <c r="C1066" s="1765"/>
      <c r="D1066" s="1765"/>
      <c r="E1066" s="1765"/>
      <c r="F1066" s="1765"/>
      <c r="G1066" s="1765"/>
      <c r="H1066" s="1765"/>
      <c r="I1066" s="1765"/>
      <c r="J1066" s="1765"/>
      <c r="K1066" s="1765"/>
      <c r="L1066" s="1765"/>
      <c r="M1066" s="1765"/>
      <c r="N1066" s="1765"/>
      <c r="O1066" s="1765"/>
      <c r="P1066" s="1765"/>
      <c r="Q1066" s="1766"/>
      <c r="R1066" s="1766"/>
      <c r="S1066" s="1696"/>
      <c r="T1066" s="1696"/>
      <c r="U1066" s="1772"/>
      <c r="V1066" s="1696"/>
      <c r="W1066" s="1772"/>
      <c r="X1066" s="1696"/>
      <c r="Y1066" s="1696"/>
      <c r="Z1066" s="1773"/>
    </row>
    <row r="1067">
      <c r="A1067" s="1771"/>
      <c r="B1067" s="1777"/>
      <c r="C1067" s="1771"/>
      <c r="D1067" s="1771"/>
      <c r="E1067" s="1771"/>
      <c r="F1067" s="1771"/>
      <c r="G1067" s="1777"/>
      <c r="H1067" s="1771"/>
      <c r="I1067" s="1770"/>
      <c r="J1067" s="1771"/>
      <c r="K1067" s="1771"/>
      <c r="L1067" s="1771"/>
      <c r="M1067" s="1771"/>
      <c r="N1067" s="1779"/>
      <c r="O1067" s="1770"/>
      <c r="P1067" s="1771"/>
      <c r="Q1067" s="1766"/>
      <c r="R1067" s="1766"/>
      <c r="S1067" s="1696"/>
      <c r="T1067" s="1696"/>
      <c r="U1067" s="1772"/>
      <c r="V1067" s="1696"/>
      <c r="W1067" s="1772"/>
      <c r="X1067" s="1696"/>
      <c r="Y1067" s="1696"/>
      <c r="Z1067" s="1773"/>
    </row>
    <row r="1068">
      <c r="A1068" s="1766"/>
      <c r="B1068" s="1780"/>
      <c r="C1068" s="1766"/>
      <c r="D1068" s="1766"/>
      <c r="E1068" s="1766"/>
      <c r="F1068" s="1766"/>
      <c r="G1068" s="1766"/>
      <c r="H1068" s="1766"/>
      <c r="I1068" s="1766"/>
      <c r="J1068" s="1766"/>
      <c r="K1068" s="1766"/>
      <c r="L1068" s="1766"/>
      <c r="M1068" s="1766"/>
      <c r="N1068" s="1781"/>
      <c r="O1068" s="1766"/>
      <c r="P1068" s="1766"/>
      <c r="Q1068" s="1766"/>
      <c r="R1068" s="1766"/>
      <c r="S1068" s="1696"/>
      <c r="T1068" s="1696"/>
      <c r="U1068" s="1772"/>
      <c r="V1068" s="1696"/>
      <c r="W1068" s="1772"/>
      <c r="X1068" s="1696"/>
      <c r="Y1068" s="1696"/>
      <c r="Z1068" s="1773"/>
    </row>
    <row r="1069">
      <c r="A1069" s="1765"/>
      <c r="B1069" s="1782"/>
      <c r="C1069" s="1765"/>
      <c r="D1069" s="1765"/>
      <c r="E1069" s="1765"/>
      <c r="F1069" s="1765"/>
      <c r="G1069" s="1765"/>
      <c r="H1069" s="1765"/>
      <c r="I1069" s="1765"/>
      <c r="J1069" s="1765"/>
      <c r="K1069" s="1765"/>
      <c r="L1069" s="1765"/>
      <c r="M1069" s="1765"/>
      <c r="N1069" s="1765"/>
      <c r="O1069" s="1765"/>
      <c r="P1069" s="1765"/>
      <c r="Q1069" s="1766"/>
      <c r="R1069" s="1766"/>
      <c r="S1069" s="1696"/>
      <c r="T1069" s="1696"/>
      <c r="U1069" s="1772"/>
      <c r="V1069" s="1696"/>
      <c r="W1069" s="1772"/>
      <c r="X1069" s="1696"/>
      <c r="Y1069" s="1696"/>
      <c r="Z1069" s="1773"/>
    </row>
    <row r="1070">
      <c r="A1070" s="1771"/>
      <c r="B1070" s="1777"/>
      <c r="C1070" s="1771"/>
      <c r="D1070" s="1771"/>
      <c r="E1070" s="1771"/>
      <c r="F1070" s="1771"/>
      <c r="G1070" s="1771"/>
      <c r="H1070" s="1771"/>
      <c r="I1070" s="1770"/>
      <c r="J1070" s="1771"/>
      <c r="K1070" s="1771"/>
      <c r="L1070" s="1771"/>
      <c r="M1070" s="1771"/>
      <c r="N1070" s="1779"/>
      <c r="O1070" s="1770"/>
      <c r="P1070" s="1771"/>
      <c r="Q1070" s="1766"/>
      <c r="R1070" s="1766"/>
      <c r="S1070" s="1696"/>
      <c r="T1070" s="1696"/>
      <c r="U1070" s="1772"/>
      <c r="V1070" s="1696"/>
      <c r="W1070" s="1772"/>
      <c r="X1070" s="1696"/>
      <c r="Y1070" s="1696"/>
      <c r="Z1070" s="1773"/>
    </row>
    <row r="1071">
      <c r="A1071" s="1766"/>
      <c r="B1071" s="1780"/>
      <c r="C1071" s="1766"/>
      <c r="D1071" s="1766"/>
      <c r="E1071" s="1766"/>
      <c r="F1071" s="1766"/>
      <c r="G1071" s="1766"/>
      <c r="H1071" s="1766"/>
      <c r="I1071" s="1766"/>
      <c r="J1071" s="1766"/>
      <c r="K1071" s="1766"/>
      <c r="L1071" s="1766"/>
      <c r="M1071" s="1766"/>
      <c r="N1071" s="1781"/>
      <c r="O1071" s="1766"/>
      <c r="P1071" s="1766"/>
      <c r="Q1071" s="1766"/>
      <c r="R1071" s="1766"/>
      <c r="S1071" s="1696"/>
      <c r="T1071" s="1696"/>
      <c r="U1071" s="1772"/>
      <c r="V1071" s="1696"/>
      <c r="W1071" s="1772"/>
      <c r="X1071" s="1696"/>
      <c r="Y1071" s="1696"/>
      <c r="Z1071" s="1773"/>
    </row>
    <row r="1072">
      <c r="A1072" s="1765"/>
      <c r="B1072" s="1782"/>
      <c r="C1072" s="1765"/>
      <c r="D1072" s="1765"/>
      <c r="E1072" s="1765"/>
      <c r="F1072" s="1765"/>
      <c r="G1072" s="1765"/>
      <c r="H1072" s="1765"/>
      <c r="I1072" s="1765"/>
      <c r="J1072" s="1765"/>
      <c r="K1072" s="1765"/>
      <c r="L1072" s="1765"/>
      <c r="M1072" s="1765"/>
      <c r="N1072" s="1765"/>
      <c r="O1072" s="1765"/>
      <c r="P1072" s="1765"/>
      <c r="Q1072" s="1766"/>
      <c r="R1072" s="1766"/>
      <c r="S1072" s="1696"/>
      <c r="T1072" s="1696"/>
      <c r="U1072" s="1772"/>
      <c r="V1072" s="1696"/>
      <c r="W1072" s="1772"/>
      <c r="X1072" s="1696"/>
      <c r="Y1072" s="1696"/>
      <c r="Z1072" s="1773"/>
    </row>
    <row r="1073">
      <c r="A1073" s="1771"/>
      <c r="B1073" s="1777"/>
      <c r="C1073" s="1771"/>
      <c r="D1073" s="1771"/>
      <c r="E1073" s="1771"/>
      <c r="F1073" s="1771"/>
      <c r="G1073" s="1777"/>
      <c r="H1073" s="1771"/>
      <c r="I1073" s="1770"/>
      <c r="J1073" s="1771"/>
      <c r="K1073" s="1771"/>
      <c r="L1073" s="1771"/>
      <c r="M1073" s="1771"/>
      <c r="N1073" s="1779"/>
      <c r="O1073" s="1770"/>
      <c r="P1073" s="1771"/>
      <c r="Q1073" s="1766"/>
      <c r="R1073" s="1766"/>
      <c r="S1073" s="1696"/>
      <c r="T1073" s="1696"/>
      <c r="U1073" s="1772"/>
      <c r="V1073" s="1696"/>
      <c r="W1073" s="1772"/>
      <c r="X1073" s="1696"/>
      <c r="Y1073" s="1696"/>
      <c r="Z1073" s="1773"/>
    </row>
    <row r="1074">
      <c r="A1074" s="1766"/>
      <c r="B1074" s="1780"/>
      <c r="C1074" s="1766"/>
      <c r="D1074" s="1766"/>
      <c r="E1074" s="1766"/>
      <c r="F1074" s="1766"/>
      <c r="G1074" s="1766"/>
      <c r="H1074" s="1766"/>
      <c r="I1074" s="1766"/>
      <c r="J1074" s="1766"/>
      <c r="K1074" s="1766"/>
      <c r="L1074" s="1766"/>
      <c r="M1074" s="1766"/>
      <c r="N1074" s="1781"/>
      <c r="O1074" s="1766"/>
      <c r="P1074" s="1766"/>
      <c r="Q1074" s="1766"/>
      <c r="R1074" s="1766"/>
      <c r="S1074" s="1696"/>
      <c r="T1074" s="1696"/>
      <c r="U1074" s="1772"/>
      <c r="V1074" s="1696"/>
      <c r="W1074" s="1772"/>
      <c r="X1074" s="1696"/>
      <c r="Y1074" s="1696"/>
      <c r="Z1074" s="1773"/>
    </row>
    <row r="1075">
      <c r="A1075" s="1765"/>
      <c r="B1075" s="1782"/>
      <c r="C1075" s="1765"/>
      <c r="D1075" s="1765"/>
      <c r="E1075" s="1765"/>
      <c r="F1075" s="1765"/>
      <c r="G1075" s="1765"/>
      <c r="H1075" s="1765"/>
      <c r="I1075" s="1765"/>
      <c r="J1075" s="1765"/>
      <c r="K1075" s="1765"/>
      <c r="L1075" s="1765"/>
      <c r="M1075" s="1765"/>
      <c r="N1075" s="1765"/>
      <c r="O1075" s="1765"/>
      <c r="P1075" s="1765"/>
      <c r="Q1075" s="1766"/>
      <c r="R1075" s="1766"/>
      <c r="S1075" s="1696"/>
      <c r="T1075" s="1696"/>
      <c r="U1075" s="1772"/>
      <c r="V1075" s="1696"/>
      <c r="W1075" s="1772"/>
      <c r="X1075" s="1696"/>
      <c r="Y1075" s="1696"/>
      <c r="Z1075" s="1773"/>
    </row>
    <row r="1076">
      <c r="A1076" s="1771"/>
      <c r="B1076" s="1777"/>
      <c r="C1076" s="1771"/>
      <c r="D1076" s="1771"/>
      <c r="E1076" s="1771"/>
      <c r="F1076" s="1771"/>
      <c r="G1076" s="1771"/>
      <c r="H1076" s="1771"/>
      <c r="I1076" s="1770"/>
      <c r="J1076" s="1771"/>
      <c r="K1076" s="1771"/>
      <c r="L1076" s="1771"/>
      <c r="M1076" s="1771"/>
      <c r="N1076" s="1779"/>
      <c r="O1076" s="1770"/>
      <c r="P1076" s="1771"/>
      <c r="Q1076" s="1766"/>
      <c r="R1076" s="1766"/>
      <c r="S1076" s="1696"/>
      <c r="T1076" s="1696"/>
      <c r="U1076" s="1772"/>
      <c r="V1076" s="1696"/>
      <c r="W1076" s="1772"/>
      <c r="X1076" s="1696"/>
      <c r="Y1076" s="1696"/>
      <c r="Z1076" s="1773"/>
    </row>
    <row r="1077">
      <c r="A1077" s="1766"/>
      <c r="B1077" s="1780"/>
      <c r="C1077" s="1766"/>
      <c r="D1077" s="1766"/>
      <c r="E1077" s="1766"/>
      <c r="F1077" s="1766"/>
      <c r="G1077" s="1766"/>
      <c r="H1077" s="1766"/>
      <c r="I1077" s="1766"/>
      <c r="J1077" s="1766"/>
      <c r="K1077" s="1766"/>
      <c r="L1077" s="1766"/>
      <c r="M1077" s="1766"/>
      <c r="N1077" s="1781"/>
      <c r="O1077" s="1766"/>
      <c r="P1077" s="1766"/>
      <c r="Q1077" s="1766"/>
      <c r="R1077" s="1766"/>
      <c r="S1077" s="1696"/>
      <c r="T1077" s="1696"/>
      <c r="U1077" s="1772"/>
      <c r="V1077" s="1696"/>
      <c r="W1077" s="1772"/>
      <c r="X1077" s="1696"/>
      <c r="Y1077" s="1696"/>
      <c r="Z1077" s="1773"/>
    </row>
    <row r="1078">
      <c r="A1078" s="1765"/>
      <c r="B1078" s="1782"/>
      <c r="C1078" s="1765"/>
      <c r="D1078" s="1765"/>
      <c r="E1078" s="1765"/>
      <c r="F1078" s="1765"/>
      <c r="G1078" s="1765"/>
      <c r="H1078" s="1765"/>
      <c r="I1078" s="1765"/>
      <c r="J1078" s="1765"/>
      <c r="K1078" s="1765"/>
      <c r="L1078" s="1765"/>
      <c r="M1078" s="1765"/>
      <c r="N1078" s="1765"/>
      <c r="O1078" s="1765"/>
      <c r="P1078" s="1765"/>
      <c r="Q1078" s="1766"/>
      <c r="R1078" s="1766"/>
      <c r="S1078" s="1696"/>
      <c r="T1078" s="1696"/>
      <c r="U1078" s="1772"/>
      <c r="V1078" s="1696"/>
      <c r="W1078" s="1772"/>
      <c r="X1078" s="1696"/>
      <c r="Y1078" s="1696"/>
      <c r="Z1078" s="1773"/>
    </row>
    <row r="1079">
      <c r="A1079" s="1771"/>
      <c r="B1079" s="1777"/>
      <c r="C1079" s="1771"/>
      <c r="D1079" s="1771"/>
      <c r="E1079" s="1771"/>
      <c r="F1079" s="1771"/>
      <c r="G1079" s="1777"/>
      <c r="H1079" s="1771"/>
      <c r="I1079" s="1770"/>
      <c r="J1079" s="1771"/>
      <c r="K1079" s="1771"/>
      <c r="L1079" s="1771"/>
      <c r="M1079" s="1771"/>
      <c r="N1079" s="1779"/>
      <c r="O1079" s="1770"/>
      <c r="P1079" s="1771"/>
      <c r="Q1079" s="1766"/>
      <c r="R1079" s="1766"/>
      <c r="S1079" s="1696"/>
      <c r="T1079" s="1696"/>
      <c r="U1079" s="1772"/>
      <c r="V1079" s="1696"/>
      <c r="W1079" s="1772"/>
      <c r="X1079" s="1696"/>
      <c r="Y1079" s="1696"/>
      <c r="Z1079" s="1773"/>
    </row>
    <row r="1080">
      <c r="A1080" s="1766"/>
      <c r="B1080" s="1780"/>
      <c r="C1080" s="1766"/>
      <c r="D1080" s="1766"/>
      <c r="E1080" s="1766"/>
      <c r="F1080" s="1766"/>
      <c r="G1080" s="1766"/>
      <c r="H1080" s="1766"/>
      <c r="I1080" s="1766"/>
      <c r="J1080" s="1766"/>
      <c r="K1080" s="1766"/>
      <c r="L1080" s="1766"/>
      <c r="M1080" s="1766"/>
      <c r="N1080" s="1781"/>
      <c r="O1080" s="1766"/>
      <c r="P1080" s="1766"/>
      <c r="Q1080" s="1766"/>
      <c r="R1080" s="1766"/>
      <c r="S1080" s="1696"/>
      <c r="T1080" s="1696"/>
      <c r="U1080" s="1772"/>
      <c r="V1080" s="1696"/>
      <c r="W1080" s="1772"/>
      <c r="X1080" s="1696"/>
      <c r="Y1080" s="1696"/>
      <c r="Z1080" s="1773"/>
    </row>
    <row r="1081">
      <c r="A1081" s="1765"/>
      <c r="B1081" s="1782"/>
      <c r="C1081" s="1765"/>
      <c r="D1081" s="1765"/>
      <c r="E1081" s="1765"/>
      <c r="F1081" s="1765"/>
      <c r="G1081" s="1765"/>
      <c r="H1081" s="1765"/>
      <c r="I1081" s="1765"/>
      <c r="J1081" s="1765"/>
      <c r="K1081" s="1765"/>
      <c r="L1081" s="1765"/>
      <c r="M1081" s="1765"/>
      <c r="N1081" s="1765"/>
      <c r="O1081" s="1765"/>
      <c r="P1081" s="1765"/>
      <c r="Q1081" s="1766"/>
      <c r="R1081" s="1766"/>
      <c r="S1081" s="1696"/>
      <c r="T1081" s="1696"/>
      <c r="U1081" s="1772"/>
      <c r="V1081" s="1696"/>
      <c r="W1081" s="1772"/>
      <c r="X1081" s="1696"/>
      <c r="Y1081" s="1696"/>
      <c r="Z1081" s="1773"/>
    </row>
    <row r="1082">
      <c r="A1082" s="1771"/>
      <c r="B1082" s="1777"/>
      <c r="C1082" s="1771"/>
      <c r="D1082" s="1771"/>
      <c r="E1082" s="1771"/>
      <c r="F1082" s="1771"/>
      <c r="G1082" s="1777"/>
      <c r="H1082" s="1771"/>
      <c r="I1082" s="1770"/>
      <c r="J1082" s="1771"/>
      <c r="K1082" s="1771"/>
      <c r="L1082" s="1771"/>
      <c r="M1082" s="1771"/>
      <c r="N1082" s="1779"/>
      <c r="O1082" s="1770"/>
      <c r="P1082" s="1771"/>
      <c r="Q1082" s="1766"/>
      <c r="R1082" s="1766"/>
      <c r="S1082" s="1696"/>
      <c r="T1082" s="1696"/>
      <c r="U1082" s="1772"/>
      <c r="V1082" s="1696"/>
      <c r="W1082" s="1772"/>
      <c r="X1082" s="1696"/>
      <c r="Y1082" s="1696"/>
      <c r="Z1082" s="1773"/>
    </row>
    <row r="1083">
      <c r="A1083" s="1766"/>
      <c r="B1083" s="1780"/>
      <c r="C1083" s="1766"/>
      <c r="D1083" s="1766"/>
      <c r="E1083" s="1766"/>
      <c r="F1083" s="1766"/>
      <c r="G1083" s="1766"/>
      <c r="H1083" s="1766"/>
      <c r="I1083" s="1766"/>
      <c r="J1083" s="1766"/>
      <c r="K1083" s="1766"/>
      <c r="L1083" s="1766"/>
      <c r="M1083" s="1766"/>
      <c r="N1083" s="1781"/>
      <c r="O1083" s="1766"/>
      <c r="P1083" s="1766"/>
      <c r="Q1083" s="1766"/>
      <c r="R1083" s="1766"/>
      <c r="S1083" s="1696"/>
      <c r="T1083" s="1696"/>
      <c r="U1083" s="1772"/>
      <c r="V1083" s="1696"/>
      <c r="W1083" s="1772"/>
      <c r="X1083" s="1696"/>
      <c r="Y1083" s="1696"/>
      <c r="Z1083" s="1773"/>
    </row>
    <row r="1084">
      <c r="A1084" s="1765"/>
      <c r="B1084" s="1782"/>
      <c r="C1084" s="1765"/>
      <c r="D1084" s="1765"/>
      <c r="E1084" s="1765"/>
      <c r="F1084" s="1765"/>
      <c r="G1084" s="1765"/>
      <c r="H1084" s="1765"/>
      <c r="I1084" s="1765"/>
      <c r="J1084" s="1765"/>
      <c r="K1084" s="1765"/>
      <c r="L1084" s="1765"/>
      <c r="M1084" s="1765"/>
      <c r="N1084" s="1765"/>
      <c r="O1084" s="1765"/>
      <c r="P1084" s="1765"/>
      <c r="Q1084" s="1766"/>
      <c r="R1084" s="1766"/>
      <c r="S1084" s="1696"/>
      <c r="T1084" s="1696"/>
      <c r="U1084" s="1772"/>
      <c r="V1084" s="1696"/>
      <c r="W1084" s="1772"/>
      <c r="X1084" s="1696"/>
      <c r="Y1084" s="1696"/>
      <c r="Z1084" s="1773"/>
    </row>
    <row r="1085">
      <c r="A1085" s="1771"/>
      <c r="B1085" s="1777"/>
      <c r="C1085" s="1771"/>
      <c r="D1085" s="1771"/>
      <c r="E1085" s="1771"/>
      <c r="F1085" s="1771"/>
      <c r="G1085" s="1770"/>
      <c r="H1085" s="1771"/>
      <c r="I1085" s="1770"/>
      <c r="J1085" s="1771"/>
      <c r="K1085" s="1771"/>
      <c r="L1085" s="1771"/>
      <c r="M1085" s="1771"/>
      <c r="N1085" s="1779"/>
      <c r="O1085" s="1770"/>
      <c r="P1085" s="1771"/>
      <c r="Q1085" s="1766"/>
      <c r="R1085" s="1766"/>
      <c r="S1085" s="1696"/>
      <c r="T1085" s="1696"/>
      <c r="U1085" s="1772"/>
      <c r="V1085" s="1696"/>
      <c r="W1085" s="1772"/>
      <c r="X1085" s="1696"/>
      <c r="Y1085" s="1696"/>
      <c r="Z1085" s="1773"/>
    </row>
    <row r="1086">
      <c r="A1086" s="1766"/>
      <c r="B1086" s="1780"/>
      <c r="C1086" s="1766"/>
      <c r="D1086" s="1766"/>
      <c r="E1086" s="1766"/>
      <c r="F1086" s="1766"/>
      <c r="G1086" s="1766"/>
      <c r="H1086" s="1766"/>
      <c r="I1086" s="1766"/>
      <c r="J1086" s="1766"/>
      <c r="K1086" s="1766"/>
      <c r="L1086" s="1766"/>
      <c r="M1086" s="1766"/>
      <c r="N1086" s="1781"/>
      <c r="O1086" s="1766"/>
      <c r="P1086" s="1766"/>
      <c r="Q1086" s="1766"/>
      <c r="R1086" s="1766"/>
      <c r="S1086" s="1696"/>
      <c r="T1086" s="1696"/>
      <c r="U1086" s="1772"/>
      <c r="V1086" s="1696"/>
      <c r="W1086" s="1772"/>
      <c r="X1086" s="1696"/>
      <c r="Y1086" s="1696"/>
      <c r="Z1086" s="1773"/>
    </row>
    <row r="1087">
      <c r="A1087" s="1765"/>
      <c r="B1087" s="1782"/>
      <c r="C1087" s="1765"/>
      <c r="D1087" s="1765"/>
      <c r="E1087" s="1765"/>
      <c r="F1087" s="1765"/>
      <c r="G1087" s="1765"/>
      <c r="H1087" s="1765"/>
      <c r="I1087" s="1765"/>
      <c r="J1087" s="1765"/>
      <c r="K1087" s="1765"/>
      <c r="L1087" s="1765"/>
      <c r="M1087" s="1765"/>
      <c r="N1087" s="1765"/>
      <c r="O1087" s="1765"/>
      <c r="P1087" s="1765"/>
      <c r="Q1087" s="1766"/>
      <c r="R1087" s="1766"/>
      <c r="S1087" s="1696"/>
      <c r="T1087" s="1696"/>
      <c r="U1087" s="1772"/>
      <c r="V1087" s="1696"/>
      <c r="W1087" s="1772"/>
      <c r="X1087" s="1696"/>
      <c r="Y1087" s="1696"/>
      <c r="Z1087" s="1773"/>
    </row>
    <row r="1088">
      <c r="A1088" s="1771"/>
      <c r="B1088" s="1777"/>
      <c r="C1088" s="1771"/>
      <c r="D1088" s="1771"/>
      <c r="E1088" s="1771"/>
      <c r="F1088" s="1771"/>
      <c r="G1088" s="1777"/>
      <c r="H1088" s="1771"/>
      <c r="I1088" s="1770"/>
      <c r="J1088" s="1771"/>
      <c r="K1088" s="1771"/>
      <c r="L1088" s="1771"/>
      <c r="M1088" s="1771"/>
      <c r="N1088" s="1779"/>
      <c r="O1088" s="1770"/>
      <c r="P1088" s="1771"/>
      <c r="Q1088" s="1766"/>
      <c r="R1088" s="1766"/>
      <c r="S1088" s="1696"/>
      <c r="T1088" s="1696"/>
      <c r="U1088" s="1772"/>
      <c r="V1088" s="1696"/>
      <c r="W1088" s="1772"/>
      <c r="X1088" s="1696"/>
      <c r="Y1088" s="1696"/>
      <c r="Z1088" s="1773"/>
    </row>
    <row r="1089">
      <c r="A1089" s="1766"/>
      <c r="B1089" s="1780"/>
      <c r="C1089" s="1766"/>
      <c r="D1089" s="1766"/>
      <c r="E1089" s="1766"/>
      <c r="F1089" s="1766"/>
      <c r="G1089" s="1766"/>
      <c r="H1089" s="1766"/>
      <c r="I1089" s="1766"/>
      <c r="J1089" s="1766"/>
      <c r="K1089" s="1766"/>
      <c r="L1089" s="1766"/>
      <c r="M1089" s="1766"/>
      <c r="N1089" s="1781"/>
      <c r="O1089" s="1766"/>
      <c r="P1089" s="1766"/>
      <c r="Q1089" s="1766"/>
      <c r="R1089" s="1766"/>
      <c r="S1089" s="1696"/>
      <c r="T1089" s="1696"/>
      <c r="U1089" s="1772"/>
      <c r="V1089" s="1696"/>
      <c r="W1089" s="1772"/>
      <c r="X1089" s="1696"/>
      <c r="Y1089" s="1696"/>
      <c r="Z1089" s="1773"/>
    </row>
    <row r="1090">
      <c r="A1090" s="1765"/>
      <c r="B1090" s="1782"/>
      <c r="C1090" s="1765"/>
      <c r="D1090" s="1765"/>
      <c r="E1090" s="1765"/>
      <c r="F1090" s="1765"/>
      <c r="G1090" s="1765"/>
      <c r="H1090" s="1765"/>
      <c r="I1090" s="1765"/>
      <c r="J1090" s="1765"/>
      <c r="K1090" s="1765"/>
      <c r="L1090" s="1765"/>
      <c r="M1090" s="1765"/>
      <c r="N1090" s="1765"/>
      <c r="O1090" s="1765"/>
      <c r="P1090" s="1765"/>
      <c r="Q1090" s="1766"/>
      <c r="R1090" s="1766"/>
      <c r="S1090" s="1696"/>
      <c r="T1090" s="1696"/>
      <c r="U1090" s="1772"/>
      <c r="V1090" s="1696"/>
      <c r="W1090" s="1772"/>
      <c r="X1090" s="1696"/>
      <c r="Y1090" s="1696"/>
      <c r="Z1090" s="1773"/>
    </row>
    <row r="1091">
      <c r="A1091" s="1771"/>
      <c r="B1091" s="1777"/>
      <c r="C1091" s="1771"/>
      <c r="D1091" s="1771"/>
      <c r="E1091" s="1771"/>
      <c r="F1091" s="1771"/>
      <c r="G1091" s="1771"/>
      <c r="H1091" s="1771"/>
      <c r="I1091" s="1770"/>
      <c r="J1091" s="1771"/>
      <c r="K1091" s="1771"/>
      <c r="L1091" s="1771"/>
      <c r="M1091" s="1771"/>
      <c r="N1091" s="1779"/>
      <c r="O1091" s="1770"/>
      <c r="P1091" s="1771"/>
      <c r="Q1091" s="1766"/>
      <c r="R1091" s="1766"/>
      <c r="S1091" s="1696"/>
      <c r="T1091" s="1696"/>
      <c r="U1091" s="1772"/>
      <c r="V1091" s="1696"/>
      <c r="W1091" s="1772"/>
      <c r="X1091" s="1696"/>
      <c r="Y1091" s="1696"/>
      <c r="Z1091" s="1773"/>
    </row>
    <row r="1092">
      <c r="A1092" s="1766"/>
      <c r="B1092" s="1780"/>
      <c r="C1092" s="1766"/>
      <c r="D1092" s="1766"/>
      <c r="E1092" s="1766"/>
      <c r="F1092" s="1766"/>
      <c r="G1092" s="1766"/>
      <c r="H1092" s="1766"/>
      <c r="I1092" s="1766"/>
      <c r="J1092" s="1766"/>
      <c r="K1092" s="1766"/>
      <c r="L1092" s="1766"/>
      <c r="M1092" s="1766"/>
      <c r="N1092" s="1781"/>
      <c r="O1092" s="1766"/>
      <c r="P1092" s="1766"/>
      <c r="Q1092" s="1766"/>
      <c r="R1092" s="1766"/>
      <c r="S1092" s="1696"/>
      <c r="T1092" s="1696"/>
      <c r="U1092" s="1772"/>
      <c r="V1092" s="1696"/>
      <c r="W1092" s="1772"/>
      <c r="X1092" s="1696"/>
      <c r="Y1092" s="1696"/>
      <c r="Z1092" s="1773"/>
    </row>
    <row r="1093">
      <c r="A1093" s="1765"/>
      <c r="B1093" s="1782"/>
      <c r="C1093" s="1765"/>
      <c r="D1093" s="1765"/>
      <c r="E1093" s="1765"/>
      <c r="F1093" s="1765"/>
      <c r="G1093" s="1765"/>
      <c r="H1093" s="1765"/>
      <c r="I1093" s="1765"/>
      <c r="J1093" s="1765"/>
      <c r="K1093" s="1765"/>
      <c r="L1093" s="1765"/>
      <c r="M1093" s="1765"/>
      <c r="N1093" s="1765"/>
      <c r="O1093" s="1765"/>
      <c r="P1093" s="1765"/>
      <c r="Q1093" s="1766"/>
      <c r="R1093" s="1766"/>
      <c r="S1093" s="1696"/>
      <c r="T1093" s="1696"/>
      <c r="U1093" s="1772"/>
      <c r="V1093" s="1696"/>
      <c r="W1093" s="1772"/>
      <c r="X1093" s="1696"/>
      <c r="Y1093" s="1696"/>
      <c r="Z1093" s="1773"/>
    </row>
    <row r="1094">
      <c r="A1094" s="1771"/>
      <c r="B1094" s="1777"/>
      <c r="C1094" s="1771"/>
      <c r="D1094" s="1771"/>
      <c r="E1094" s="1771"/>
      <c r="F1094" s="1771"/>
      <c r="G1094" s="1777"/>
      <c r="H1094" s="1771"/>
      <c r="I1094" s="1770"/>
      <c r="J1094" s="1771"/>
      <c r="K1094" s="1771"/>
      <c r="L1094" s="1771"/>
      <c r="M1094" s="1771"/>
      <c r="N1094" s="1779"/>
      <c r="O1094" s="1770"/>
      <c r="P1094" s="1771"/>
      <c r="Q1094" s="1766"/>
      <c r="R1094" s="1766"/>
      <c r="S1094" s="1696"/>
      <c r="T1094" s="1696"/>
      <c r="U1094" s="1772"/>
      <c r="V1094" s="1696"/>
      <c r="W1094" s="1772"/>
      <c r="X1094" s="1696"/>
      <c r="Y1094" s="1696"/>
      <c r="Z1094" s="1773"/>
    </row>
    <row r="1095">
      <c r="A1095" s="1766"/>
      <c r="B1095" s="1780"/>
      <c r="C1095" s="1766"/>
      <c r="D1095" s="1766"/>
      <c r="E1095" s="1766"/>
      <c r="F1095" s="1766"/>
      <c r="G1095" s="1766"/>
      <c r="H1095" s="1766"/>
      <c r="I1095" s="1766"/>
      <c r="J1095" s="1766"/>
      <c r="K1095" s="1766"/>
      <c r="L1095" s="1766"/>
      <c r="M1095" s="1766"/>
      <c r="N1095" s="1781"/>
      <c r="O1095" s="1766"/>
      <c r="P1095" s="1766"/>
      <c r="Q1095" s="1766"/>
      <c r="R1095" s="1766"/>
      <c r="S1095" s="1696"/>
      <c r="T1095" s="1696"/>
      <c r="U1095" s="1772"/>
      <c r="V1095" s="1696"/>
      <c r="W1095" s="1772"/>
      <c r="X1095" s="1696"/>
      <c r="Y1095" s="1696"/>
      <c r="Z1095" s="1773"/>
    </row>
    <row r="1096">
      <c r="A1096" s="1765"/>
      <c r="B1096" s="1782"/>
      <c r="C1096" s="1765"/>
      <c r="D1096" s="1765"/>
      <c r="E1096" s="1765"/>
      <c r="F1096" s="1765"/>
      <c r="G1096" s="1765"/>
      <c r="H1096" s="1765"/>
      <c r="I1096" s="1765"/>
      <c r="J1096" s="1765"/>
      <c r="K1096" s="1765"/>
      <c r="L1096" s="1765"/>
      <c r="M1096" s="1765"/>
      <c r="N1096" s="1765"/>
      <c r="O1096" s="1765"/>
      <c r="P1096" s="1765"/>
      <c r="Q1096" s="1766"/>
      <c r="R1096" s="1766"/>
      <c r="S1096" s="1696"/>
      <c r="T1096" s="1696"/>
      <c r="U1096" s="1772"/>
      <c r="V1096" s="1696"/>
      <c r="W1096" s="1772"/>
      <c r="X1096" s="1696"/>
      <c r="Y1096" s="1696"/>
      <c r="Z1096" s="1773"/>
    </row>
    <row r="1097">
      <c r="A1097" s="1771"/>
      <c r="B1097" s="1777"/>
      <c r="C1097" s="1771"/>
      <c r="D1097" s="1771"/>
      <c r="E1097" s="1771"/>
      <c r="F1097" s="1771"/>
      <c r="G1097" s="1777"/>
      <c r="H1097" s="1771"/>
      <c r="I1097" s="1770"/>
      <c r="J1097" s="1771"/>
      <c r="K1097" s="1771"/>
      <c r="L1097" s="1771"/>
      <c r="M1097" s="1771"/>
      <c r="N1097" s="1779"/>
      <c r="O1097" s="1770"/>
      <c r="P1097" s="1771"/>
      <c r="Q1097" s="1766"/>
      <c r="R1097" s="1766"/>
      <c r="S1097" s="1696"/>
      <c r="T1097" s="1696"/>
      <c r="U1097" s="1772"/>
      <c r="V1097" s="1696"/>
      <c r="W1097" s="1772"/>
      <c r="X1097" s="1696"/>
      <c r="Y1097" s="1696"/>
      <c r="Z1097" s="1773"/>
    </row>
    <row r="1098">
      <c r="A1098" s="1766"/>
      <c r="B1098" s="1780"/>
      <c r="C1098" s="1766"/>
      <c r="D1098" s="1766"/>
      <c r="E1098" s="1766"/>
      <c r="F1098" s="1766"/>
      <c r="G1098" s="1766"/>
      <c r="H1098" s="1766"/>
      <c r="I1098" s="1766"/>
      <c r="J1098" s="1766"/>
      <c r="K1098" s="1766"/>
      <c r="L1098" s="1766"/>
      <c r="M1098" s="1766"/>
      <c r="N1098" s="1781"/>
      <c r="O1098" s="1766"/>
      <c r="P1098" s="1766"/>
      <c r="Q1098" s="1766"/>
      <c r="R1098" s="1766"/>
      <c r="S1098" s="1696"/>
      <c r="T1098" s="1696"/>
      <c r="U1098" s="1772"/>
      <c r="V1098" s="1696"/>
      <c r="W1098" s="1772"/>
      <c r="X1098" s="1696"/>
      <c r="Y1098" s="1696"/>
      <c r="Z1098" s="1773"/>
    </row>
    <row r="1099">
      <c r="A1099" s="1765"/>
      <c r="B1099" s="1782"/>
      <c r="C1099" s="1765"/>
      <c r="D1099" s="1765"/>
      <c r="E1099" s="1765"/>
      <c r="F1099" s="1765"/>
      <c r="G1099" s="1765"/>
      <c r="H1099" s="1765"/>
      <c r="I1099" s="1765"/>
      <c r="J1099" s="1765"/>
      <c r="K1099" s="1765"/>
      <c r="L1099" s="1765"/>
      <c r="M1099" s="1765"/>
      <c r="N1099" s="1765"/>
      <c r="O1099" s="1765"/>
      <c r="P1099" s="1765"/>
      <c r="Q1099" s="1766"/>
      <c r="R1099" s="1766"/>
      <c r="S1099" s="1696"/>
      <c r="T1099" s="1696"/>
      <c r="U1099" s="1772"/>
      <c r="V1099" s="1696"/>
      <c r="W1099" s="1772"/>
      <c r="X1099" s="1696"/>
      <c r="Y1099" s="1696"/>
      <c r="Z1099" s="1773"/>
    </row>
    <row r="1100">
      <c r="A1100" s="1771"/>
      <c r="B1100" s="1777"/>
      <c r="C1100" s="1771"/>
      <c r="D1100" s="1771"/>
      <c r="E1100" s="1771"/>
      <c r="F1100" s="1771"/>
      <c r="G1100" s="1777"/>
      <c r="H1100" s="1771"/>
      <c r="I1100" s="1770"/>
      <c r="J1100" s="1771"/>
      <c r="K1100" s="1771"/>
      <c r="L1100" s="1771"/>
      <c r="M1100" s="1771"/>
      <c r="N1100" s="1779"/>
      <c r="O1100" s="1770"/>
      <c r="P1100" s="1771"/>
      <c r="Q1100" s="1766"/>
      <c r="R1100" s="1766"/>
      <c r="S1100" s="1696"/>
      <c r="T1100" s="1696"/>
      <c r="U1100" s="1772"/>
      <c r="V1100" s="1696"/>
      <c r="W1100" s="1772"/>
      <c r="X1100" s="1696"/>
      <c r="Y1100" s="1696"/>
      <c r="Z1100" s="1773"/>
    </row>
    <row r="1101">
      <c r="A1101" s="1766"/>
      <c r="B1101" s="1780"/>
      <c r="C1101" s="1766"/>
      <c r="D1101" s="1766"/>
      <c r="E1101" s="1766"/>
      <c r="F1101" s="1766"/>
      <c r="G1101" s="1766"/>
      <c r="H1101" s="1766"/>
      <c r="I1101" s="1766"/>
      <c r="J1101" s="1766"/>
      <c r="K1101" s="1766"/>
      <c r="L1101" s="1766"/>
      <c r="M1101" s="1766"/>
      <c r="N1101" s="1781"/>
      <c r="O1101" s="1766"/>
      <c r="P1101" s="1766"/>
      <c r="Q1101" s="1766"/>
      <c r="R1101" s="1766"/>
      <c r="S1101" s="1696"/>
      <c r="T1101" s="1696"/>
      <c r="U1101" s="1772"/>
      <c r="V1101" s="1696"/>
      <c r="W1101" s="1772"/>
      <c r="X1101" s="1696"/>
      <c r="Y1101" s="1696"/>
      <c r="Z1101" s="1773"/>
    </row>
    <row r="1102">
      <c r="A1102" s="1765"/>
      <c r="B1102" s="1782"/>
      <c r="C1102" s="1765"/>
      <c r="D1102" s="1765"/>
      <c r="E1102" s="1765"/>
      <c r="F1102" s="1765"/>
      <c r="G1102" s="1765"/>
      <c r="H1102" s="1765"/>
      <c r="I1102" s="1765"/>
      <c r="J1102" s="1765"/>
      <c r="K1102" s="1765"/>
      <c r="L1102" s="1765"/>
      <c r="M1102" s="1765"/>
      <c r="N1102" s="1765"/>
      <c r="O1102" s="1765"/>
      <c r="P1102" s="1765"/>
      <c r="Q1102" s="1766"/>
      <c r="R1102" s="1766"/>
      <c r="S1102" s="1696"/>
      <c r="T1102" s="1696"/>
      <c r="U1102" s="1772"/>
      <c r="V1102" s="1696"/>
      <c r="W1102" s="1772"/>
      <c r="X1102" s="1696"/>
      <c r="Y1102" s="1696"/>
      <c r="Z1102" s="1773"/>
    </row>
    <row r="1103">
      <c r="A1103" s="1771"/>
      <c r="B1103" s="1777"/>
      <c r="C1103" s="1771"/>
      <c r="D1103" s="1771"/>
      <c r="E1103" s="1771"/>
      <c r="F1103" s="1771"/>
      <c r="G1103" s="1777"/>
      <c r="H1103" s="1771"/>
      <c r="I1103" s="1770"/>
      <c r="J1103" s="1771"/>
      <c r="K1103" s="1771"/>
      <c r="L1103" s="1771"/>
      <c r="M1103" s="1771"/>
      <c r="N1103" s="1779"/>
      <c r="O1103" s="1770"/>
      <c r="P1103" s="1771"/>
      <c r="Q1103" s="1766"/>
      <c r="R1103" s="1766"/>
      <c r="S1103" s="1696"/>
      <c r="T1103" s="1696"/>
      <c r="U1103" s="1772"/>
      <c r="V1103" s="1696"/>
      <c r="W1103" s="1772"/>
      <c r="X1103" s="1696"/>
      <c r="Y1103" s="1696"/>
      <c r="Z1103" s="1773"/>
    </row>
    <row r="1104">
      <c r="A1104" s="1766"/>
      <c r="B1104" s="1780"/>
      <c r="C1104" s="1766"/>
      <c r="D1104" s="1766"/>
      <c r="E1104" s="1766"/>
      <c r="F1104" s="1766"/>
      <c r="G1104" s="1766"/>
      <c r="H1104" s="1766"/>
      <c r="I1104" s="1766"/>
      <c r="J1104" s="1766"/>
      <c r="K1104" s="1766"/>
      <c r="L1104" s="1766"/>
      <c r="M1104" s="1766"/>
      <c r="N1104" s="1781"/>
      <c r="O1104" s="1766"/>
      <c r="P1104" s="1766"/>
      <c r="Q1104" s="1766"/>
      <c r="R1104" s="1766"/>
      <c r="S1104" s="1696"/>
      <c r="T1104" s="1696"/>
      <c r="U1104" s="1772"/>
      <c r="V1104" s="1696"/>
      <c r="W1104" s="1772"/>
      <c r="X1104" s="1696"/>
      <c r="Y1104" s="1696"/>
      <c r="Z1104" s="1773"/>
    </row>
    <row r="1105">
      <c r="A1105" s="1765"/>
      <c r="B1105" s="1782"/>
      <c r="C1105" s="1765"/>
      <c r="D1105" s="1765"/>
      <c r="E1105" s="1765"/>
      <c r="F1105" s="1765"/>
      <c r="G1105" s="1765"/>
      <c r="H1105" s="1765"/>
      <c r="I1105" s="1765"/>
      <c r="J1105" s="1765"/>
      <c r="K1105" s="1765"/>
      <c r="L1105" s="1765"/>
      <c r="M1105" s="1765"/>
      <c r="N1105" s="1765"/>
      <c r="O1105" s="1765"/>
      <c r="P1105" s="1765"/>
      <c r="Q1105" s="1766"/>
      <c r="R1105" s="1766"/>
      <c r="S1105" s="1696"/>
      <c r="T1105" s="1696"/>
      <c r="U1105" s="1772"/>
      <c r="V1105" s="1696"/>
      <c r="W1105" s="1772"/>
      <c r="X1105" s="1696"/>
      <c r="Y1105" s="1696"/>
      <c r="Z1105" s="1773"/>
    </row>
    <row r="1106">
      <c r="A1106" s="1771"/>
      <c r="B1106" s="1777"/>
      <c r="C1106" s="1771"/>
      <c r="D1106" s="1771"/>
      <c r="E1106" s="1771"/>
      <c r="F1106" s="1771"/>
      <c r="G1106" s="1777"/>
      <c r="H1106" s="1771"/>
      <c r="I1106" s="1770"/>
      <c r="J1106" s="1771"/>
      <c r="K1106" s="1771"/>
      <c r="L1106" s="1771"/>
      <c r="M1106" s="1771"/>
      <c r="N1106" s="1779"/>
      <c r="O1106" s="1770"/>
      <c r="P1106" s="1771"/>
      <c r="Q1106" s="1766"/>
      <c r="R1106" s="1766"/>
      <c r="S1106" s="1696"/>
      <c r="T1106" s="1696"/>
      <c r="U1106" s="1772"/>
      <c r="V1106" s="1696"/>
      <c r="W1106" s="1772"/>
      <c r="X1106" s="1696"/>
      <c r="Y1106" s="1696"/>
      <c r="Z1106" s="1773"/>
    </row>
    <row r="1107">
      <c r="A1107" s="1766"/>
      <c r="B1107" s="1780"/>
      <c r="C1107" s="1766"/>
      <c r="D1107" s="1766"/>
      <c r="E1107" s="1766"/>
      <c r="F1107" s="1766"/>
      <c r="G1107" s="1766"/>
      <c r="H1107" s="1766"/>
      <c r="I1107" s="1766"/>
      <c r="J1107" s="1766"/>
      <c r="K1107" s="1766"/>
      <c r="L1107" s="1766"/>
      <c r="M1107" s="1766"/>
      <c r="N1107" s="1781"/>
      <c r="O1107" s="1766"/>
      <c r="P1107" s="1766"/>
      <c r="Q1107" s="1766"/>
      <c r="R1107" s="1766"/>
      <c r="S1107" s="1696"/>
      <c r="T1107" s="1696"/>
      <c r="U1107" s="1772"/>
      <c r="V1107" s="1696"/>
      <c r="W1107" s="1772"/>
      <c r="X1107" s="1696"/>
      <c r="Y1107" s="1696"/>
      <c r="Z1107" s="1773"/>
    </row>
    <row r="1108">
      <c r="A1108" s="1765"/>
      <c r="B1108" s="1782"/>
      <c r="C1108" s="1765"/>
      <c r="D1108" s="1765"/>
      <c r="E1108" s="1765"/>
      <c r="F1108" s="1765"/>
      <c r="G1108" s="1765"/>
      <c r="H1108" s="1765"/>
      <c r="I1108" s="1765"/>
      <c r="J1108" s="1765"/>
      <c r="K1108" s="1765"/>
      <c r="L1108" s="1765"/>
      <c r="M1108" s="1765"/>
      <c r="N1108" s="1765"/>
      <c r="O1108" s="1765"/>
      <c r="P1108" s="1765"/>
      <c r="Q1108" s="1766"/>
      <c r="R1108" s="1766"/>
      <c r="S1108" s="1696"/>
      <c r="T1108" s="1696"/>
      <c r="U1108" s="1772"/>
      <c r="V1108" s="1696"/>
      <c r="W1108" s="1772"/>
      <c r="X1108" s="1696"/>
      <c r="Y1108" s="1696"/>
      <c r="Z1108" s="1773"/>
    </row>
    <row r="1109">
      <c r="A1109" s="1771"/>
      <c r="B1109" s="1777"/>
      <c r="C1109" s="1771"/>
      <c r="D1109" s="1771"/>
      <c r="E1109" s="1771"/>
      <c r="F1109" s="1771"/>
      <c r="G1109" s="1771"/>
      <c r="H1109" s="1771"/>
      <c r="I1109" s="1770"/>
      <c r="J1109" s="1771"/>
      <c r="K1109" s="1771"/>
      <c r="L1109" s="1771"/>
      <c r="M1109" s="1771"/>
      <c r="N1109" s="1779"/>
      <c r="O1109" s="1770"/>
      <c r="P1109" s="1771"/>
      <c r="Q1109" s="1766"/>
      <c r="R1109" s="1766"/>
      <c r="S1109" s="1696"/>
      <c r="T1109" s="1696"/>
      <c r="U1109" s="1772"/>
      <c r="V1109" s="1696"/>
      <c r="W1109" s="1772"/>
      <c r="X1109" s="1696"/>
      <c r="Y1109" s="1696"/>
      <c r="Z1109" s="1773"/>
    </row>
    <row r="1110">
      <c r="A1110" s="1766"/>
      <c r="B1110" s="1780"/>
      <c r="C1110" s="1766"/>
      <c r="D1110" s="1766"/>
      <c r="E1110" s="1766"/>
      <c r="F1110" s="1766"/>
      <c r="G1110" s="1766"/>
      <c r="H1110" s="1766"/>
      <c r="I1110" s="1766"/>
      <c r="J1110" s="1766"/>
      <c r="K1110" s="1766"/>
      <c r="L1110" s="1766"/>
      <c r="M1110" s="1766"/>
      <c r="N1110" s="1781"/>
      <c r="O1110" s="1766"/>
      <c r="P1110" s="1766"/>
      <c r="Q1110" s="1766"/>
      <c r="R1110" s="1766"/>
      <c r="S1110" s="1696"/>
      <c r="T1110" s="1696"/>
      <c r="U1110" s="1772"/>
      <c r="V1110" s="1696"/>
      <c r="W1110" s="1772"/>
      <c r="X1110" s="1696"/>
      <c r="Y1110" s="1696"/>
      <c r="Z1110" s="1773"/>
    </row>
    <row r="1111">
      <c r="A1111" s="1765"/>
      <c r="B1111" s="1782"/>
      <c r="C1111" s="1765"/>
      <c r="D1111" s="1765"/>
      <c r="E1111" s="1765"/>
      <c r="F1111" s="1765"/>
      <c r="G1111" s="1765"/>
      <c r="H1111" s="1765"/>
      <c r="I1111" s="1765"/>
      <c r="J1111" s="1765"/>
      <c r="K1111" s="1765"/>
      <c r="L1111" s="1765"/>
      <c r="M1111" s="1765"/>
      <c r="N1111" s="1765"/>
      <c r="O1111" s="1765"/>
      <c r="P1111" s="1765"/>
      <c r="Q1111" s="1766"/>
      <c r="R1111" s="1766"/>
      <c r="S1111" s="1696"/>
      <c r="T1111" s="1696"/>
      <c r="U1111" s="1772"/>
      <c r="V1111" s="1696"/>
      <c r="W1111" s="1772"/>
      <c r="X1111" s="1696"/>
      <c r="Y1111" s="1696"/>
      <c r="Z1111" s="1773"/>
    </row>
    <row r="1112">
      <c r="A1112" s="1771"/>
      <c r="B1112" s="1777"/>
      <c r="C1112" s="1771"/>
      <c r="D1112" s="1771"/>
      <c r="E1112" s="1771"/>
      <c r="F1112" s="1771"/>
      <c r="G1112" s="1777"/>
      <c r="H1112" s="1771"/>
      <c r="I1112" s="1770"/>
      <c r="J1112" s="1771"/>
      <c r="K1112" s="1771"/>
      <c r="L1112" s="1771"/>
      <c r="M1112" s="1771"/>
      <c r="N1112" s="1779"/>
      <c r="O1112" s="1770"/>
      <c r="P1112" s="1771"/>
      <c r="Q1112" s="1766"/>
      <c r="R1112" s="1766"/>
      <c r="S1112" s="1696"/>
      <c r="T1112" s="1696"/>
      <c r="U1112" s="1772"/>
      <c r="V1112" s="1696"/>
      <c r="W1112" s="1772"/>
      <c r="X1112" s="1696"/>
      <c r="Y1112" s="1696"/>
      <c r="Z1112" s="1773"/>
    </row>
    <row r="1113">
      <c r="A1113" s="1766"/>
      <c r="B1113" s="1780"/>
      <c r="C1113" s="1766"/>
      <c r="D1113" s="1766"/>
      <c r="E1113" s="1766"/>
      <c r="F1113" s="1766"/>
      <c r="G1113" s="1766"/>
      <c r="H1113" s="1766"/>
      <c r="I1113" s="1766"/>
      <c r="J1113" s="1766"/>
      <c r="K1113" s="1766"/>
      <c r="L1113" s="1766"/>
      <c r="M1113" s="1766"/>
      <c r="N1113" s="1781"/>
      <c r="O1113" s="1766"/>
      <c r="P1113" s="1766"/>
      <c r="Q1113" s="1766"/>
      <c r="R1113" s="1766"/>
      <c r="S1113" s="1696"/>
      <c r="T1113" s="1696"/>
      <c r="U1113" s="1772"/>
      <c r="V1113" s="1696"/>
      <c r="W1113" s="1772"/>
      <c r="X1113" s="1696"/>
      <c r="Y1113" s="1696"/>
      <c r="Z1113" s="1773"/>
    </row>
    <row r="1114">
      <c r="A1114" s="1765"/>
      <c r="B1114" s="1782"/>
      <c r="C1114" s="1765"/>
      <c r="D1114" s="1765"/>
      <c r="E1114" s="1765"/>
      <c r="F1114" s="1765"/>
      <c r="G1114" s="1765"/>
      <c r="H1114" s="1765"/>
      <c r="I1114" s="1765"/>
      <c r="J1114" s="1765"/>
      <c r="K1114" s="1765"/>
      <c r="L1114" s="1765"/>
      <c r="M1114" s="1765"/>
      <c r="N1114" s="1765"/>
      <c r="O1114" s="1765"/>
      <c r="P1114" s="1765"/>
      <c r="Q1114" s="1766"/>
      <c r="R1114" s="1766"/>
      <c r="S1114" s="1696"/>
      <c r="T1114" s="1696"/>
      <c r="U1114" s="1772"/>
      <c r="V1114" s="1696"/>
      <c r="W1114" s="1772"/>
      <c r="X1114" s="1696"/>
      <c r="Y1114" s="1696"/>
      <c r="Z1114" s="1773"/>
    </row>
    <row r="1115">
      <c r="A1115" s="1771"/>
      <c r="B1115" s="1777"/>
      <c r="C1115" s="1771"/>
      <c r="D1115" s="1771"/>
      <c r="E1115" s="1771"/>
      <c r="F1115" s="1771"/>
      <c r="G1115" s="1770"/>
      <c r="H1115" s="1771"/>
      <c r="I1115" s="1778"/>
      <c r="J1115" s="1771"/>
      <c r="K1115" s="1771"/>
      <c r="L1115" s="1771"/>
      <c r="M1115" s="1771"/>
      <c r="N1115" s="1779"/>
      <c r="O1115" s="1770"/>
      <c r="P1115" s="1771"/>
      <c r="Q1115" s="1766"/>
      <c r="R1115" s="1766"/>
      <c r="S1115" s="1696"/>
      <c r="T1115" s="1696"/>
      <c r="U1115" s="1772"/>
      <c r="V1115" s="1696"/>
      <c r="W1115" s="1772"/>
      <c r="X1115" s="1696"/>
      <c r="Y1115" s="1696"/>
      <c r="Z1115" s="1773"/>
    </row>
    <row r="1116">
      <c r="A1116" s="1766"/>
      <c r="B1116" s="1780"/>
      <c r="C1116" s="1766"/>
      <c r="D1116" s="1766"/>
      <c r="E1116" s="1766"/>
      <c r="F1116" s="1766"/>
      <c r="G1116" s="1766"/>
      <c r="H1116" s="1766"/>
      <c r="I1116" s="1766"/>
      <c r="J1116" s="1766"/>
      <c r="K1116" s="1766"/>
      <c r="L1116" s="1766"/>
      <c r="M1116" s="1766"/>
      <c r="N1116" s="1781"/>
      <c r="O1116" s="1766"/>
      <c r="P1116" s="1766"/>
      <c r="Q1116" s="1766"/>
      <c r="R1116" s="1766"/>
      <c r="S1116" s="1696"/>
      <c r="T1116" s="1696"/>
      <c r="U1116" s="1772"/>
      <c r="V1116" s="1696"/>
      <c r="W1116" s="1772"/>
      <c r="X1116" s="1696"/>
      <c r="Y1116" s="1696"/>
      <c r="Z1116" s="1773"/>
    </row>
    <row r="1117">
      <c r="A1117" s="1765"/>
      <c r="B1117" s="1782"/>
      <c r="C1117" s="1765"/>
      <c r="D1117" s="1765"/>
      <c r="E1117" s="1765"/>
      <c r="F1117" s="1765"/>
      <c r="G1117" s="1765"/>
      <c r="H1117" s="1765"/>
      <c r="I1117" s="1765"/>
      <c r="J1117" s="1765"/>
      <c r="K1117" s="1765"/>
      <c r="L1117" s="1765"/>
      <c r="M1117" s="1765"/>
      <c r="N1117" s="1765"/>
      <c r="O1117" s="1765"/>
      <c r="P1117" s="1765"/>
      <c r="Q1117" s="1766"/>
      <c r="R1117" s="1766"/>
      <c r="S1117" s="1696"/>
      <c r="T1117" s="1696"/>
      <c r="U1117" s="1772"/>
      <c r="V1117" s="1696"/>
      <c r="W1117" s="1772"/>
      <c r="X1117" s="1696"/>
      <c r="Y1117" s="1696"/>
      <c r="Z1117" s="1773"/>
    </row>
    <row r="1118">
      <c r="A1118" s="1771"/>
      <c r="B1118" s="1777"/>
      <c r="C1118" s="1771"/>
      <c r="D1118" s="1771"/>
      <c r="E1118" s="1771"/>
      <c r="F1118" s="1771"/>
      <c r="G1118" s="1770"/>
      <c r="H1118" s="1771"/>
      <c r="I1118" s="1778"/>
      <c r="J1118" s="1771"/>
      <c r="K1118" s="1771"/>
      <c r="L1118" s="1771"/>
      <c r="M1118" s="1771"/>
      <c r="N1118" s="1779"/>
      <c r="O1118" s="1770"/>
      <c r="P1118" s="1771"/>
      <c r="Q1118" s="1766"/>
      <c r="R1118" s="1766"/>
      <c r="S1118" s="1696"/>
      <c r="T1118" s="1696"/>
      <c r="U1118" s="1772"/>
      <c r="V1118" s="1696"/>
      <c r="W1118" s="1772"/>
      <c r="X1118" s="1696"/>
      <c r="Y1118" s="1696"/>
      <c r="Z1118" s="1773"/>
    </row>
    <row r="1119">
      <c r="A1119" s="1766"/>
      <c r="B1119" s="1780"/>
      <c r="C1119" s="1766"/>
      <c r="D1119" s="1766"/>
      <c r="E1119" s="1766"/>
      <c r="F1119" s="1766"/>
      <c r="G1119" s="1766"/>
      <c r="H1119" s="1766"/>
      <c r="I1119" s="1766"/>
      <c r="J1119" s="1766"/>
      <c r="K1119" s="1766"/>
      <c r="L1119" s="1766"/>
      <c r="M1119" s="1766"/>
      <c r="N1119" s="1781"/>
      <c r="O1119" s="1766"/>
      <c r="P1119" s="1766"/>
      <c r="Q1119" s="1766"/>
      <c r="R1119" s="1766"/>
      <c r="S1119" s="1696"/>
      <c r="T1119" s="1696"/>
      <c r="U1119" s="1772"/>
      <c r="V1119" s="1696"/>
      <c r="W1119" s="1772"/>
      <c r="X1119" s="1696"/>
      <c r="Y1119" s="1696"/>
      <c r="Z1119" s="1773"/>
    </row>
    <row r="1120">
      <c r="A1120" s="1765"/>
      <c r="B1120" s="1782"/>
      <c r="C1120" s="1765"/>
      <c r="D1120" s="1765"/>
      <c r="E1120" s="1765"/>
      <c r="F1120" s="1765"/>
      <c r="G1120" s="1765"/>
      <c r="H1120" s="1765"/>
      <c r="I1120" s="1765"/>
      <c r="J1120" s="1765"/>
      <c r="K1120" s="1765"/>
      <c r="L1120" s="1765"/>
      <c r="M1120" s="1765"/>
      <c r="N1120" s="1765"/>
      <c r="O1120" s="1765"/>
      <c r="P1120" s="1765"/>
      <c r="Q1120" s="1766"/>
      <c r="R1120" s="1766"/>
      <c r="S1120" s="1696"/>
      <c r="T1120" s="1696"/>
      <c r="U1120" s="1772"/>
      <c r="V1120" s="1696"/>
      <c r="W1120" s="1772"/>
      <c r="X1120" s="1696"/>
      <c r="Y1120" s="1696"/>
      <c r="Z1120" s="1773"/>
    </row>
    <row r="1121">
      <c r="A1121" s="1771"/>
      <c r="B1121" s="1777"/>
      <c r="C1121" s="1771"/>
      <c r="D1121" s="1771"/>
      <c r="E1121" s="1771"/>
      <c r="F1121" s="1771"/>
      <c r="G1121" s="1770"/>
      <c r="H1121" s="1771"/>
      <c r="I1121" s="1778"/>
      <c r="J1121" s="1771"/>
      <c r="K1121" s="1771"/>
      <c r="L1121" s="1771"/>
      <c r="M1121" s="1771"/>
      <c r="N1121" s="1779"/>
      <c r="O1121" s="1770"/>
      <c r="P1121" s="1771"/>
      <c r="Q1121" s="1766"/>
      <c r="R1121" s="1766"/>
      <c r="S1121" s="1696"/>
      <c r="T1121" s="1696"/>
      <c r="U1121" s="1772"/>
      <c r="V1121" s="1696"/>
      <c r="W1121" s="1772"/>
      <c r="X1121" s="1696"/>
      <c r="Y1121" s="1696"/>
      <c r="Z1121" s="1773"/>
    </row>
    <row r="1122">
      <c r="A1122" s="1766"/>
      <c r="B1122" s="1780"/>
      <c r="C1122" s="1766"/>
      <c r="D1122" s="1766"/>
      <c r="E1122" s="1766"/>
      <c r="F1122" s="1766"/>
      <c r="G1122" s="1766"/>
      <c r="H1122" s="1766"/>
      <c r="I1122" s="1766"/>
      <c r="J1122" s="1766"/>
      <c r="K1122" s="1766"/>
      <c r="L1122" s="1766"/>
      <c r="M1122" s="1766"/>
      <c r="N1122" s="1781"/>
      <c r="O1122" s="1766"/>
      <c r="P1122" s="1766"/>
      <c r="Q1122" s="1766"/>
      <c r="R1122" s="1766"/>
      <c r="S1122" s="1696"/>
      <c r="T1122" s="1696"/>
      <c r="U1122" s="1772"/>
      <c r="V1122" s="1696"/>
      <c r="W1122" s="1772"/>
      <c r="X1122" s="1696"/>
      <c r="Y1122" s="1696"/>
      <c r="Z1122" s="1773"/>
    </row>
    <row r="1123">
      <c r="A1123" s="1765"/>
      <c r="B1123" s="1782"/>
      <c r="C1123" s="1765"/>
      <c r="D1123" s="1765"/>
      <c r="E1123" s="1765"/>
      <c r="F1123" s="1765"/>
      <c r="G1123" s="1765"/>
      <c r="H1123" s="1765"/>
      <c r="I1123" s="1765"/>
      <c r="J1123" s="1765"/>
      <c r="K1123" s="1765"/>
      <c r="L1123" s="1765"/>
      <c r="M1123" s="1765"/>
      <c r="N1123" s="1765"/>
      <c r="O1123" s="1765"/>
      <c r="P1123" s="1765"/>
      <c r="Q1123" s="1766"/>
      <c r="R1123" s="1766"/>
      <c r="S1123" s="1696"/>
      <c r="T1123" s="1696"/>
      <c r="U1123" s="1772"/>
      <c r="V1123" s="1696"/>
      <c r="W1123" s="1772"/>
      <c r="X1123" s="1696"/>
      <c r="Y1123" s="1696"/>
      <c r="Z1123" s="1773"/>
    </row>
    <row r="1124">
      <c r="A1124" s="1771"/>
      <c r="B1124" s="1777"/>
      <c r="C1124" s="1771"/>
      <c r="D1124" s="1771"/>
      <c r="E1124" s="1771"/>
      <c r="F1124" s="1771"/>
      <c r="G1124" s="1771"/>
      <c r="H1124" s="1771"/>
      <c r="I1124" s="1770"/>
      <c r="J1124" s="1771"/>
      <c r="K1124" s="1771"/>
      <c r="L1124" s="1771"/>
      <c r="M1124" s="1771"/>
      <c r="N1124" s="1779"/>
      <c r="O1124" s="1770"/>
      <c r="P1124" s="1771"/>
      <c r="Q1124" s="1766"/>
      <c r="R1124" s="1766"/>
      <c r="S1124" s="1696"/>
      <c r="T1124" s="1696"/>
      <c r="U1124" s="1772"/>
      <c r="V1124" s="1696"/>
      <c r="W1124" s="1772"/>
      <c r="X1124" s="1696"/>
      <c r="Y1124" s="1696"/>
      <c r="Z1124" s="1773"/>
    </row>
    <row r="1125">
      <c r="A1125" s="1766"/>
      <c r="B1125" s="1780"/>
      <c r="C1125" s="1766"/>
      <c r="D1125" s="1766"/>
      <c r="E1125" s="1766"/>
      <c r="F1125" s="1766"/>
      <c r="G1125" s="1766"/>
      <c r="H1125" s="1766"/>
      <c r="I1125" s="1766"/>
      <c r="J1125" s="1766"/>
      <c r="K1125" s="1766"/>
      <c r="L1125" s="1766"/>
      <c r="M1125" s="1766"/>
      <c r="N1125" s="1781"/>
      <c r="O1125" s="1766"/>
      <c r="P1125" s="1766"/>
      <c r="Q1125" s="1766"/>
      <c r="R1125" s="1766"/>
      <c r="S1125" s="1696"/>
      <c r="T1125" s="1696"/>
      <c r="U1125" s="1772"/>
      <c r="V1125" s="1696"/>
      <c r="W1125" s="1772"/>
      <c r="X1125" s="1696"/>
      <c r="Y1125" s="1696"/>
      <c r="Z1125" s="1773"/>
    </row>
    <row r="1126">
      <c r="A1126" s="1765"/>
      <c r="B1126" s="1782"/>
      <c r="C1126" s="1765"/>
      <c r="D1126" s="1765"/>
      <c r="E1126" s="1765"/>
      <c r="F1126" s="1765"/>
      <c r="G1126" s="1765"/>
      <c r="H1126" s="1765"/>
      <c r="I1126" s="1765"/>
      <c r="J1126" s="1765"/>
      <c r="K1126" s="1765"/>
      <c r="L1126" s="1765"/>
      <c r="M1126" s="1765"/>
      <c r="N1126" s="1765"/>
      <c r="O1126" s="1765"/>
      <c r="P1126" s="1765"/>
      <c r="Q1126" s="1766"/>
      <c r="R1126" s="1766"/>
      <c r="S1126" s="1696"/>
      <c r="T1126" s="1696"/>
      <c r="U1126" s="1772"/>
      <c r="V1126" s="1696"/>
      <c r="W1126" s="1772"/>
      <c r="X1126" s="1696"/>
      <c r="Y1126" s="1696"/>
      <c r="Z1126" s="1773"/>
    </row>
    <row r="1127">
      <c r="A1127" s="1771"/>
      <c r="B1127" s="1777"/>
      <c r="C1127" s="1771"/>
      <c r="D1127" s="1771"/>
      <c r="E1127" s="1771"/>
      <c r="F1127" s="1771"/>
      <c r="G1127" s="1770"/>
      <c r="H1127" s="1771"/>
      <c r="I1127" s="1778"/>
      <c r="J1127" s="1771"/>
      <c r="K1127" s="1771"/>
      <c r="L1127" s="1771"/>
      <c r="M1127" s="1771"/>
      <c r="N1127" s="1779"/>
      <c r="O1127" s="1770"/>
      <c r="P1127" s="1771"/>
      <c r="Q1127" s="1766"/>
      <c r="R1127" s="1766"/>
      <c r="S1127" s="1696"/>
      <c r="T1127" s="1696"/>
      <c r="U1127" s="1772"/>
      <c r="V1127" s="1696"/>
      <c r="W1127" s="1772"/>
      <c r="X1127" s="1696"/>
      <c r="Y1127" s="1696"/>
      <c r="Z1127" s="1773"/>
    </row>
    <row r="1128">
      <c r="A1128" s="1766"/>
      <c r="B1128" s="1780"/>
      <c r="C1128" s="1766"/>
      <c r="D1128" s="1766"/>
      <c r="E1128" s="1766"/>
      <c r="F1128" s="1766"/>
      <c r="G1128" s="1766"/>
      <c r="H1128" s="1766"/>
      <c r="I1128" s="1766"/>
      <c r="J1128" s="1766"/>
      <c r="K1128" s="1766"/>
      <c r="L1128" s="1766"/>
      <c r="M1128" s="1766"/>
      <c r="N1128" s="1781"/>
      <c r="O1128" s="1766"/>
      <c r="P1128" s="1766"/>
      <c r="Q1128" s="1766"/>
      <c r="R1128" s="1766"/>
      <c r="S1128" s="1696"/>
      <c r="T1128" s="1696"/>
      <c r="U1128" s="1772"/>
      <c r="V1128" s="1696"/>
      <c r="W1128" s="1772"/>
      <c r="X1128" s="1696"/>
      <c r="Y1128" s="1696"/>
      <c r="Z1128" s="1773"/>
    </row>
    <row r="1129">
      <c r="A1129" s="1765"/>
      <c r="B1129" s="1782"/>
      <c r="C1129" s="1765"/>
      <c r="D1129" s="1765"/>
      <c r="E1129" s="1765"/>
      <c r="F1129" s="1765"/>
      <c r="G1129" s="1765"/>
      <c r="H1129" s="1765"/>
      <c r="I1129" s="1765"/>
      <c r="J1129" s="1765"/>
      <c r="K1129" s="1765"/>
      <c r="L1129" s="1765"/>
      <c r="M1129" s="1765"/>
      <c r="N1129" s="1765"/>
      <c r="O1129" s="1765"/>
      <c r="P1129" s="1765"/>
      <c r="Q1129" s="1766"/>
      <c r="R1129" s="1766"/>
      <c r="S1129" s="1696"/>
      <c r="T1129" s="1696"/>
      <c r="U1129" s="1772"/>
      <c r="V1129" s="1696"/>
      <c r="W1129" s="1772"/>
      <c r="X1129" s="1696"/>
      <c r="Y1129" s="1696"/>
      <c r="Z1129" s="1773"/>
    </row>
    <row r="1130">
      <c r="A1130" s="1771"/>
      <c r="B1130" s="1777"/>
      <c r="C1130" s="1771"/>
      <c r="D1130" s="1771"/>
      <c r="E1130" s="1771"/>
      <c r="F1130" s="1771"/>
      <c r="G1130" s="1770"/>
      <c r="H1130" s="1771"/>
      <c r="I1130" s="1770"/>
      <c r="J1130" s="1771"/>
      <c r="K1130" s="1771"/>
      <c r="L1130" s="1771"/>
      <c r="M1130" s="1771"/>
      <c r="N1130" s="1779"/>
      <c r="O1130" s="1770"/>
      <c r="P1130" s="1771"/>
      <c r="Q1130" s="1766"/>
      <c r="R1130" s="1766"/>
      <c r="S1130" s="1696"/>
      <c r="T1130" s="1696"/>
      <c r="U1130" s="1772"/>
      <c r="V1130" s="1696"/>
      <c r="W1130" s="1772"/>
      <c r="X1130" s="1696"/>
      <c r="Y1130" s="1696"/>
      <c r="Z1130" s="1773"/>
    </row>
    <row r="1131">
      <c r="A1131" s="1766"/>
      <c r="B1131" s="1780"/>
      <c r="C1131" s="1766"/>
      <c r="D1131" s="1766"/>
      <c r="E1131" s="1766"/>
      <c r="F1131" s="1766"/>
      <c r="G1131" s="1766"/>
      <c r="H1131" s="1766"/>
      <c r="I1131" s="1766"/>
      <c r="J1131" s="1766"/>
      <c r="K1131" s="1766"/>
      <c r="L1131" s="1766"/>
      <c r="M1131" s="1766"/>
      <c r="N1131" s="1781"/>
      <c r="O1131" s="1766"/>
      <c r="P1131" s="1766"/>
      <c r="Q1131" s="1766"/>
      <c r="R1131" s="1766"/>
      <c r="S1131" s="1696"/>
      <c r="T1131" s="1696"/>
      <c r="U1131" s="1772"/>
      <c r="V1131" s="1696"/>
      <c r="W1131" s="1772"/>
      <c r="X1131" s="1696"/>
      <c r="Y1131" s="1696"/>
      <c r="Z1131" s="1773"/>
    </row>
    <row r="1132">
      <c r="A1132" s="1765"/>
      <c r="B1132" s="1782"/>
      <c r="C1132" s="1765"/>
      <c r="D1132" s="1765"/>
      <c r="E1132" s="1765"/>
      <c r="F1132" s="1765"/>
      <c r="G1132" s="1765"/>
      <c r="H1132" s="1765"/>
      <c r="I1132" s="1765"/>
      <c r="J1132" s="1765"/>
      <c r="K1132" s="1765"/>
      <c r="L1132" s="1765"/>
      <c r="M1132" s="1765"/>
      <c r="N1132" s="1765"/>
      <c r="O1132" s="1765"/>
      <c r="P1132" s="1765"/>
      <c r="Q1132" s="1766"/>
      <c r="R1132" s="1766"/>
      <c r="S1132" s="1696"/>
      <c r="T1132" s="1696"/>
      <c r="U1132" s="1772"/>
      <c r="V1132" s="1696"/>
      <c r="W1132" s="1772"/>
      <c r="X1132" s="1696"/>
      <c r="Y1132" s="1696"/>
      <c r="Z1132" s="1773"/>
    </row>
    <row r="1133">
      <c r="A1133" s="1771"/>
      <c r="B1133" s="1777"/>
      <c r="C1133" s="1771"/>
      <c r="D1133" s="1771"/>
      <c r="E1133" s="1771"/>
      <c r="F1133" s="1771"/>
      <c r="G1133" s="1771"/>
      <c r="H1133" s="1771"/>
      <c r="I1133" s="1770"/>
      <c r="J1133" s="1771"/>
      <c r="K1133" s="1771"/>
      <c r="L1133" s="1771"/>
      <c r="M1133" s="1771"/>
      <c r="N1133" s="1779"/>
      <c r="O1133" s="1770"/>
      <c r="P1133" s="1771"/>
      <c r="Q1133" s="1766"/>
      <c r="R1133" s="1766"/>
      <c r="S1133" s="1696"/>
      <c r="T1133" s="1696"/>
      <c r="U1133" s="1772"/>
      <c r="V1133" s="1696"/>
      <c r="W1133" s="1772"/>
      <c r="X1133" s="1696"/>
      <c r="Y1133" s="1696"/>
      <c r="Z1133" s="1773"/>
    </row>
    <row r="1134">
      <c r="A1134" s="1766"/>
      <c r="B1134" s="1780"/>
      <c r="C1134" s="1766"/>
      <c r="D1134" s="1766"/>
      <c r="E1134" s="1766"/>
      <c r="F1134" s="1766"/>
      <c r="G1134" s="1766"/>
      <c r="H1134" s="1766"/>
      <c r="I1134" s="1766"/>
      <c r="J1134" s="1766"/>
      <c r="K1134" s="1766"/>
      <c r="L1134" s="1766"/>
      <c r="M1134" s="1766"/>
      <c r="N1134" s="1781"/>
      <c r="O1134" s="1766"/>
      <c r="P1134" s="1766"/>
      <c r="Q1134" s="1766"/>
      <c r="R1134" s="1766"/>
      <c r="S1134" s="1696"/>
      <c r="T1134" s="1696"/>
      <c r="U1134" s="1772"/>
      <c r="V1134" s="1696"/>
      <c r="W1134" s="1772"/>
      <c r="X1134" s="1696"/>
      <c r="Y1134" s="1696"/>
      <c r="Z1134" s="1773"/>
    </row>
    <row r="1135">
      <c r="A1135" s="1765"/>
      <c r="B1135" s="1782"/>
      <c r="C1135" s="1765"/>
      <c r="D1135" s="1765"/>
      <c r="E1135" s="1765"/>
      <c r="F1135" s="1765"/>
      <c r="G1135" s="1765"/>
      <c r="H1135" s="1765"/>
      <c r="I1135" s="1765"/>
      <c r="J1135" s="1765"/>
      <c r="K1135" s="1765"/>
      <c r="L1135" s="1765"/>
      <c r="M1135" s="1765"/>
      <c r="N1135" s="1765"/>
      <c r="O1135" s="1765"/>
      <c r="P1135" s="1765"/>
      <c r="Q1135" s="1766"/>
      <c r="R1135" s="1766"/>
      <c r="S1135" s="1696"/>
      <c r="T1135" s="1696"/>
      <c r="U1135" s="1772"/>
      <c r="V1135" s="1696"/>
      <c r="W1135" s="1772"/>
      <c r="X1135" s="1696"/>
      <c r="Y1135" s="1696"/>
      <c r="Z1135" s="1773"/>
    </row>
    <row r="1136">
      <c r="A1136" s="1771"/>
      <c r="B1136" s="1777"/>
      <c r="C1136" s="1771"/>
      <c r="D1136" s="1771"/>
      <c r="E1136" s="1771"/>
      <c r="F1136" s="1771"/>
      <c r="G1136" s="1771"/>
      <c r="H1136" s="1771"/>
      <c r="I1136" s="1770"/>
      <c r="J1136" s="1771"/>
      <c r="K1136" s="1771"/>
      <c r="L1136" s="1771"/>
      <c r="M1136" s="1771"/>
      <c r="N1136" s="1779"/>
      <c r="O1136" s="1770"/>
      <c r="P1136" s="1771"/>
      <c r="Q1136" s="1766"/>
      <c r="R1136" s="1766"/>
      <c r="S1136" s="1696"/>
      <c r="T1136" s="1696"/>
      <c r="U1136" s="1772"/>
      <c r="V1136" s="1696"/>
      <c r="W1136" s="1772"/>
      <c r="X1136" s="1696"/>
      <c r="Y1136" s="1696"/>
      <c r="Z1136" s="1773"/>
    </row>
    <row r="1137">
      <c r="A1137" s="1766"/>
      <c r="B1137" s="1780"/>
      <c r="C1137" s="1766"/>
      <c r="D1137" s="1766"/>
      <c r="E1137" s="1766"/>
      <c r="F1137" s="1766"/>
      <c r="G1137" s="1766"/>
      <c r="H1137" s="1766"/>
      <c r="I1137" s="1766"/>
      <c r="J1137" s="1766"/>
      <c r="K1137" s="1766"/>
      <c r="L1137" s="1766"/>
      <c r="M1137" s="1766"/>
      <c r="N1137" s="1781"/>
      <c r="O1137" s="1766"/>
      <c r="P1137" s="1766"/>
      <c r="Q1137" s="1766"/>
      <c r="R1137" s="1766"/>
      <c r="S1137" s="1696"/>
      <c r="T1137" s="1696"/>
      <c r="U1137" s="1772"/>
      <c r="V1137" s="1696"/>
      <c r="W1137" s="1772"/>
      <c r="X1137" s="1696"/>
      <c r="Y1137" s="1696"/>
      <c r="Z1137" s="1773"/>
    </row>
    <row r="1138">
      <c r="A1138" s="1765"/>
      <c r="B1138" s="1782"/>
      <c r="C1138" s="1765"/>
      <c r="D1138" s="1765"/>
      <c r="E1138" s="1765"/>
      <c r="F1138" s="1765"/>
      <c r="G1138" s="1765"/>
      <c r="H1138" s="1765"/>
      <c r="I1138" s="1765"/>
      <c r="J1138" s="1765"/>
      <c r="K1138" s="1765"/>
      <c r="L1138" s="1765"/>
      <c r="M1138" s="1765"/>
      <c r="N1138" s="1765"/>
      <c r="O1138" s="1765"/>
      <c r="P1138" s="1765"/>
      <c r="Q1138" s="1766"/>
      <c r="R1138" s="1766"/>
      <c r="S1138" s="1696"/>
      <c r="T1138" s="1696"/>
      <c r="U1138" s="1772"/>
      <c r="V1138" s="1696"/>
      <c r="W1138" s="1772"/>
      <c r="X1138" s="1696"/>
      <c r="Y1138" s="1696"/>
      <c r="Z1138" s="1773"/>
    </row>
    <row r="1139">
      <c r="A1139" s="1771"/>
      <c r="B1139" s="1777"/>
      <c r="C1139" s="1771"/>
      <c r="D1139" s="1771"/>
      <c r="E1139" s="1771"/>
      <c r="F1139" s="1771"/>
      <c r="G1139" s="1771"/>
      <c r="H1139" s="1771"/>
      <c r="I1139" s="1770"/>
      <c r="J1139" s="1771"/>
      <c r="K1139" s="1771"/>
      <c r="L1139" s="1771"/>
      <c r="M1139" s="1771"/>
      <c r="N1139" s="1779"/>
      <c r="O1139" s="1770"/>
      <c r="P1139" s="1771"/>
      <c r="Q1139" s="1766"/>
      <c r="R1139" s="1766"/>
      <c r="S1139" s="1696"/>
      <c r="T1139" s="1696"/>
      <c r="U1139" s="1772"/>
      <c r="V1139" s="1696"/>
      <c r="W1139" s="1772"/>
      <c r="X1139" s="1696"/>
      <c r="Y1139" s="1696"/>
      <c r="Z1139" s="1773"/>
    </row>
    <row r="1140">
      <c r="A1140" s="1766"/>
      <c r="B1140" s="1780"/>
      <c r="C1140" s="1766"/>
      <c r="D1140" s="1766"/>
      <c r="E1140" s="1766"/>
      <c r="F1140" s="1766"/>
      <c r="G1140" s="1766"/>
      <c r="H1140" s="1766"/>
      <c r="I1140" s="1766"/>
      <c r="J1140" s="1766"/>
      <c r="K1140" s="1766"/>
      <c r="L1140" s="1766"/>
      <c r="M1140" s="1766"/>
      <c r="N1140" s="1781"/>
      <c r="O1140" s="1766"/>
      <c r="P1140" s="1766"/>
      <c r="Q1140" s="1766"/>
      <c r="R1140" s="1766"/>
      <c r="S1140" s="1696"/>
      <c r="T1140" s="1696"/>
      <c r="U1140" s="1772"/>
      <c r="V1140" s="1696"/>
      <c r="W1140" s="1772"/>
      <c r="X1140" s="1696"/>
      <c r="Y1140" s="1696"/>
      <c r="Z1140" s="1773"/>
    </row>
    <row r="1141">
      <c r="A1141" s="1765"/>
      <c r="B1141" s="1782"/>
      <c r="C1141" s="1765"/>
      <c r="D1141" s="1765"/>
      <c r="E1141" s="1765"/>
      <c r="F1141" s="1765"/>
      <c r="G1141" s="1765"/>
      <c r="H1141" s="1765"/>
      <c r="I1141" s="1765"/>
      <c r="J1141" s="1765"/>
      <c r="K1141" s="1765"/>
      <c r="L1141" s="1765"/>
      <c r="M1141" s="1765"/>
      <c r="N1141" s="1765"/>
      <c r="O1141" s="1765"/>
      <c r="P1141" s="1765"/>
      <c r="Q1141" s="1766"/>
      <c r="R1141" s="1766"/>
      <c r="S1141" s="1696"/>
      <c r="T1141" s="1696"/>
      <c r="U1141" s="1772"/>
      <c r="V1141" s="1696"/>
      <c r="W1141" s="1772"/>
      <c r="X1141" s="1696"/>
      <c r="Y1141" s="1696"/>
      <c r="Z1141" s="1773"/>
    </row>
    <row r="1142">
      <c r="A1142" s="1771"/>
      <c r="B1142" s="1777"/>
      <c r="C1142" s="1771"/>
      <c r="D1142" s="1771"/>
      <c r="E1142" s="1771"/>
      <c r="F1142" s="1771"/>
      <c r="G1142" s="1771"/>
      <c r="H1142" s="1771"/>
      <c r="I1142" s="1770"/>
      <c r="J1142" s="1771"/>
      <c r="K1142" s="1771"/>
      <c r="L1142" s="1771"/>
      <c r="M1142" s="1771"/>
      <c r="N1142" s="1779"/>
      <c r="O1142" s="1770"/>
      <c r="P1142" s="1771"/>
      <c r="Q1142" s="1766"/>
      <c r="R1142" s="1766"/>
      <c r="S1142" s="1696"/>
      <c r="T1142" s="1696"/>
      <c r="U1142" s="1772"/>
      <c r="V1142" s="1696"/>
      <c r="W1142" s="1772"/>
      <c r="X1142" s="1696"/>
      <c r="Y1142" s="1696"/>
      <c r="Z1142" s="1773"/>
    </row>
    <row r="1143">
      <c r="A1143" s="1766"/>
      <c r="B1143" s="1780"/>
      <c r="C1143" s="1766"/>
      <c r="D1143" s="1766"/>
      <c r="E1143" s="1766"/>
      <c r="F1143" s="1766"/>
      <c r="G1143" s="1766"/>
      <c r="H1143" s="1766"/>
      <c r="I1143" s="1766"/>
      <c r="J1143" s="1766"/>
      <c r="K1143" s="1766"/>
      <c r="L1143" s="1766"/>
      <c r="M1143" s="1766"/>
      <c r="N1143" s="1781"/>
      <c r="O1143" s="1766"/>
      <c r="P1143" s="1766"/>
      <c r="Q1143" s="1766"/>
      <c r="R1143" s="1766"/>
      <c r="S1143" s="1696"/>
      <c r="T1143" s="1696"/>
      <c r="U1143" s="1772"/>
      <c r="V1143" s="1696"/>
      <c r="W1143" s="1772"/>
      <c r="X1143" s="1696"/>
      <c r="Y1143" s="1696"/>
      <c r="Z1143" s="1773"/>
    </row>
    <row r="1144">
      <c r="A1144" s="1765"/>
      <c r="B1144" s="1782"/>
      <c r="C1144" s="1765"/>
      <c r="D1144" s="1765"/>
      <c r="E1144" s="1765"/>
      <c r="F1144" s="1765"/>
      <c r="G1144" s="1765"/>
      <c r="H1144" s="1765"/>
      <c r="I1144" s="1765"/>
      <c r="J1144" s="1765"/>
      <c r="K1144" s="1765"/>
      <c r="L1144" s="1765"/>
      <c r="M1144" s="1765"/>
      <c r="N1144" s="1765"/>
      <c r="O1144" s="1765"/>
      <c r="P1144" s="1765"/>
      <c r="Q1144" s="1766"/>
      <c r="R1144" s="1766"/>
      <c r="S1144" s="1696"/>
      <c r="T1144" s="1696"/>
      <c r="U1144" s="1772"/>
      <c r="V1144" s="1696"/>
      <c r="W1144" s="1772"/>
      <c r="X1144" s="1696"/>
      <c r="Y1144" s="1696"/>
      <c r="Z1144" s="1773"/>
    </row>
    <row r="1145">
      <c r="A1145" s="1771"/>
      <c r="B1145" s="1777"/>
      <c r="C1145" s="1771"/>
      <c r="D1145" s="1771"/>
      <c r="E1145" s="1771"/>
      <c r="F1145" s="1771"/>
      <c r="G1145" s="1770"/>
      <c r="H1145" s="1771"/>
      <c r="I1145" s="1770"/>
      <c r="J1145" s="1771"/>
      <c r="K1145" s="1771"/>
      <c r="L1145" s="1771"/>
      <c r="M1145" s="1771"/>
      <c r="N1145" s="1779"/>
      <c r="O1145" s="1770"/>
      <c r="P1145" s="1771"/>
      <c r="Q1145" s="1766"/>
      <c r="R1145" s="1766"/>
      <c r="S1145" s="1696"/>
      <c r="T1145" s="1696"/>
      <c r="U1145" s="1772"/>
      <c r="V1145" s="1696"/>
      <c r="W1145" s="1772"/>
      <c r="X1145" s="1696"/>
      <c r="Y1145" s="1696"/>
      <c r="Z1145" s="1773"/>
    </row>
    <row r="1146">
      <c r="A1146" s="1766"/>
      <c r="B1146" s="1780"/>
      <c r="C1146" s="1766"/>
      <c r="D1146" s="1766"/>
      <c r="E1146" s="1766"/>
      <c r="F1146" s="1766"/>
      <c r="G1146" s="1766"/>
      <c r="H1146" s="1766"/>
      <c r="I1146" s="1766"/>
      <c r="J1146" s="1766"/>
      <c r="K1146" s="1766"/>
      <c r="L1146" s="1766"/>
      <c r="M1146" s="1766"/>
      <c r="N1146" s="1781"/>
      <c r="O1146" s="1766"/>
      <c r="P1146" s="1766"/>
      <c r="Q1146" s="1766"/>
      <c r="R1146" s="1766"/>
      <c r="S1146" s="1696"/>
      <c r="T1146" s="1696"/>
      <c r="U1146" s="1772"/>
      <c r="V1146" s="1696"/>
      <c r="W1146" s="1772"/>
      <c r="X1146" s="1696"/>
      <c r="Y1146" s="1696"/>
      <c r="Z1146" s="1773"/>
    </row>
    <row r="1147">
      <c r="A1147" s="1765"/>
      <c r="B1147" s="1782"/>
      <c r="C1147" s="1765"/>
      <c r="D1147" s="1765"/>
      <c r="E1147" s="1765"/>
      <c r="F1147" s="1765"/>
      <c r="G1147" s="1765"/>
      <c r="H1147" s="1765"/>
      <c r="I1147" s="1765"/>
      <c r="J1147" s="1765"/>
      <c r="K1147" s="1765"/>
      <c r="L1147" s="1765"/>
      <c r="M1147" s="1765"/>
      <c r="N1147" s="1765"/>
      <c r="O1147" s="1765"/>
      <c r="P1147" s="1765"/>
      <c r="Q1147" s="1766"/>
      <c r="R1147" s="1766"/>
      <c r="S1147" s="1696"/>
      <c r="T1147" s="1696"/>
      <c r="U1147" s="1772"/>
      <c r="V1147" s="1696"/>
      <c r="W1147" s="1772"/>
      <c r="X1147" s="1696"/>
      <c r="Y1147" s="1696"/>
      <c r="Z1147" s="1773"/>
    </row>
    <row r="1148">
      <c r="A1148" s="1771"/>
      <c r="B1148" s="1777"/>
      <c r="C1148" s="1771"/>
      <c r="D1148" s="1771"/>
      <c r="E1148" s="1771"/>
      <c r="F1148" s="1771"/>
      <c r="G1148" s="1771"/>
      <c r="H1148" s="1771"/>
      <c r="I1148" s="1770"/>
      <c r="J1148" s="1771"/>
      <c r="K1148" s="1771"/>
      <c r="L1148" s="1771"/>
      <c r="M1148" s="1771"/>
      <c r="N1148" s="1779"/>
      <c r="O1148" s="1770"/>
      <c r="P1148" s="1771"/>
      <c r="Q1148" s="1766"/>
      <c r="R1148" s="1766"/>
      <c r="S1148" s="1696"/>
      <c r="T1148" s="1696"/>
      <c r="U1148" s="1772"/>
      <c r="V1148" s="1696"/>
      <c r="W1148" s="1772"/>
      <c r="X1148" s="1696"/>
      <c r="Y1148" s="1696"/>
      <c r="Z1148" s="1773"/>
    </row>
    <row r="1149">
      <c r="A1149" s="1766"/>
      <c r="B1149" s="1780"/>
      <c r="C1149" s="1766"/>
      <c r="D1149" s="1766"/>
      <c r="E1149" s="1766"/>
      <c r="F1149" s="1766"/>
      <c r="G1149" s="1766"/>
      <c r="H1149" s="1766"/>
      <c r="I1149" s="1766"/>
      <c r="J1149" s="1766"/>
      <c r="K1149" s="1766"/>
      <c r="L1149" s="1766"/>
      <c r="M1149" s="1766"/>
      <c r="N1149" s="1781"/>
      <c r="O1149" s="1766"/>
      <c r="P1149" s="1766"/>
      <c r="Q1149" s="1766"/>
      <c r="R1149" s="1766"/>
      <c r="S1149" s="1696"/>
      <c r="T1149" s="1696"/>
      <c r="U1149" s="1772"/>
      <c r="V1149" s="1696"/>
      <c r="W1149" s="1772"/>
      <c r="X1149" s="1696"/>
      <c r="Y1149" s="1696"/>
      <c r="Z1149" s="1773"/>
    </row>
    <row r="1150">
      <c r="A1150" s="1765"/>
      <c r="B1150" s="1782"/>
      <c r="C1150" s="1765"/>
      <c r="D1150" s="1765"/>
      <c r="E1150" s="1765"/>
      <c r="F1150" s="1765"/>
      <c r="G1150" s="1765"/>
      <c r="H1150" s="1765"/>
      <c r="I1150" s="1765"/>
      <c r="J1150" s="1765"/>
      <c r="K1150" s="1765"/>
      <c r="L1150" s="1765"/>
      <c r="M1150" s="1765"/>
      <c r="N1150" s="1765"/>
      <c r="O1150" s="1765"/>
      <c r="P1150" s="1765"/>
      <c r="Q1150" s="1766"/>
      <c r="R1150" s="1766"/>
      <c r="S1150" s="1696"/>
      <c r="T1150" s="1696"/>
      <c r="U1150" s="1772"/>
      <c r="V1150" s="1696"/>
      <c r="W1150" s="1772"/>
      <c r="X1150" s="1696"/>
      <c r="Y1150" s="1696"/>
      <c r="Z1150" s="1773"/>
    </row>
    <row r="1151">
      <c r="A1151" s="1771"/>
      <c r="B1151" s="1777"/>
      <c r="C1151" s="1771"/>
      <c r="D1151" s="1771"/>
      <c r="E1151" s="1771"/>
      <c r="F1151" s="1771"/>
      <c r="G1151" s="1771"/>
      <c r="H1151" s="1771"/>
      <c r="I1151" s="1770"/>
      <c r="J1151" s="1771"/>
      <c r="K1151" s="1771"/>
      <c r="L1151" s="1771"/>
      <c r="M1151" s="1771"/>
      <c r="N1151" s="1779"/>
      <c r="O1151" s="1770"/>
      <c r="P1151" s="1771"/>
      <c r="Q1151" s="1766"/>
      <c r="R1151" s="1766"/>
      <c r="S1151" s="1696"/>
      <c r="T1151" s="1696"/>
      <c r="U1151" s="1772"/>
      <c r="V1151" s="1696"/>
      <c r="W1151" s="1772"/>
      <c r="X1151" s="1696"/>
      <c r="Y1151" s="1696"/>
      <c r="Z1151" s="1773"/>
    </row>
    <row r="1152">
      <c r="A1152" s="1766"/>
      <c r="B1152" s="1780"/>
      <c r="C1152" s="1766"/>
      <c r="D1152" s="1766"/>
      <c r="E1152" s="1766"/>
      <c r="F1152" s="1766"/>
      <c r="G1152" s="1766"/>
      <c r="H1152" s="1766"/>
      <c r="I1152" s="1766"/>
      <c r="J1152" s="1766"/>
      <c r="K1152" s="1766"/>
      <c r="L1152" s="1766"/>
      <c r="M1152" s="1766"/>
      <c r="N1152" s="1781"/>
      <c r="O1152" s="1766"/>
      <c r="P1152" s="1766"/>
      <c r="Q1152" s="1766"/>
      <c r="R1152" s="1766"/>
      <c r="S1152" s="1696"/>
      <c r="T1152" s="1696"/>
      <c r="U1152" s="1772"/>
      <c r="V1152" s="1696"/>
      <c r="W1152" s="1772"/>
      <c r="X1152" s="1696"/>
      <c r="Y1152" s="1696"/>
      <c r="Z1152" s="1773"/>
    </row>
    <row r="1153">
      <c r="A1153" s="1765"/>
      <c r="B1153" s="1782"/>
      <c r="C1153" s="1765"/>
      <c r="D1153" s="1765"/>
      <c r="E1153" s="1765"/>
      <c r="F1153" s="1765"/>
      <c r="G1153" s="1765"/>
      <c r="H1153" s="1765"/>
      <c r="I1153" s="1765"/>
      <c r="J1153" s="1765"/>
      <c r="K1153" s="1765"/>
      <c r="L1153" s="1765"/>
      <c r="M1153" s="1765"/>
      <c r="N1153" s="1765"/>
      <c r="O1153" s="1765"/>
      <c r="P1153" s="1765"/>
      <c r="Q1153" s="1766"/>
      <c r="R1153" s="1766"/>
      <c r="S1153" s="1696"/>
      <c r="T1153" s="1696"/>
      <c r="U1153" s="1772"/>
      <c r="V1153" s="1696"/>
      <c r="W1153" s="1772"/>
      <c r="X1153" s="1696"/>
      <c r="Y1153" s="1696"/>
      <c r="Z1153" s="1773"/>
    </row>
    <row r="1154">
      <c r="A1154" s="1771"/>
      <c r="B1154" s="1777"/>
      <c r="C1154" s="1771"/>
      <c r="D1154" s="1771"/>
      <c r="E1154" s="1771"/>
      <c r="F1154" s="1771"/>
      <c r="G1154" s="1771"/>
      <c r="H1154" s="1771"/>
      <c r="I1154" s="1778"/>
      <c r="J1154" s="1771"/>
      <c r="K1154" s="1771"/>
      <c r="L1154" s="1771"/>
      <c r="M1154" s="1771"/>
      <c r="N1154" s="1779"/>
      <c r="O1154" s="1770"/>
      <c r="P1154" s="1771"/>
      <c r="Q1154" s="1766"/>
      <c r="R1154" s="1766"/>
      <c r="S1154" s="1696"/>
      <c r="T1154" s="1696"/>
      <c r="U1154" s="1772"/>
      <c r="V1154" s="1696"/>
      <c r="W1154" s="1772"/>
      <c r="X1154" s="1696"/>
      <c r="Y1154" s="1696"/>
      <c r="Z1154" s="1773"/>
    </row>
    <row r="1155">
      <c r="A1155" s="1766"/>
      <c r="B1155" s="1780"/>
      <c r="C1155" s="1766"/>
      <c r="D1155" s="1766"/>
      <c r="E1155" s="1766"/>
      <c r="F1155" s="1766"/>
      <c r="G1155" s="1766"/>
      <c r="H1155" s="1766"/>
      <c r="I1155" s="1766"/>
      <c r="J1155" s="1766"/>
      <c r="K1155" s="1766"/>
      <c r="L1155" s="1766"/>
      <c r="M1155" s="1766"/>
      <c r="N1155" s="1781"/>
      <c r="O1155" s="1766"/>
      <c r="P1155" s="1766"/>
      <c r="Q1155" s="1766"/>
      <c r="R1155" s="1766"/>
      <c r="S1155" s="1696"/>
      <c r="T1155" s="1696"/>
      <c r="U1155" s="1772"/>
      <c r="V1155" s="1696"/>
      <c r="W1155" s="1772"/>
      <c r="X1155" s="1696"/>
      <c r="Y1155" s="1696"/>
      <c r="Z1155" s="1773"/>
    </row>
    <row r="1156">
      <c r="A1156" s="1765"/>
      <c r="B1156" s="1782"/>
      <c r="C1156" s="1765"/>
      <c r="D1156" s="1765"/>
      <c r="E1156" s="1765"/>
      <c r="F1156" s="1765"/>
      <c r="G1156" s="1765"/>
      <c r="H1156" s="1765"/>
      <c r="I1156" s="1765"/>
      <c r="J1156" s="1765"/>
      <c r="K1156" s="1765"/>
      <c r="L1156" s="1765"/>
      <c r="M1156" s="1765"/>
      <c r="N1156" s="1765"/>
      <c r="O1156" s="1765"/>
      <c r="P1156" s="1765"/>
      <c r="Q1156" s="1766"/>
      <c r="R1156" s="1766"/>
      <c r="S1156" s="1696"/>
      <c r="T1156" s="1696"/>
      <c r="U1156" s="1772"/>
      <c r="V1156" s="1696"/>
      <c r="W1156" s="1772"/>
      <c r="X1156" s="1696"/>
      <c r="Y1156" s="1696"/>
      <c r="Z1156" s="1773"/>
    </row>
    <row r="1157">
      <c r="A1157" s="1771"/>
      <c r="B1157" s="1777"/>
      <c r="C1157" s="1771"/>
      <c r="D1157" s="1771"/>
      <c r="E1157" s="1771"/>
      <c r="F1157" s="1771"/>
      <c r="G1157" s="1771"/>
      <c r="H1157" s="1771"/>
      <c r="I1157" s="1770"/>
      <c r="J1157" s="1771"/>
      <c r="K1157" s="1771"/>
      <c r="L1157" s="1771"/>
      <c r="M1157" s="1771"/>
      <c r="N1157" s="1779"/>
      <c r="O1157" s="1770"/>
      <c r="P1157" s="1771"/>
      <c r="Q1157" s="1766"/>
      <c r="R1157" s="1766"/>
      <c r="S1157" s="1696"/>
      <c r="T1157" s="1696"/>
      <c r="U1157" s="1772"/>
      <c r="V1157" s="1696"/>
      <c r="W1157" s="1772"/>
      <c r="X1157" s="1696"/>
      <c r="Y1157" s="1696"/>
      <c r="Z1157" s="1773"/>
    </row>
    <row r="1158">
      <c r="A1158" s="1766"/>
      <c r="B1158" s="1780"/>
      <c r="C1158" s="1766"/>
      <c r="D1158" s="1766"/>
      <c r="E1158" s="1766"/>
      <c r="F1158" s="1766"/>
      <c r="G1158" s="1766"/>
      <c r="H1158" s="1766"/>
      <c r="I1158" s="1766"/>
      <c r="J1158" s="1766"/>
      <c r="K1158" s="1766"/>
      <c r="L1158" s="1766"/>
      <c r="M1158" s="1766"/>
      <c r="N1158" s="1781"/>
      <c r="O1158" s="1766"/>
      <c r="P1158" s="1766"/>
      <c r="Q1158" s="1766"/>
      <c r="R1158" s="1766"/>
      <c r="S1158" s="1696"/>
      <c r="T1158" s="1696"/>
      <c r="U1158" s="1772"/>
      <c r="V1158" s="1696"/>
      <c r="W1158" s="1772"/>
      <c r="X1158" s="1696"/>
      <c r="Y1158" s="1696"/>
      <c r="Z1158" s="1773"/>
    </row>
    <row r="1159">
      <c r="A1159" s="1765"/>
      <c r="B1159" s="1782"/>
      <c r="C1159" s="1765"/>
      <c r="D1159" s="1765"/>
      <c r="E1159" s="1765"/>
      <c r="F1159" s="1765"/>
      <c r="G1159" s="1765"/>
      <c r="H1159" s="1765"/>
      <c r="I1159" s="1765"/>
      <c r="J1159" s="1765"/>
      <c r="K1159" s="1765"/>
      <c r="L1159" s="1765"/>
      <c r="M1159" s="1765"/>
      <c r="N1159" s="1765"/>
      <c r="O1159" s="1765"/>
      <c r="P1159" s="1765"/>
      <c r="Q1159" s="1766"/>
      <c r="R1159" s="1766"/>
      <c r="S1159" s="1696"/>
      <c r="T1159" s="1696"/>
      <c r="U1159" s="1772"/>
      <c r="V1159" s="1696"/>
      <c r="W1159" s="1772"/>
      <c r="X1159" s="1696"/>
      <c r="Y1159" s="1696"/>
      <c r="Z1159" s="1773"/>
    </row>
    <row r="1160">
      <c r="A1160" s="1771"/>
      <c r="B1160" s="1777"/>
      <c r="C1160" s="1771"/>
      <c r="D1160" s="1771"/>
      <c r="E1160" s="1771"/>
      <c r="F1160" s="1771"/>
      <c r="G1160" s="1770"/>
      <c r="H1160" s="1771"/>
      <c r="I1160" s="1778"/>
      <c r="J1160" s="1771"/>
      <c r="K1160" s="1771"/>
      <c r="L1160" s="1771"/>
      <c r="M1160" s="1771"/>
      <c r="N1160" s="1779"/>
      <c r="O1160" s="1770"/>
      <c r="P1160" s="1771"/>
      <c r="Q1160" s="1766"/>
      <c r="R1160" s="1766"/>
      <c r="S1160" s="1696"/>
      <c r="T1160" s="1696"/>
      <c r="U1160" s="1772"/>
      <c r="V1160" s="1696"/>
      <c r="W1160" s="1772"/>
      <c r="X1160" s="1696"/>
      <c r="Y1160" s="1696"/>
      <c r="Z1160" s="1773"/>
    </row>
    <row r="1161">
      <c r="A1161" s="1766"/>
      <c r="B1161" s="1780"/>
      <c r="C1161" s="1766"/>
      <c r="D1161" s="1766"/>
      <c r="E1161" s="1766"/>
      <c r="F1161" s="1766"/>
      <c r="G1161" s="1766"/>
      <c r="H1161" s="1766"/>
      <c r="I1161" s="1766"/>
      <c r="J1161" s="1766"/>
      <c r="K1161" s="1766"/>
      <c r="L1161" s="1766"/>
      <c r="M1161" s="1766"/>
      <c r="N1161" s="1781"/>
      <c r="O1161" s="1766"/>
      <c r="P1161" s="1766"/>
      <c r="Q1161" s="1766"/>
      <c r="R1161" s="1766"/>
      <c r="S1161" s="1696"/>
      <c r="T1161" s="1696"/>
      <c r="U1161" s="1772"/>
      <c r="V1161" s="1696"/>
      <c r="W1161" s="1772"/>
      <c r="X1161" s="1696"/>
      <c r="Y1161" s="1696"/>
      <c r="Z1161" s="1773"/>
    </row>
    <row r="1162">
      <c r="A1162" s="1765"/>
      <c r="B1162" s="1782"/>
      <c r="C1162" s="1765"/>
      <c r="D1162" s="1765"/>
      <c r="E1162" s="1765"/>
      <c r="F1162" s="1765"/>
      <c r="G1162" s="1765"/>
      <c r="H1162" s="1765"/>
      <c r="I1162" s="1765"/>
      <c r="J1162" s="1765"/>
      <c r="K1162" s="1765"/>
      <c r="L1162" s="1765"/>
      <c r="M1162" s="1765"/>
      <c r="N1162" s="1765"/>
      <c r="O1162" s="1765"/>
      <c r="P1162" s="1765"/>
      <c r="Q1162" s="1766"/>
      <c r="R1162" s="1766"/>
      <c r="S1162" s="1696"/>
      <c r="T1162" s="1696"/>
      <c r="U1162" s="1772"/>
      <c r="V1162" s="1696"/>
      <c r="W1162" s="1772"/>
      <c r="X1162" s="1696"/>
      <c r="Y1162" s="1696"/>
      <c r="Z1162" s="1773"/>
    </row>
    <row r="1163">
      <c r="A1163" s="1771"/>
      <c r="B1163" s="1777"/>
      <c r="C1163" s="1771"/>
      <c r="D1163" s="1771"/>
      <c r="E1163" s="1771"/>
      <c r="F1163" s="1771"/>
      <c r="G1163" s="1770"/>
      <c r="H1163" s="1771"/>
      <c r="I1163" s="1778"/>
      <c r="J1163" s="1771"/>
      <c r="K1163" s="1771"/>
      <c r="L1163" s="1771"/>
      <c r="M1163" s="1771"/>
      <c r="N1163" s="1779"/>
      <c r="O1163" s="1770"/>
      <c r="P1163" s="1771"/>
      <c r="Q1163" s="1766"/>
      <c r="R1163" s="1766"/>
      <c r="S1163" s="1696"/>
      <c r="T1163" s="1696"/>
      <c r="U1163" s="1772"/>
      <c r="V1163" s="1696"/>
      <c r="W1163" s="1772"/>
      <c r="X1163" s="1696"/>
      <c r="Y1163" s="1696"/>
      <c r="Z1163" s="1773"/>
    </row>
    <row r="1164">
      <c r="A1164" s="1766"/>
      <c r="B1164" s="1780"/>
      <c r="C1164" s="1766"/>
      <c r="D1164" s="1766"/>
      <c r="E1164" s="1766"/>
      <c r="F1164" s="1766"/>
      <c r="G1164" s="1766"/>
      <c r="H1164" s="1766"/>
      <c r="I1164" s="1766"/>
      <c r="J1164" s="1766"/>
      <c r="K1164" s="1766"/>
      <c r="L1164" s="1766"/>
      <c r="M1164" s="1766"/>
      <c r="N1164" s="1781"/>
      <c r="O1164" s="1766"/>
      <c r="P1164" s="1766"/>
      <c r="Q1164" s="1766"/>
      <c r="R1164" s="1766"/>
      <c r="S1164" s="1696"/>
      <c r="T1164" s="1696"/>
      <c r="U1164" s="1772"/>
      <c r="V1164" s="1696"/>
      <c r="W1164" s="1772"/>
      <c r="X1164" s="1696"/>
      <c r="Y1164" s="1696"/>
      <c r="Z1164" s="1773"/>
    </row>
    <row r="1165">
      <c r="A1165" s="1765"/>
      <c r="B1165" s="1782"/>
      <c r="C1165" s="1765"/>
      <c r="D1165" s="1765"/>
      <c r="E1165" s="1765"/>
      <c r="F1165" s="1765"/>
      <c r="G1165" s="1765"/>
      <c r="H1165" s="1765"/>
      <c r="I1165" s="1765"/>
      <c r="J1165" s="1765"/>
      <c r="K1165" s="1765"/>
      <c r="L1165" s="1765"/>
      <c r="M1165" s="1765"/>
      <c r="N1165" s="1765"/>
      <c r="O1165" s="1765"/>
      <c r="P1165" s="1765"/>
      <c r="Q1165" s="1766"/>
      <c r="R1165" s="1766"/>
      <c r="S1165" s="1696"/>
      <c r="T1165" s="1696"/>
      <c r="U1165" s="1772"/>
      <c r="V1165" s="1696"/>
      <c r="W1165" s="1772"/>
      <c r="X1165" s="1696"/>
      <c r="Y1165" s="1696"/>
      <c r="Z1165" s="1773"/>
    </row>
    <row r="1166">
      <c r="A1166" s="1771"/>
      <c r="B1166" s="1777"/>
      <c r="C1166" s="1771"/>
      <c r="D1166" s="1771"/>
      <c r="E1166" s="1771"/>
      <c r="F1166" s="1771"/>
      <c r="G1166" s="1770"/>
      <c r="H1166" s="1771"/>
      <c r="I1166" s="1778"/>
      <c r="J1166" s="1771"/>
      <c r="K1166" s="1771"/>
      <c r="L1166" s="1771"/>
      <c r="M1166" s="1771"/>
      <c r="N1166" s="1779"/>
      <c r="O1166" s="1770"/>
      <c r="P1166" s="1771"/>
      <c r="Q1166" s="1766"/>
      <c r="R1166" s="1766"/>
      <c r="S1166" s="1696"/>
      <c r="T1166" s="1696"/>
      <c r="U1166" s="1772"/>
      <c r="V1166" s="1696"/>
      <c r="W1166" s="1772"/>
      <c r="X1166" s="1696"/>
      <c r="Y1166" s="1696"/>
      <c r="Z1166" s="1773"/>
    </row>
    <row r="1167">
      <c r="A1167" s="1766"/>
      <c r="B1167" s="1780"/>
      <c r="C1167" s="1766"/>
      <c r="D1167" s="1766"/>
      <c r="E1167" s="1766"/>
      <c r="F1167" s="1766"/>
      <c r="G1167" s="1766"/>
      <c r="H1167" s="1766"/>
      <c r="I1167" s="1766"/>
      <c r="J1167" s="1766"/>
      <c r="K1167" s="1766"/>
      <c r="L1167" s="1766"/>
      <c r="M1167" s="1766"/>
      <c r="N1167" s="1781"/>
      <c r="O1167" s="1766"/>
      <c r="P1167" s="1766"/>
      <c r="Q1167" s="1766"/>
      <c r="R1167" s="1766"/>
      <c r="S1167" s="1696"/>
      <c r="T1167" s="1696"/>
      <c r="U1167" s="1772"/>
      <c r="V1167" s="1696"/>
      <c r="W1167" s="1772"/>
      <c r="X1167" s="1696"/>
      <c r="Y1167" s="1696"/>
      <c r="Z1167" s="1773"/>
    </row>
    <row r="1168">
      <c r="A1168" s="1765"/>
      <c r="B1168" s="1782"/>
      <c r="C1168" s="1765"/>
      <c r="D1168" s="1765"/>
      <c r="E1168" s="1765"/>
      <c r="F1168" s="1765"/>
      <c r="G1168" s="1765"/>
      <c r="H1168" s="1765"/>
      <c r="I1168" s="1765"/>
      <c r="J1168" s="1765"/>
      <c r="K1168" s="1765"/>
      <c r="L1168" s="1765"/>
      <c r="M1168" s="1765"/>
      <c r="N1168" s="1765"/>
      <c r="O1168" s="1765"/>
      <c r="P1168" s="1765"/>
      <c r="Q1168" s="1766"/>
      <c r="R1168" s="1766"/>
      <c r="S1168" s="1696"/>
      <c r="T1168" s="1696"/>
      <c r="U1168" s="1772"/>
      <c r="V1168" s="1696"/>
      <c r="W1168" s="1772"/>
      <c r="X1168" s="1696"/>
      <c r="Y1168" s="1696"/>
      <c r="Z1168" s="1773"/>
    </row>
    <row r="1169">
      <c r="A1169" s="1771"/>
      <c r="B1169" s="1777"/>
      <c r="C1169" s="1771"/>
      <c r="D1169" s="1771"/>
      <c r="E1169" s="1771"/>
      <c r="F1169" s="1771"/>
      <c r="G1169" s="1770"/>
      <c r="H1169" s="1771"/>
      <c r="I1169" s="1778"/>
      <c r="J1169" s="1771"/>
      <c r="K1169" s="1771"/>
      <c r="L1169" s="1771"/>
      <c r="M1169" s="1771"/>
      <c r="N1169" s="1779"/>
      <c r="O1169" s="1770"/>
      <c r="P1169" s="1771"/>
      <c r="Q1169" s="1766"/>
      <c r="R1169" s="1766"/>
      <c r="S1169" s="1696"/>
      <c r="T1169" s="1696"/>
      <c r="U1169" s="1772"/>
      <c r="V1169" s="1696"/>
      <c r="W1169" s="1772"/>
      <c r="X1169" s="1696"/>
      <c r="Y1169" s="1696"/>
      <c r="Z1169" s="1773"/>
    </row>
    <row r="1170">
      <c r="A1170" s="1766"/>
      <c r="B1170" s="1780"/>
      <c r="C1170" s="1766"/>
      <c r="D1170" s="1766"/>
      <c r="E1170" s="1766"/>
      <c r="F1170" s="1766"/>
      <c r="G1170" s="1766"/>
      <c r="H1170" s="1766"/>
      <c r="I1170" s="1766"/>
      <c r="J1170" s="1766"/>
      <c r="K1170" s="1766"/>
      <c r="L1170" s="1766"/>
      <c r="M1170" s="1766"/>
      <c r="N1170" s="1781"/>
      <c r="O1170" s="1766"/>
      <c r="P1170" s="1766"/>
      <c r="Q1170" s="1766"/>
      <c r="R1170" s="1766"/>
      <c r="S1170" s="1696"/>
      <c r="T1170" s="1696"/>
      <c r="U1170" s="1772"/>
      <c r="V1170" s="1696"/>
      <c r="W1170" s="1772"/>
      <c r="X1170" s="1696"/>
      <c r="Y1170" s="1696"/>
      <c r="Z1170" s="1773"/>
    </row>
    <row r="1171">
      <c r="A1171" s="1765"/>
      <c r="B1171" s="1782"/>
      <c r="C1171" s="1765"/>
      <c r="D1171" s="1765"/>
      <c r="E1171" s="1765"/>
      <c r="F1171" s="1765"/>
      <c r="G1171" s="1765"/>
      <c r="H1171" s="1765"/>
      <c r="I1171" s="1765"/>
      <c r="J1171" s="1765"/>
      <c r="K1171" s="1765"/>
      <c r="L1171" s="1765"/>
      <c r="M1171" s="1765"/>
      <c r="N1171" s="1765"/>
      <c r="O1171" s="1765"/>
      <c r="P1171" s="1765"/>
      <c r="Q1171" s="1766"/>
      <c r="R1171" s="1766"/>
      <c r="S1171" s="1696"/>
      <c r="T1171" s="1696"/>
      <c r="U1171" s="1772"/>
      <c r="V1171" s="1696"/>
      <c r="W1171" s="1772"/>
      <c r="X1171" s="1696"/>
      <c r="Y1171" s="1696"/>
      <c r="Z1171" s="1773"/>
    </row>
    <row r="1172">
      <c r="A1172" s="1771"/>
      <c r="B1172" s="1777"/>
      <c r="C1172" s="1771"/>
      <c r="D1172" s="1771"/>
      <c r="E1172" s="1771"/>
      <c r="F1172" s="1771"/>
      <c r="G1172" s="1771"/>
      <c r="H1172" s="1771"/>
      <c r="I1172" s="1778"/>
      <c r="J1172" s="1771"/>
      <c r="K1172" s="1771"/>
      <c r="L1172" s="1771"/>
      <c r="M1172" s="1771"/>
      <c r="N1172" s="1779"/>
      <c r="O1172" s="1770"/>
      <c r="P1172" s="1771"/>
      <c r="Q1172" s="1766"/>
      <c r="R1172" s="1766"/>
      <c r="S1172" s="1696"/>
      <c r="T1172" s="1696"/>
      <c r="U1172" s="1772"/>
      <c r="V1172" s="1696"/>
      <c r="W1172" s="1772"/>
      <c r="X1172" s="1696"/>
      <c r="Y1172" s="1696"/>
      <c r="Z1172" s="1773"/>
    </row>
    <row r="1173">
      <c r="A1173" s="1766"/>
      <c r="B1173" s="1780"/>
      <c r="C1173" s="1766"/>
      <c r="D1173" s="1766"/>
      <c r="E1173" s="1766"/>
      <c r="F1173" s="1766"/>
      <c r="G1173" s="1766"/>
      <c r="H1173" s="1766"/>
      <c r="I1173" s="1766"/>
      <c r="J1173" s="1766"/>
      <c r="K1173" s="1766"/>
      <c r="L1173" s="1766"/>
      <c r="M1173" s="1766"/>
      <c r="N1173" s="1781"/>
      <c r="O1173" s="1766"/>
      <c r="P1173" s="1766"/>
      <c r="Q1173" s="1766"/>
      <c r="R1173" s="1766"/>
      <c r="S1173" s="1696"/>
      <c r="T1173" s="1696"/>
      <c r="U1173" s="1772"/>
      <c r="V1173" s="1696"/>
      <c r="W1173" s="1772"/>
      <c r="X1173" s="1696"/>
      <c r="Y1173" s="1696"/>
      <c r="Z1173" s="1773"/>
    </row>
    <row r="1174">
      <c r="A1174" s="1765"/>
      <c r="B1174" s="1782"/>
      <c r="C1174" s="1765"/>
      <c r="D1174" s="1765"/>
      <c r="E1174" s="1765"/>
      <c r="F1174" s="1765"/>
      <c r="G1174" s="1765"/>
      <c r="H1174" s="1765"/>
      <c r="I1174" s="1765"/>
      <c r="J1174" s="1765"/>
      <c r="K1174" s="1765"/>
      <c r="L1174" s="1765"/>
      <c r="M1174" s="1765"/>
      <c r="N1174" s="1765"/>
      <c r="O1174" s="1765"/>
      <c r="P1174" s="1765"/>
      <c r="Q1174" s="1766"/>
      <c r="R1174" s="1766"/>
      <c r="S1174" s="1696"/>
      <c r="T1174" s="1696"/>
      <c r="U1174" s="1772"/>
      <c r="V1174" s="1696"/>
      <c r="W1174" s="1772"/>
      <c r="X1174" s="1696"/>
      <c r="Y1174" s="1696"/>
      <c r="Z1174" s="1773"/>
    </row>
    <row r="1175">
      <c r="A1175" s="1771"/>
      <c r="B1175" s="1777"/>
      <c r="C1175" s="1771"/>
      <c r="D1175" s="1771"/>
      <c r="E1175" s="1771"/>
      <c r="F1175" s="1771"/>
      <c r="G1175" s="1770"/>
      <c r="H1175" s="1771"/>
      <c r="I1175" s="1778"/>
      <c r="J1175" s="1771"/>
      <c r="K1175" s="1771"/>
      <c r="L1175" s="1771"/>
      <c r="M1175" s="1771"/>
      <c r="N1175" s="1779"/>
      <c r="O1175" s="1770"/>
      <c r="P1175" s="1771"/>
      <c r="Q1175" s="1766"/>
      <c r="R1175" s="1766"/>
      <c r="S1175" s="1696"/>
      <c r="T1175" s="1696"/>
      <c r="U1175" s="1772"/>
      <c r="V1175" s="1696"/>
      <c r="W1175" s="1772"/>
      <c r="X1175" s="1696"/>
      <c r="Y1175" s="1696"/>
      <c r="Z1175" s="1773"/>
    </row>
    <row r="1176">
      <c r="A1176" s="1766"/>
      <c r="B1176" s="1780"/>
      <c r="C1176" s="1766"/>
      <c r="D1176" s="1766"/>
      <c r="E1176" s="1766"/>
      <c r="F1176" s="1766"/>
      <c r="G1176" s="1766"/>
      <c r="H1176" s="1766"/>
      <c r="I1176" s="1766"/>
      <c r="J1176" s="1766"/>
      <c r="K1176" s="1766"/>
      <c r="L1176" s="1766"/>
      <c r="M1176" s="1766"/>
      <c r="N1176" s="1781"/>
      <c r="O1176" s="1766"/>
      <c r="P1176" s="1766"/>
      <c r="Q1176" s="1766"/>
      <c r="R1176" s="1766"/>
      <c r="S1176" s="1696"/>
      <c r="T1176" s="1696"/>
      <c r="U1176" s="1772"/>
      <c r="V1176" s="1696"/>
      <c r="W1176" s="1772"/>
      <c r="X1176" s="1696"/>
      <c r="Y1176" s="1696"/>
      <c r="Z1176" s="1773"/>
    </row>
    <row r="1177">
      <c r="A1177" s="1765"/>
      <c r="B1177" s="1782"/>
      <c r="C1177" s="1765"/>
      <c r="D1177" s="1765"/>
      <c r="E1177" s="1765"/>
      <c r="F1177" s="1765"/>
      <c r="G1177" s="1765"/>
      <c r="H1177" s="1765"/>
      <c r="I1177" s="1765"/>
      <c r="J1177" s="1765"/>
      <c r="K1177" s="1765"/>
      <c r="L1177" s="1765"/>
      <c r="M1177" s="1765"/>
      <c r="N1177" s="1765"/>
      <c r="O1177" s="1765"/>
      <c r="P1177" s="1765"/>
      <c r="Q1177" s="1766"/>
      <c r="R1177" s="1766"/>
      <c r="S1177" s="1696"/>
      <c r="T1177" s="1696"/>
      <c r="U1177" s="1772"/>
      <c r="V1177" s="1696"/>
      <c r="W1177" s="1772"/>
      <c r="X1177" s="1696"/>
      <c r="Y1177" s="1696"/>
      <c r="Z1177" s="1773"/>
    </row>
    <row r="1178">
      <c r="A1178" s="1771"/>
      <c r="B1178" s="1777"/>
      <c r="C1178" s="1771"/>
      <c r="D1178" s="1771"/>
      <c r="E1178" s="1771"/>
      <c r="F1178" s="1771"/>
      <c r="G1178" s="1770"/>
      <c r="H1178" s="1771"/>
      <c r="I1178" s="1778"/>
      <c r="J1178" s="1771"/>
      <c r="K1178" s="1771"/>
      <c r="L1178" s="1771"/>
      <c r="M1178" s="1771"/>
      <c r="N1178" s="1779"/>
      <c r="O1178" s="1770"/>
      <c r="P1178" s="1771"/>
      <c r="Q1178" s="1766"/>
      <c r="R1178" s="1766"/>
      <c r="S1178" s="1696"/>
      <c r="T1178" s="1696"/>
      <c r="U1178" s="1772"/>
      <c r="V1178" s="1696"/>
      <c r="W1178" s="1772"/>
      <c r="X1178" s="1696"/>
      <c r="Y1178" s="1696"/>
      <c r="Z1178" s="1773"/>
    </row>
    <row r="1179">
      <c r="A1179" s="1766"/>
      <c r="B1179" s="1780"/>
      <c r="C1179" s="1766"/>
      <c r="D1179" s="1766"/>
      <c r="E1179" s="1766"/>
      <c r="F1179" s="1766"/>
      <c r="G1179" s="1766"/>
      <c r="H1179" s="1766"/>
      <c r="I1179" s="1766"/>
      <c r="J1179" s="1766"/>
      <c r="K1179" s="1766"/>
      <c r="L1179" s="1766"/>
      <c r="M1179" s="1766"/>
      <c r="N1179" s="1781"/>
      <c r="O1179" s="1766"/>
      <c r="P1179" s="1766"/>
      <c r="Q1179" s="1766"/>
      <c r="R1179" s="1766"/>
      <c r="S1179" s="1696"/>
      <c r="T1179" s="1696"/>
      <c r="U1179" s="1772"/>
      <c r="V1179" s="1696"/>
      <c r="W1179" s="1772"/>
      <c r="X1179" s="1696"/>
      <c r="Y1179" s="1696"/>
      <c r="Z1179" s="1773"/>
    </row>
    <row r="1180">
      <c r="A1180" s="1765"/>
      <c r="B1180" s="1782"/>
      <c r="C1180" s="1765"/>
      <c r="D1180" s="1765"/>
      <c r="E1180" s="1765"/>
      <c r="F1180" s="1765"/>
      <c r="G1180" s="1765"/>
      <c r="H1180" s="1765"/>
      <c r="I1180" s="1765"/>
      <c r="J1180" s="1765"/>
      <c r="K1180" s="1765"/>
      <c r="L1180" s="1765"/>
      <c r="M1180" s="1765"/>
      <c r="N1180" s="1765"/>
      <c r="O1180" s="1765"/>
      <c r="P1180" s="1765"/>
      <c r="Q1180" s="1766"/>
      <c r="R1180" s="1766"/>
      <c r="S1180" s="1696"/>
      <c r="T1180" s="1696"/>
      <c r="U1180" s="1772"/>
      <c r="V1180" s="1696"/>
      <c r="W1180" s="1772"/>
      <c r="X1180" s="1696"/>
      <c r="Y1180" s="1696"/>
      <c r="Z1180" s="1773"/>
    </row>
    <row r="1181">
      <c r="A1181" s="1771"/>
      <c r="B1181" s="1777"/>
      <c r="C1181" s="1771"/>
      <c r="D1181" s="1771"/>
      <c r="E1181" s="1771"/>
      <c r="F1181" s="1771"/>
      <c r="G1181" s="1770"/>
      <c r="H1181" s="1771"/>
      <c r="I1181" s="1770"/>
      <c r="J1181" s="1771"/>
      <c r="K1181" s="1771"/>
      <c r="L1181" s="1771"/>
      <c r="M1181" s="1771"/>
      <c r="N1181" s="1779"/>
      <c r="O1181" s="1770"/>
      <c r="P1181" s="1771"/>
      <c r="Q1181" s="1766"/>
      <c r="R1181" s="1766"/>
      <c r="S1181" s="1696"/>
      <c r="T1181" s="1696"/>
      <c r="U1181" s="1772"/>
      <c r="V1181" s="1696"/>
      <c r="W1181" s="1772"/>
      <c r="X1181" s="1696"/>
      <c r="Y1181" s="1696"/>
      <c r="Z1181" s="1773"/>
    </row>
    <row r="1182">
      <c r="A1182" s="1766"/>
      <c r="B1182" s="1780"/>
      <c r="C1182" s="1766"/>
      <c r="D1182" s="1766"/>
      <c r="E1182" s="1766"/>
      <c r="F1182" s="1766"/>
      <c r="G1182" s="1766"/>
      <c r="H1182" s="1766"/>
      <c r="I1182" s="1766"/>
      <c r="J1182" s="1766"/>
      <c r="K1182" s="1766"/>
      <c r="L1182" s="1766"/>
      <c r="M1182" s="1766"/>
      <c r="N1182" s="1781"/>
      <c r="O1182" s="1766"/>
      <c r="P1182" s="1766"/>
      <c r="Q1182" s="1766"/>
      <c r="R1182" s="1766"/>
      <c r="S1182" s="1696"/>
      <c r="T1182" s="1696"/>
      <c r="U1182" s="1772"/>
      <c r="V1182" s="1696"/>
      <c r="W1182" s="1772"/>
      <c r="X1182" s="1696"/>
      <c r="Y1182" s="1696"/>
      <c r="Z1182" s="1773"/>
    </row>
    <row r="1183">
      <c r="A1183" s="1765"/>
      <c r="B1183" s="1782"/>
      <c r="C1183" s="1765"/>
      <c r="D1183" s="1765"/>
      <c r="E1183" s="1765"/>
      <c r="F1183" s="1765"/>
      <c r="G1183" s="1765"/>
      <c r="H1183" s="1765"/>
      <c r="I1183" s="1765"/>
      <c r="J1183" s="1765"/>
      <c r="K1183" s="1765"/>
      <c r="L1183" s="1765"/>
      <c r="M1183" s="1765"/>
      <c r="N1183" s="1765"/>
      <c r="O1183" s="1765"/>
      <c r="P1183" s="1765"/>
      <c r="Q1183" s="1766"/>
      <c r="R1183" s="1766"/>
      <c r="S1183" s="1696"/>
      <c r="T1183" s="1696"/>
      <c r="U1183" s="1772"/>
      <c r="V1183" s="1696"/>
      <c r="W1183" s="1772"/>
      <c r="X1183" s="1696"/>
      <c r="Y1183" s="1696"/>
      <c r="Z1183" s="1773"/>
    </row>
    <row r="1184">
      <c r="A1184" s="1771"/>
      <c r="B1184" s="1777"/>
      <c r="C1184" s="1771"/>
      <c r="D1184" s="1771"/>
      <c r="E1184" s="1771"/>
      <c r="F1184" s="1771"/>
      <c r="G1184" s="1770"/>
      <c r="H1184" s="1771"/>
      <c r="I1184" s="1770"/>
      <c r="J1184" s="1771"/>
      <c r="K1184" s="1771"/>
      <c r="L1184" s="1771"/>
      <c r="M1184" s="1771"/>
      <c r="N1184" s="1779"/>
      <c r="O1184" s="1770"/>
      <c r="P1184" s="1771"/>
      <c r="Q1184" s="1766"/>
      <c r="R1184" s="1766"/>
      <c r="S1184" s="1696"/>
      <c r="T1184" s="1696"/>
      <c r="U1184" s="1772"/>
      <c r="V1184" s="1696"/>
      <c r="W1184" s="1772"/>
      <c r="X1184" s="1696"/>
      <c r="Y1184" s="1696"/>
      <c r="Z1184" s="1773"/>
    </row>
    <row r="1185">
      <c r="A1185" s="1766"/>
      <c r="B1185" s="1780"/>
      <c r="C1185" s="1766"/>
      <c r="D1185" s="1766"/>
      <c r="E1185" s="1766"/>
      <c r="F1185" s="1766"/>
      <c r="G1185" s="1766"/>
      <c r="H1185" s="1766"/>
      <c r="I1185" s="1766"/>
      <c r="J1185" s="1766"/>
      <c r="K1185" s="1766"/>
      <c r="L1185" s="1766"/>
      <c r="M1185" s="1766"/>
      <c r="N1185" s="1781"/>
      <c r="O1185" s="1766"/>
      <c r="P1185" s="1766"/>
      <c r="Q1185" s="1766"/>
      <c r="R1185" s="1766"/>
      <c r="S1185" s="1696"/>
      <c r="T1185" s="1696"/>
      <c r="U1185" s="1772"/>
      <c r="V1185" s="1696"/>
      <c r="W1185" s="1772"/>
      <c r="X1185" s="1696"/>
      <c r="Y1185" s="1696"/>
      <c r="Z1185" s="1773"/>
    </row>
    <row r="1186">
      <c r="A1186" s="1765"/>
      <c r="B1186" s="1782"/>
      <c r="C1186" s="1765"/>
      <c r="D1186" s="1765"/>
      <c r="E1186" s="1765"/>
      <c r="F1186" s="1765"/>
      <c r="G1186" s="1765"/>
      <c r="H1186" s="1765"/>
      <c r="I1186" s="1765"/>
      <c r="J1186" s="1765"/>
      <c r="K1186" s="1765"/>
      <c r="L1186" s="1765"/>
      <c r="M1186" s="1765"/>
      <c r="N1186" s="1765"/>
      <c r="O1186" s="1765"/>
      <c r="P1186" s="1765"/>
      <c r="Q1186" s="1766"/>
      <c r="R1186" s="1766"/>
      <c r="S1186" s="1696"/>
      <c r="T1186" s="1696"/>
      <c r="U1186" s="1772"/>
      <c r="V1186" s="1696"/>
      <c r="W1186" s="1772"/>
      <c r="X1186" s="1696"/>
      <c r="Y1186" s="1696"/>
      <c r="Z1186" s="1773"/>
    </row>
    <row r="1187">
      <c r="A1187" s="1771"/>
      <c r="B1187" s="1777"/>
      <c r="C1187" s="1771"/>
      <c r="D1187" s="1771"/>
      <c r="E1187" s="1771"/>
      <c r="F1187" s="1771"/>
      <c r="G1187" s="1770"/>
      <c r="H1187" s="1771"/>
      <c r="I1187" s="1770"/>
      <c r="J1187" s="1771"/>
      <c r="K1187" s="1771"/>
      <c r="L1187" s="1771"/>
      <c r="M1187" s="1771"/>
      <c r="N1187" s="1779"/>
      <c r="O1187" s="1770"/>
      <c r="P1187" s="1771"/>
      <c r="Q1187" s="1766"/>
      <c r="R1187" s="1766"/>
      <c r="S1187" s="1696"/>
      <c r="T1187" s="1696"/>
      <c r="U1187" s="1772"/>
      <c r="V1187" s="1696"/>
      <c r="W1187" s="1772"/>
      <c r="X1187" s="1696"/>
      <c r="Y1187" s="1696"/>
      <c r="Z1187" s="1773"/>
    </row>
    <row r="1188">
      <c r="A1188" s="1766"/>
      <c r="B1188" s="1780"/>
      <c r="C1188" s="1766"/>
      <c r="D1188" s="1766"/>
      <c r="E1188" s="1766"/>
      <c r="F1188" s="1766"/>
      <c r="G1188" s="1766"/>
      <c r="H1188" s="1766"/>
      <c r="I1188" s="1766"/>
      <c r="J1188" s="1766"/>
      <c r="K1188" s="1766"/>
      <c r="L1188" s="1766"/>
      <c r="M1188" s="1766"/>
      <c r="N1188" s="1781"/>
      <c r="O1188" s="1766"/>
      <c r="P1188" s="1766"/>
      <c r="Q1188" s="1766"/>
      <c r="R1188" s="1766"/>
      <c r="S1188" s="1696"/>
      <c r="T1188" s="1696"/>
      <c r="U1188" s="1772"/>
      <c r="V1188" s="1696"/>
      <c r="W1188" s="1772"/>
      <c r="X1188" s="1696"/>
      <c r="Y1188" s="1696"/>
      <c r="Z1188" s="1773"/>
    </row>
    <row r="1189">
      <c r="A1189" s="1765"/>
      <c r="B1189" s="1782"/>
      <c r="C1189" s="1765"/>
      <c r="D1189" s="1765"/>
      <c r="E1189" s="1765"/>
      <c r="F1189" s="1765"/>
      <c r="G1189" s="1765"/>
      <c r="H1189" s="1765"/>
      <c r="I1189" s="1765"/>
      <c r="J1189" s="1765"/>
      <c r="K1189" s="1765"/>
      <c r="L1189" s="1765"/>
      <c r="M1189" s="1765"/>
      <c r="N1189" s="1765"/>
      <c r="O1189" s="1765"/>
      <c r="P1189" s="1765"/>
      <c r="Q1189" s="1766"/>
      <c r="R1189" s="1766"/>
      <c r="S1189" s="1696"/>
      <c r="T1189" s="1696"/>
      <c r="U1189" s="1772"/>
      <c r="V1189" s="1696"/>
      <c r="W1189" s="1772"/>
      <c r="X1189" s="1696"/>
      <c r="Y1189" s="1696"/>
      <c r="Z1189" s="1773"/>
    </row>
    <row r="1190">
      <c r="A1190" s="1771"/>
      <c r="B1190" s="1777"/>
      <c r="C1190" s="1771"/>
      <c r="D1190" s="1771"/>
      <c r="E1190" s="1771"/>
      <c r="F1190" s="1771"/>
      <c r="G1190" s="1770"/>
      <c r="H1190" s="1771"/>
      <c r="I1190" s="1770"/>
      <c r="J1190" s="1771"/>
      <c r="K1190" s="1771"/>
      <c r="L1190" s="1771"/>
      <c r="M1190" s="1771"/>
      <c r="N1190" s="1779"/>
      <c r="O1190" s="1770"/>
      <c r="P1190" s="1771"/>
      <c r="Q1190" s="1766"/>
      <c r="R1190" s="1766"/>
      <c r="S1190" s="1696"/>
      <c r="T1190" s="1696"/>
      <c r="U1190" s="1772"/>
      <c r="V1190" s="1696"/>
      <c r="W1190" s="1772"/>
      <c r="X1190" s="1696"/>
      <c r="Y1190" s="1696"/>
      <c r="Z1190" s="1773"/>
    </row>
    <row r="1191">
      <c r="A1191" s="1766"/>
      <c r="B1191" s="1780"/>
      <c r="C1191" s="1766"/>
      <c r="D1191" s="1766"/>
      <c r="E1191" s="1766"/>
      <c r="F1191" s="1766"/>
      <c r="G1191" s="1766"/>
      <c r="H1191" s="1766"/>
      <c r="I1191" s="1766"/>
      <c r="J1191" s="1766"/>
      <c r="K1191" s="1766"/>
      <c r="L1191" s="1766"/>
      <c r="M1191" s="1766"/>
      <c r="N1191" s="1781"/>
      <c r="O1191" s="1766"/>
      <c r="P1191" s="1766"/>
      <c r="Q1191" s="1766"/>
      <c r="R1191" s="1766"/>
      <c r="S1191" s="1696"/>
      <c r="T1191" s="1696"/>
      <c r="U1191" s="1772"/>
      <c r="V1191" s="1696"/>
      <c r="W1191" s="1772"/>
      <c r="X1191" s="1696"/>
      <c r="Y1191" s="1696"/>
      <c r="Z1191" s="1773"/>
    </row>
    <row r="1192">
      <c r="A1192" s="1765"/>
      <c r="B1192" s="1782"/>
      <c r="C1192" s="1765"/>
      <c r="D1192" s="1765"/>
      <c r="E1192" s="1765"/>
      <c r="F1192" s="1765"/>
      <c r="G1192" s="1765"/>
      <c r="H1192" s="1765"/>
      <c r="I1192" s="1765"/>
      <c r="J1192" s="1765"/>
      <c r="K1192" s="1765"/>
      <c r="L1192" s="1765"/>
      <c r="M1192" s="1765"/>
      <c r="N1192" s="1765"/>
      <c r="O1192" s="1765"/>
      <c r="P1192" s="1765"/>
      <c r="Q1192" s="1766"/>
      <c r="R1192" s="1766"/>
      <c r="S1192" s="1696"/>
      <c r="T1192" s="1696"/>
      <c r="U1192" s="1772"/>
      <c r="V1192" s="1696"/>
      <c r="W1192" s="1772"/>
      <c r="X1192" s="1696"/>
      <c r="Y1192" s="1696"/>
      <c r="Z1192" s="1773"/>
    </row>
    <row r="1193">
      <c r="A1193" s="1771"/>
      <c r="B1193" s="1777"/>
      <c r="C1193" s="1771"/>
      <c r="D1193" s="1771"/>
      <c r="E1193" s="1771"/>
      <c r="F1193" s="1771"/>
      <c r="G1193" s="1777"/>
      <c r="H1193" s="1771"/>
      <c r="I1193" s="1778"/>
      <c r="J1193" s="1771"/>
      <c r="K1193" s="1771"/>
      <c r="L1193" s="1771"/>
      <c r="M1193" s="1771"/>
      <c r="N1193" s="1779"/>
      <c r="O1193" s="1770"/>
      <c r="P1193" s="1771"/>
      <c r="Q1193" s="1766"/>
      <c r="R1193" s="1766"/>
      <c r="S1193" s="1696"/>
      <c r="T1193" s="1696"/>
      <c r="U1193" s="1772"/>
      <c r="V1193" s="1696"/>
      <c r="W1193" s="1772"/>
      <c r="X1193" s="1696"/>
      <c r="Y1193" s="1696"/>
      <c r="Z1193" s="1773"/>
    </row>
    <row r="1194">
      <c r="A1194" s="1766"/>
      <c r="B1194" s="1780"/>
      <c r="C1194" s="1766"/>
      <c r="D1194" s="1766"/>
      <c r="E1194" s="1766"/>
      <c r="F1194" s="1766"/>
      <c r="G1194" s="1766"/>
      <c r="H1194" s="1766"/>
      <c r="I1194" s="1766"/>
      <c r="J1194" s="1766"/>
      <c r="K1194" s="1766"/>
      <c r="L1194" s="1766"/>
      <c r="M1194" s="1766"/>
      <c r="N1194" s="1781"/>
      <c r="O1194" s="1766"/>
      <c r="P1194" s="1766"/>
      <c r="Q1194" s="1766"/>
      <c r="R1194" s="1766"/>
      <c r="S1194" s="1696"/>
      <c r="T1194" s="1696"/>
      <c r="U1194" s="1772"/>
      <c r="V1194" s="1696"/>
      <c r="W1194" s="1772"/>
      <c r="X1194" s="1696"/>
      <c r="Y1194" s="1696"/>
      <c r="Z1194" s="1773"/>
    </row>
    <row r="1195">
      <c r="A1195" s="1765"/>
      <c r="B1195" s="1782"/>
      <c r="C1195" s="1765"/>
      <c r="D1195" s="1765"/>
      <c r="E1195" s="1765"/>
      <c r="F1195" s="1765"/>
      <c r="G1195" s="1765"/>
      <c r="H1195" s="1765"/>
      <c r="I1195" s="1765"/>
      <c r="J1195" s="1765"/>
      <c r="K1195" s="1765"/>
      <c r="L1195" s="1765"/>
      <c r="M1195" s="1765"/>
      <c r="N1195" s="1765"/>
      <c r="O1195" s="1765"/>
      <c r="P1195" s="1765"/>
      <c r="Q1195" s="1766"/>
      <c r="R1195" s="1766"/>
      <c r="S1195" s="1696"/>
      <c r="T1195" s="1696"/>
      <c r="U1195" s="1772"/>
      <c r="V1195" s="1696"/>
      <c r="W1195" s="1772"/>
      <c r="X1195" s="1696"/>
      <c r="Y1195" s="1696"/>
      <c r="Z1195" s="1773"/>
    </row>
    <row r="1196">
      <c r="A1196" s="1771"/>
      <c r="B1196" s="1777"/>
      <c r="C1196" s="1771"/>
      <c r="D1196" s="1771"/>
      <c r="E1196" s="1771"/>
      <c r="F1196" s="1771"/>
      <c r="G1196" s="1770"/>
      <c r="H1196" s="1771"/>
      <c r="I1196" s="1778"/>
      <c r="J1196" s="1771"/>
      <c r="K1196" s="1771"/>
      <c r="L1196" s="1771"/>
      <c r="M1196" s="1771"/>
      <c r="N1196" s="1779"/>
      <c r="O1196" s="1770"/>
      <c r="P1196" s="1771"/>
      <c r="Q1196" s="1766"/>
      <c r="R1196" s="1766"/>
      <c r="S1196" s="1696"/>
      <c r="T1196" s="1696"/>
      <c r="U1196" s="1772"/>
      <c r="V1196" s="1696"/>
      <c r="W1196" s="1772"/>
      <c r="X1196" s="1696"/>
      <c r="Y1196" s="1696"/>
      <c r="Z1196" s="1773"/>
    </row>
    <row r="1197">
      <c r="A1197" s="1766"/>
      <c r="B1197" s="1780"/>
      <c r="C1197" s="1766"/>
      <c r="D1197" s="1766"/>
      <c r="E1197" s="1766"/>
      <c r="F1197" s="1766"/>
      <c r="G1197" s="1766"/>
      <c r="H1197" s="1766"/>
      <c r="I1197" s="1766"/>
      <c r="J1197" s="1766"/>
      <c r="K1197" s="1766"/>
      <c r="L1197" s="1766"/>
      <c r="M1197" s="1766"/>
      <c r="N1197" s="1781"/>
      <c r="O1197" s="1766"/>
      <c r="P1197" s="1766"/>
      <c r="Q1197" s="1766"/>
      <c r="R1197" s="1766"/>
      <c r="S1197" s="1696"/>
      <c r="T1197" s="1696"/>
      <c r="U1197" s="1772"/>
      <c r="V1197" s="1696"/>
      <c r="W1197" s="1772"/>
      <c r="X1197" s="1696"/>
      <c r="Y1197" s="1696"/>
      <c r="Z1197" s="1773"/>
    </row>
    <row r="1198">
      <c r="A1198" s="1765"/>
      <c r="B1198" s="1782"/>
      <c r="C1198" s="1765"/>
      <c r="D1198" s="1765"/>
      <c r="E1198" s="1765"/>
      <c r="F1198" s="1765"/>
      <c r="G1198" s="1765"/>
      <c r="H1198" s="1765"/>
      <c r="I1198" s="1765"/>
      <c r="J1198" s="1765"/>
      <c r="K1198" s="1765"/>
      <c r="L1198" s="1765"/>
      <c r="M1198" s="1765"/>
      <c r="N1198" s="1765"/>
      <c r="O1198" s="1765"/>
      <c r="P1198" s="1765"/>
      <c r="Q1198" s="1766"/>
      <c r="R1198" s="1766"/>
      <c r="S1198" s="1696"/>
      <c r="T1198" s="1696"/>
      <c r="U1198" s="1772"/>
      <c r="V1198" s="1696"/>
      <c r="W1198" s="1772"/>
      <c r="X1198" s="1696"/>
      <c r="Y1198" s="1696"/>
      <c r="Z1198" s="1773"/>
    </row>
    <row r="1199">
      <c r="A1199" s="1771"/>
      <c r="B1199" s="1777"/>
      <c r="C1199" s="1771"/>
      <c r="D1199" s="1771"/>
      <c r="E1199" s="1771"/>
      <c r="F1199" s="1771"/>
      <c r="G1199" s="1770"/>
      <c r="H1199" s="1771"/>
      <c r="I1199" s="1778"/>
      <c r="J1199" s="1771"/>
      <c r="K1199" s="1771"/>
      <c r="L1199" s="1771"/>
      <c r="M1199" s="1771"/>
      <c r="N1199" s="1779"/>
      <c r="O1199" s="1770"/>
      <c r="P1199" s="1771"/>
      <c r="Q1199" s="1766"/>
      <c r="R1199" s="1766"/>
      <c r="S1199" s="1696"/>
      <c r="T1199" s="1696"/>
      <c r="U1199" s="1772"/>
      <c r="V1199" s="1696"/>
      <c r="W1199" s="1772"/>
      <c r="X1199" s="1696"/>
      <c r="Y1199" s="1696"/>
      <c r="Z1199" s="1773"/>
    </row>
    <row r="1200">
      <c r="A1200" s="1766"/>
      <c r="B1200" s="1780"/>
      <c r="C1200" s="1766"/>
      <c r="D1200" s="1766"/>
      <c r="E1200" s="1766"/>
      <c r="F1200" s="1766"/>
      <c r="G1200" s="1766"/>
      <c r="H1200" s="1766"/>
      <c r="I1200" s="1766"/>
      <c r="J1200" s="1766"/>
      <c r="K1200" s="1766"/>
      <c r="L1200" s="1766"/>
      <c r="M1200" s="1766"/>
      <c r="N1200" s="1781"/>
      <c r="O1200" s="1766"/>
      <c r="P1200" s="1766"/>
      <c r="Q1200" s="1766"/>
      <c r="R1200" s="1766"/>
      <c r="S1200" s="1696"/>
      <c r="T1200" s="1696"/>
      <c r="U1200" s="1772"/>
      <c r="V1200" s="1696"/>
      <c r="W1200" s="1772"/>
      <c r="X1200" s="1696"/>
      <c r="Y1200" s="1696"/>
      <c r="Z1200" s="1773"/>
    </row>
    <row r="1201">
      <c r="A1201" s="1765"/>
      <c r="B1201" s="1782"/>
      <c r="C1201" s="1765"/>
      <c r="D1201" s="1765"/>
      <c r="E1201" s="1765"/>
      <c r="F1201" s="1765"/>
      <c r="G1201" s="1765"/>
      <c r="H1201" s="1765"/>
      <c r="I1201" s="1765"/>
      <c r="J1201" s="1765"/>
      <c r="K1201" s="1765"/>
      <c r="L1201" s="1765"/>
      <c r="M1201" s="1765"/>
      <c r="N1201" s="1765"/>
      <c r="O1201" s="1765"/>
      <c r="P1201" s="1765"/>
      <c r="Q1201" s="1766"/>
      <c r="R1201" s="1766"/>
      <c r="S1201" s="1696"/>
      <c r="T1201" s="1696"/>
      <c r="U1201" s="1772"/>
      <c r="V1201" s="1696"/>
      <c r="W1201" s="1772"/>
      <c r="X1201" s="1696"/>
      <c r="Y1201" s="1696"/>
      <c r="Z1201" s="1773"/>
    </row>
    <row r="1202">
      <c r="A1202" s="1771"/>
      <c r="B1202" s="1777"/>
      <c r="C1202" s="1771"/>
      <c r="D1202" s="1771"/>
      <c r="E1202" s="1771"/>
      <c r="F1202" s="1771"/>
      <c r="G1202" s="1771"/>
      <c r="H1202" s="1771"/>
      <c r="I1202" s="1778"/>
      <c r="J1202" s="1771"/>
      <c r="K1202" s="1771"/>
      <c r="L1202" s="1771"/>
      <c r="M1202" s="1771"/>
      <c r="N1202" s="1779"/>
      <c r="O1202" s="1770"/>
      <c r="P1202" s="1771"/>
      <c r="Q1202" s="1766"/>
      <c r="R1202" s="1766"/>
      <c r="S1202" s="1696"/>
      <c r="T1202" s="1696"/>
      <c r="U1202" s="1772"/>
      <c r="V1202" s="1696"/>
      <c r="W1202" s="1772"/>
      <c r="X1202" s="1696"/>
      <c r="Y1202" s="1696"/>
      <c r="Z1202" s="1773"/>
    </row>
    <row r="1203">
      <c r="A1203" s="1766"/>
      <c r="B1203" s="1780"/>
      <c r="C1203" s="1766"/>
      <c r="D1203" s="1766"/>
      <c r="E1203" s="1766"/>
      <c r="F1203" s="1766"/>
      <c r="G1203" s="1766"/>
      <c r="H1203" s="1766"/>
      <c r="I1203" s="1766"/>
      <c r="J1203" s="1766"/>
      <c r="K1203" s="1766"/>
      <c r="L1203" s="1766"/>
      <c r="M1203" s="1766"/>
      <c r="N1203" s="1781"/>
      <c r="O1203" s="1766"/>
      <c r="P1203" s="1766"/>
      <c r="Q1203" s="1766"/>
      <c r="R1203" s="1766"/>
      <c r="S1203" s="1696"/>
      <c r="T1203" s="1696"/>
      <c r="U1203" s="1772"/>
      <c r="V1203" s="1696"/>
      <c r="W1203" s="1772"/>
      <c r="X1203" s="1696"/>
      <c r="Y1203" s="1696"/>
      <c r="Z1203" s="1773"/>
    </row>
    <row r="1204">
      <c r="A1204" s="1765"/>
      <c r="B1204" s="1782"/>
      <c r="C1204" s="1765"/>
      <c r="D1204" s="1765"/>
      <c r="E1204" s="1765"/>
      <c r="F1204" s="1765"/>
      <c r="G1204" s="1765"/>
      <c r="H1204" s="1765"/>
      <c r="I1204" s="1765"/>
      <c r="J1204" s="1765"/>
      <c r="K1204" s="1765"/>
      <c r="L1204" s="1765"/>
      <c r="M1204" s="1765"/>
      <c r="N1204" s="1765"/>
      <c r="O1204" s="1765"/>
      <c r="P1204" s="1765"/>
      <c r="Q1204" s="1766"/>
      <c r="R1204" s="1766"/>
      <c r="S1204" s="1696"/>
      <c r="T1204" s="1696"/>
      <c r="U1204" s="1772"/>
      <c r="V1204" s="1696"/>
      <c r="W1204" s="1772"/>
      <c r="X1204" s="1696"/>
      <c r="Y1204" s="1696"/>
      <c r="Z1204" s="1773"/>
    </row>
    <row r="1205">
      <c r="A1205" s="1771"/>
      <c r="B1205" s="1777"/>
      <c r="C1205" s="1771"/>
      <c r="D1205" s="1771"/>
      <c r="E1205" s="1771"/>
      <c r="F1205" s="1771"/>
      <c r="G1205" s="1770"/>
      <c r="H1205" s="1771"/>
      <c r="I1205" s="1778"/>
      <c r="J1205" s="1771"/>
      <c r="K1205" s="1771"/>
      <c r="L1205" s="1771"/>
      <c r="M1205" s="1771"/>
      <c r="N1205" s="1779"/>
      <c r="O1205" s="1770"/>
      <c r="P1205" s="1771"/>
      <c r="Q1205" s="1766"/>
      <c r="R1205" s="1766"/>
      <c r="S1205" s="1696"/>
      <c r="T1205" s="1696"/>
      <c r="U1205" s="1772"/>
      <c r="V1205" s="1696"/>
      <c r="W1205" s="1772"/>
      <c r="X1205" s="1696"/>
      <c r="Y1205" s="1696"/>
      <c r="Z1205" s="1773"/>
    </row>
    <row r="1206">
      <c r="A1206" s="1766"/>
      <c r="B1206" s="1780"/>
      <c r="C1206" s="1766"/>
      <c r="D1206" s="1766"/>
      <c r="E1206" s="1766"/>
      <c r="F1206" s="1766"/>
      <c r="G1206" s="1766"/>
      <c r="H1206" s="1766"/>
      <c r="I1206" s="1766"/>
      <c r="J1206" s="1766"/>
      <c r="K1206" s="1766"/>
      <c r="L1206" s="1766"/>
      <c r="M1206" s="1766"/>
      <c r="N1206" s="1781"/>
      <c r="O1206" s="1766"/>
      <c r="P1206" s="1766"/>
      <c r="Q1206" s="1766"/>
      <c r="R1206" s="1766"/>
      <c r="S1206" s="1696"/>
      <c r="T1206" s="1696"/>
      <c r="U1206" s="1772"/>
      <c r="V1206" s="1696"/>
      <c r="W1206" s="1772"/>
      <c r="X1206" s="1696"/>
      <c r="Y1206" s="1696"/>
      <c r="Z1206" s="1773"/>
    </row>
    <row r="1207">
      <c r="A1207" s="1765"/>
      <c r="B1207" s="1782"/>
      <c r="C1207" s="1765"/>
      <c r="D1207" s="1765"/>
      <c r="E1207" s="1765"/>
      <c r="F1207" s="1765"/>
      <c r="G1207" s="1765"/>
      <c r="H1207" s="1765"/>
      <c r="I1207" s="1765"/>
      <c r="J1207" s="1765"/>
      <c r="K1207" s="1765"/>
      <c r="L1207" s="1765"/>
      <c r="M1207" s="1765"/>
      <c r="N1207" s="1765"/>
      <c r="O1207" s="1765"/>
      <c r="P1207" s="1765"/>
      <c r="Q1207" s="1766"/>
      <c r="R1207" s="1766"/>
      <c r="S1207" s="1696"/>
      <c r="T1207" s="1696"/>
      <c r="U1207" s="1772"/>
      <c r="V1207" s="1696"/>
      <c r="W1207" s="1772"/>
      <c r="X1207" s="1696"/>
      <c r="Y1207" s="1696"/>
      <c r="Z1207" s="1773"/>
    </row>
    <row r="1208">
      <c r="A1208" s="1771"/>
      <c r="B1208" s="1777"/>
      <c r="C1208" s="1771"/>
      <c r="D1208" s="1771"/>
      <c r="E1208" s="1771"/>
      <c r="F1208" s="1771"/>
      <c r="G1208" s="1771"/>
      <c r="H1208" s="1771"/>
      <c r="I1208" s="1778"/>
      <c r="J1208" s="1771"/>
      <c r="K1208" s="1771"/>
      <c r="L1208" s="1771"/>
      <c r="M1208" s="1771"/>
      <c r="N1208" s="1779"/>
      <c r="O1208" s="1770"/>
      <c r="P1208" s="1771"/>
      <c r="Q1208" s="1766"/>
      <c r="R1208" s="1766"/>
      <c r="S1208" s="1696"/>
      <c r="T1208" s="1696"/>
      <c r="U1208" s="1772"/>
      <c r="V1208" s="1696"/>
      <c r="W1208" s="1772"/>
      <c r="X1208" s="1696"/>
      <c r="Y1208" s="1696"/>
      <c r="Z1208" s="1773"/>
    </row>
    <row r="1209">
      <c r="A1209" s="1766"/>
      <c r="B1209" s="1780"/>
      <c r="C1209" s="1766"/>
      <c r="D1209" s="1766"/>
      <c r="E1209" s="1766"/>
      <c r="F1209" s="1766"/>
      <c r="G1209" s="1766"/>
      <c r="H1209" s="1766"/>
      <c r="I1209" s="1766"/>
      <c r="J1209" s="1766"/>
      <c r="K1209" s="1766"/>
      <c r="L1209" s="1766"/>
      <c r="M1209" s="1766"/>
      <c r="N1209" s="1781"/>
      <c r="O1209" s="1766"/>
      <c r="P1209" s="1766"/>
      <c r="Q1209" s="1766"/>
      <c r="R1209" s="1766"/>
      <c r="S1209" s="1696"/>
      <c r="T1209" s="1696"/>
      <c r="U1209" s="1772"/>
      <c r="V1209" s="1696"/>
      <c r="W1209" s="1772"/>
      <c r="X1209" s="1696"/>
      <c r="Y1209" s="1696"/>
      <c r="Z1209" s="1773"/>
    </row>
    <row r="1210">
      <c r="A1210" s="1765"/>
      <c r="B1210" s="1782"/>
      <c r="C1210" s="1765"/>
      <c r="D1210" s="1765"/>
      <c r="E1210" s="1765"/>
      <c r="F1210" s="1765"/>
      <c r="G1210" s="1765"/>
      <c r="H1210" s="1765"/>
      <c r="I1210" s="1765"/>
      <c r="J1210" s="1765"/>
      <c r="K1210" s="1765"/>
      <c r="L1210" s="1765"/>
      <c r="M1210" s="1765"/>
      <c r="N1210" s="1765"/>
      <c r="O1210" s="1765"/>
      <c r="P1210" s="1765"/>
      <c r="Q1210" s="1766"/>
      <c r="R1210" s="1766"/>
      <c r="S1210" s="1696"/>
      <c r="T1210" s="1696"/>
      <c r="U1210" s="1772"/>
      <c r="V1210" s="1696"/>
      <c r="W1210" s="1772"/>
      <c r="X1210" s="1696"/>
      <c r="Y1210" s="1696"/>
      <c r="Z1210" s="1773"/>
    </row>
    <row r="1211">
      <c r="A1211" s="1771"/>
      <c r="B1211" s="1777"/>
      <c r="C1211" s="1771"/>
      <c r="D1211" s="1771"/>
      <c r="E1211" s="1771"/>
      <c r="F1211" s="1771"/>
      <c r="G1211" s="1771"/>
      <c r="H1211" s="1771"/>
      <c r="I1211" s="1778"/>
      <c r="J1211" s="1771"/>
      <c r="K1211" s="1771"/>
      <c r="L1211" s="1771"/>
      <c r="M1211" s="1771"/>
      <c r="N1211" s="1779"/>
      <c r="O1211" s="1770"/>
      <c r="P1211" s="1771"/>
      <c r="Q1211" s="1766"/>
      <c r="R1211" s="1766"/>
      <c r="S1211" s="1696"/>
      <c r="T1211" s="1696"/>
      <c r="U1211" s="1772"/>
      <c r="V1211" s="1696"/>
      <c r="W1211" s="1772"/>
      <c r="X1211" s="1696"/>
      <c r="Y1211" s="1696"/>
      <c r="Z1211" s="1773"/>
    </row>
    <row r="1212">
      <c r="A1212" s="1766"/>
      <c r="B1212" s="1780"/>
      <c r="C1212" s="1766"/>
      <c r="D1212" s="1766"/>
      <c r="E1212" s="1766"/>
      <c r="F1212" s="1766"/>
      <c r="G1212" s="1766"/>
      <c r="H1212" s="1766"/>
      <c r="I1212" s="1766"/>
      <c r="J1212" s="1766"/>
      <c r="K1212" s="1766"/>
      <c r="L1212" s="1766"/>
      <c r="M1212" s="1766"/>
      <c r="N1212" s="1781"/>
      <c r="O1212" s="1766"/>
      <c r="P1212" s="1766"/>
      <c r="Q1212" s="1766"/>
      <c r="R1212" s="1766"/>
      <c r="S1212" s="1696"/>
      <c r="T1212" s="1696"/>
      <c r="U1212" s="1772"/>
      <c r="V1212" s="1696"/>
      <c r="W1212" s="1772"/>
      <c r="X1212" s="1696"/>
      <c r="Y1212" s="1696"/>
      <c r="Z1212" s="1773"/>
    </row>
    <row r="1213">
      <c r="A1213" s="1765"/>
      <c r="B1213" s="1782"/>
      <c r="C1213" s="1765"/>
      <c r="D1213" s="1765"/>
      <c r="E1213" s="1765"/>
      <c r="F1213" s="1765"/>
      <c r="G1213" s="1765"/>
      <c r="H1213" s="1765"/>
      <c r="I1213" s="1765"/>
      <c r="J1213" s="1765"/>
      <c r="K1213" s="1765"/>
      <c r="L1213" s="1765"/>
      <c r="M1213" s="1765"/>
      <c r="N1213" s="1765"/>
      <c r="O1213" s="1765"/>
      <c r="P1213" s="1765"/>
      <c r="Q1213" s="1766"/>
      <c r="R1213" s="1766"/>
      <c r="S1213" s="1696"/>
      <c r="T1213" s="1696"/>
      <c r="U1213" s="1772"/>
      <c r="V1213" s="1696"/>
      <c r="W1213" s="1772"/>
      <c r="X1213" s="1696"/>
      <c r="Y1213" s="1696"/>
      <c r="Z1213" s="1773"/>
    </row>
    <row r="1214">
      <c r="A1214" s="1771"/>
      <c r="B1214" s="1777"/>
      <c r="C1214" s="1771"/>
      <c r="D1214" s="1771"/>
      <c r="E1214" s="1771"/>
      <c r="F1214" s="1771"/>
      <c r="G1214" s="1771"/>
      <c r="H1214" s="1771"/>
      <c r="I1214" s="1770"/>
      <c r="J1214" s="1771"/>
      <c r="K1214" s="1771"/>
      <c r="L1214" s="1771"/>
      <c r="M1214" s="1771"/>
      <c r="N1214" s="1779"/>
      <c r="O1214" s="1770"/>
      <c r="P1214" s="1771"/>
      <c r="Q1214" s="1766"/>
      <c r="R1214" s="1766"/>
      <c r="S1214" s="1696"/>
      <c r="T1214" s="1696"/>
      <c r="U1214" s="1772"/>
      <c r="V1214" s="1696"/>
      <c r="W1214" s="1772"/>
      <c r="X1214" s="1696"/>
      <c r="Y1214" s="1696"/>
      <c r="Z1214" s="1773"/>
    </row>
    <row r="1215">
      <c r="A1215" s="1766"/>
      <c r="B1215" s="1780"/>
      <c r="C1215" s="1766"/>
      <c r="D1215" s="1766"/>
      <c r="E1215" s="1766"/>
      <c r="F1215" s="1766"/>
      <c r="G1215" s="1766"/>
      <c r="H1215" s="1766"/>
      <c r="I1215" s="1766"/>
      <c r="J1215" s="1766"/>
      <c r="K1215" s="1766"/>
      <c r="L1215" s="1766"/>
      <c r="M1215" s="1766"/>
      <c r="N1215" s="1781"/>
      <c r="O1215" s="1766"/>
      <c r="P1215" s="1766"/>
      <c r="Q1215" s="1766"/>
      <c r="R1215" s="1766"/>
      <c r="S1215" s="1696"/>
      <c r="T1215" s="1696"/>
      <c r="U1215" s="1772"/>
      <c r="V1215" s="1696"/>
      <c r="W1215" s="1772"/>
      <c r="X1215" s="1696"/>
      <c r="Y1215" s="1696"/>
      <c r="Z1215" s="1773"/>
    </row>
    <row r="1216">
      <c r="A1216" s="1765"/>
      <c r="B1216" s="1782"/>
      <c r="C1216" s="1765"/>
      <c r="D1216" s="1765"/>
      <c r="E1216" s="1765"/>
      <c r="F1216" s="1765"/>
      <c r="G1216" s="1765"/>
      <c r="H1216" s="1765"/>
      <c r="I1216" s="1765"/>
      <c r="J1216" s="1765"/>
      <c r="K1216" s="1765"/>
      <c r="L1216" s="1765"/>
      <c r="M1216" s="1765"/>
      <c r="N1216" s="1765"/>
      <c r="O1216" s="1765"/>
      <c r="P1216" s="1765"/>
      <c r="Q1216" s="1766"/>
      <c r="R1216" s="1766"/>
      <c r="S1216" s="1696"/>
      <c r="T1216" s="1696"/>
      <c r="U1216" s="1772"/>
      <c r="V1216" s="1696"/>
      <c r="W1216" s="1772"/>
      <c r="X1216" s="1696"/>
      <c r="Y1216" s="1696"/>
      <c r="Z1216" s="1773"/>
    </row>
    <row r="1217">
      <c r="A1217" s="1771"/>
      <c r="B1217" s="1777"/>
      <c r="C1217" s="1771"/>
      <c r="D1217" s="1771"/>
      <c r="E1217" s="1770"/>
      <c r="F1217" s="1771"/>
      <c r="G1217" s="1770"/>
      <c r="H1217" s="1771"/>
      <c r="I1217" s="1778"/>
      <c r="J1217" s="1771"/>
      <c r="K1217" s="1771"/>
      <c r="L1217" s="1771"/>
      <c r="M1217" s="1771"/>
      <c r="N1217" s="1779"/>
      <c r="O1217" s="1770"/>
      <c r="P1217" s="1771"/>
      <c r="Q1217" s="1766"/>
      <c r="R1217" s="1766"/>
      <c r="S1217" s="1696"/>
      <c r="T1217" s="1696"/>
      <c r="U1217" s="1772"/>
      <c r="V1217" s="1696"/>
      <c r="W1217" s="1772"/>
      <c r="X1217" s="1696"/>
      <c r="Y1217" s="1696"/>
      <c r="Z1217" s="1773"/>
    </row>
    <row r="1218">
      <c r="A1218" s="1766"/>
      <c r="B1218" s="1780"/>
      <c r="C1218" s="1766"/>
      <c r="D1218" s="1766"/>
      <c r="E1218" s="1766"/>
      <c r="F1218" s="1766"/>
      <c r="G1218" s="1766"/>
      <c r="H1218" s="1766"/>
      <c r="I1218" s="1766"/>
      <c r="J1218" s="1766"/>
      <c r="K1218" s="1766"/>
      <c r="L1218" s="1766"/>
      <c r="M1218" s="1766"/>
      <c r="N1218" s="1781"/>
      <c r="O1218" s="1766"/>
      <c r="P1218" s="1766"/>
      <c r="Q1218" s="1766"/>
      <c r="R1218" s="1766"/>
      <c r="S1218" s="1696"/>
      <c r="T1218" s="1696"/>
      <c r="U1218" s="1772"/>
      <c r="V1218" s="1696"/>
      <c r="W1218" s="1772"/>
      <c r="X1218" s="1696"/>
      <c r="Y1218" s="1696"/>
      <c r="Z1218" s="1773"/>
    </row>
    <row r="1219">
      <c r="A1219" s="1765"/>
      <c r="B1219" s="1782"/>
      <c r="C1219" s="1765"/>
      <c r="D1219" s="1765"/>
      <c r="E1219" s="1765"/>
      <c r="F1219" s="1765"/>
      <c r="G1219" s="1765"/>
      <c r="H1219" s="1765"/>
      <c r="I1219" s="1765"/>
      <c r="J1219" s="1765"/>
      <c r="K1219" s="1765"/>
      <c r="L1219" s="1765"/>
      <c r="M1219" s="1765"/>
      <c r="N1219" s="1765"/>
      <c r="O1219" s="1765"/>
      <c r="P1219" s="1765"/>
      <c r="Q1219" s="1766"/>
      <c r="R1219" s="1766"/>
      <c r="S1219" s="1696"/>
      <c r="T1219" s="1696"/>
      <c r="U1219" s="1772"/>
      <c r="V1219" s="1696"/>
      <c r="W1219" s="1772"/>
      <c r="X1219" s="1696"/>
      <c r="Y1219" s="1696"/>
      <c r="Z1219" s="1773"/>
    </row>
    <row r="1220">
      <c r="A1220" s="1771"/>
      <c r="B1220" s="1777"/>
      <c r="C1220" s="1771"/>
      <c r="D1220" s="1771"/>
      <c r="E1220" s="1771"/>
      <c r="F1220" s="1771"/>
      <c r="G1220" s="1770"/>
      <c r="H1220" s="1771"/>
      <c r="I1220" s="1770"/>
      <c r="J1220" s="1771"/>
      <c r="K1220" s="1771"/>
      <c r="L1220" s="1771"/>
      <c r="M1220" s="1771"/>
      <c r="N1220" s="1779"/>
      <c r="O1220" s="1770"/>
      <c r="P1220" s="1771"/>
      <c r="Q1220" s="1766"/>
      <c r="R1220" s="1766"/>
      <c r="S1220" s="1696"/>
      <c r="T1220" s="1696"/>
      <c r="U1220" s="1772"/>
      <c r="V1220" s="1696"/>
      <c r="W1220" s="1772"/>
      <c r="X1220" s="1696"/>
      <c r="Y1220" s="1696"/>
      <c r="Z1220" s="1773"/>
    </row>
    <row r="1221">
      <c r="A1221" s="1766"/>
      <c r="B1221" s="1780"/>
      <c r="C1221" s="1766"/>
      <c r="D1221" s="1766"/>
      <c r="E1221" s="1766"/>
      <c r="F1221" s="1766"/>
      <c r="G1221" s="1766"/>
      <c r="H1221" s="1766"/>
      <c r="I1221" s="1766"/>
      <c r="J1221" s="1766"/>
      <c r="K1221" s="1766"/>
      <c r="L1221" s="1766"/>
      <c r="M1221" s="1766"/>
      <c r="N1221" s="1781"/>
      <c r="O1221" s="1766"/>
      <c r="P1221" s="1766"/>
      <c r="Q1221" s="1766"/>
      <c r="R1221" s="1766"/>
      <c r="S1221" s="1696"/>
      <c r="T1221" s="1696"/>
      <c r="U1221" s="1772"/>
      <c r="V1221" s="1696"/>
      <c r="W1221" s="1772"/>
      <c r="X1221" s="1696"/>
      <c r="Y1221" s="1696"/>
      <c r="Z1221" s="1773"/>
    </row>
    <row r="1222">
      <c r="A1222" s="1765"/>
      <c r="B1222" s="1782"/>
      <c r="C1222" s="1765"/>
      <c r="D1222" s="1765"/>
      <c r="E1222" s="1765"/>
      <c r="F1222" s="1765"/>
      <c r="G1222" s="1765"/>
      <c r="H1222" s="1765"/>
      <c r="I1222" s="1765"/>
      <c r="J1222" s="1765"/>
      <c r="K1222" s="1765"/>
      <c r="L1222" s="1765"/>
      <c r="M1222" s="1765"/>
      <c r="N1222" s="1765"/>
      <c r="O1222" s="1765"/>
      <c r="P1222" s="1765"/>
      <c r="Q1222" s="1766"/>
      <c r="R1222" s="1766"/>
      <c r="S1222" s="1696"/>
      <c r="T1222" s="1696"/>
      <c r="U1222" s="1772"/>
      <c r="V1222" s="1696"/>
      <c r="W1222" s="1772"/>
      <c r="X1222" s="1696"/>
      <c r="Y1222" s="1696"/>
      <c r="Z1222" s="1773"/>
    </row>
    <row r="1223">
      <c r="A1223" s="1771"/>
      <c r="B1223" s="1777"/>
      <c r="C1223" s="1771"/>
      <c r="D1223" s="1771"/>
      <c r="E1223" s="1771"/>
      <c r="F1223" s="1771"/>
      <c r="G1223" s="1770"/>
      <c r="H1223" s="1771"/>
      <c r="I1223" s="1770"/>
      <c r="J1223" s="1771"/>
      <c r="K1223" s="1771"/>
      <c r="L1223" s="1771"/>
      <c r="M1223" s="1771"/>
      <c r="N1223" s="1779"/>
      <c r="O1223" s="1770"/>
      <c r="P1223" s="1771"/>
      <c r="Q1223" s="1766"/>
      <c r="R1223" s="1766"/>
      <c r="S1223" s="1696"/>
      <c r="T1223" s="1696"/>
      <c r="U1223" s="1772"/>
      <c r="V1223" s="1696"/>
      <c r="W1223" s="1772"/>
      <c r="X1223" s="1696"/>
      <c r="Y1223" s="1696"/>
      <c r="Z1223" s="1773"/>
    </row>
    <row r="1224">
      <c r="A1224" s="1766"/>
      <c r="B1224" s="1780"/>
      <c r="C1224" s="1766"/>
      <c r="D1224" s="1766"/>
      <c r="E1224" s="1766"/>
      <c r="F1224" s="1766"/>
      <c r="G1224" s="1766"/>
      <c r="H1224" s="1766"/>
      <c r="I1224" s="1766"/>
      <c r="J1224" s="1766"/>
      <c r="K1224" s="1766"/>
      <c r="L1224" s="1766"/>
      <c r="M1224" s="1766"/>
      <c r="N1224" s="1781"/>
      <c r="O1224" s="1766"/>
      <c r="P1224" s="1766"/>
      <c r="Q1224" s="1766"/>
      <c r="R1224" s="1766"/>
      <c r="S1224" s="1696"/>
      <c r="T1224" s="1696"/>
      <c r="U1224" s="1772"/>
      <c r="V1224" s="1696"/>
      <c r="W1224" s="1772"/>
      <c r="X1224" s="1696"/>
      <c r="Y1224" s="1696"/>
      <c r="Z1224" s="1773"/>
    </row>
    <row r="1225">
      <c r="A1225" s="1765"/>
      <c r="B1225" s="1782"/>
      <c r="C1225" s="1765"/>
      <c r="D1225" s="1765"/>
      <c r="E1225" s="1765"/>
      <c r="F1225" s="1765"/>
      <c r="G1225" s="1765"/>
      <c r="H1225" s="1765"/>
      <c r="I1225" s="1765"/>
      <c r="J1225" s="1765"/>
      <c r="K1225" s="1765"/>
      <c r="L1225" s="1765"/>
      <c r="M1225" s="1765"/>
      <c r="N1225" s="1765"/>
      <c r="O1225" s="1765"/>
      <c r="P1225" s="1765"/>
      <c r="Q1225" s="1766"/>
      <c r="R1225" s="1766"/>
      <c r="S1225" s="1696"/>
      <c r="T1225" s="1696"/>
      <c r="U1225" s="1772"/>
      <c r="V1225" s="1696"/>
      <c r="W1225" s="1772"/>
      <c r="X1225" s="1696"/>
      <c r="Y1225" s="1696"/>
      <c r="Z1225" s="1773"/>
    </row>
    <row r="1226">
      <c r="A1226" s="1771"/>
      <c r="B1226" s="1777"/>
      <c r="C1226" s="1771"/>
      <c r="D1226" s="1771"/>
      <c r="E1226" s="1771"/>
      <c r="F1226" s="1771"/>
      <c r="G1226" s="1770"/>
      <c r="H1226" s="1771"/>
      <c r="I1226" s="1770"/>
      <c r="J1226" s="1771"/>
      <c r="K1226" s="1771"/>
      <c r="L1226" s="1771"/>
      <c r="M1226" s="1771"/>
      <c r="N1226" s="1779"/>
      <c r="O1226" s="1770"/>
      <c r="P1226" s="1771"/>
      <c r="Q1226" s="1766"/>
      <c r="R1226" s="1766"/>
      <c r="S1226" s="1696"/>
      <c r="T1226" s="1696"/>
      <c r="U1226" s="1772"/>
      <c r="V1226" s="1696"/>
      <c r="W1226" s="1772"/>
      <c r="X1226" s="1696"/>
      <c r="Y1226" s="1696"/>
      <c r="Z1226" s="1773"/>
    </row>
    <row r="1227">
      <c r="A1227" s="1766"/>
      <c r="B1227" s="1780"/>
      <c r="C1227" s="1766"/>
      <c r="D1227" s="1766"/>
      <c r="E1227" s="1766"/>
      <c r="F1227" s="1766"/>
      <c r="G1227" s="1766"/>
      <c r="H1227" s="1766"/>
      <c r="I1227" s="1766"/>
      <c r="J1227" s="1766"/>
      <c r="K1227" s="1766"/>
      <c r="L1227" s="1766"/>
      <c r="M1227" s="1766"/>
      <c r="N1227" s="1781"/>
      <c r="O1227" s="1766"/>
      <c r="P1227" s="1766"/>
      <c r="Q1227" s="1766"/>
      <c r="R1227" s="1766"/>
      <c r="S1227" s="1696"/>
      <c r="T1227" s="1696"/>
      <c r="U1227" s="1772"/>
      <c r="V1227" s="1696"/>
      <c r="W1227" s="1772"/>
      <c r="X1227" s="1696"/>
      <c r="Y1227" s="1696"/>
      <c r="Z1227" s="1773"/>
    </row>
    <row r="1228">
      <c r="A1228" s="1765"/>
      <c r="B1228" s="1782"/>
      <c r="C1228" s="1765"/>
      <c r="D1228" s="1765"/>
      <c r="E1228" s="1765"/>
      <c r="F1228" s="1765"/>
      <c r="G1228" s="1765"/>
      <c r="H1228" s="1765"/>
      <c r="I1228" s="1765"/>
      <c r="J1228" s="1765"/>
      <c r="K1228" s="1765"/>
      <c r="L1228" s="1765"/>
      <c r="M1228" s="1765"/>
      <c r="N1228" s="1765"/>
      <c r="O1228" s="1765"/>
      <c r="P1228" s="1765"/>
      <c r="Q1228" s="1766"/>
      <c r="R1228" s="1766"/>
      <c r="S1228" s="1696"/>
      <c r="T1228" s="1696"/>
      <c r="U1228" s="1772"/>
      <c r="V1228" s="1696"/>
      <c r="W1228" s="1772"/>
      <c r="X1228" s="1696"/>
      <c r="Y1228" s="1696"/>
      <c r="Z1228" s="1773"/>
    </row>
    <row r="1229">
      <c r="A1229" s="1771"/>
      <c r="B1229" s="1777"/>
      <c r="C1229" s="1771"/>
      <c r="D1229" s="1771"/>
      <c r="E1229" s="1771"/>
      <c r="F1229" s="1771"/>
      <c r="G1229" s="1770"/>
      <c r="H1229" s="1771"/>
      <c r="I1229" s="1770"/>
      <c r="J1229" s="1771"/>
      <c r="K1229" s="1771"/>
      <c r="L1229" s="1771"/>
      <c r="M1229" s="1771"/>
      <c r="N1229" s="1779"/>
      <c r="O1229" s="1770"/>
      <c r="P1229" s="1771"/>
      <c r="Q1229" s="1766"/>
      <c r="R1229" s="1766"/>
      <c r="S1229" s="1696"/>
      <c r="T1229" s="1696"/>
      <c r="U1229" s="1772"/>
      <c r="V1229" s="1696"/>
      <c r="W1229" s="1772"/>
      <c r="X1229" s="1696"/>
      <c r="Y1229" s="1696"/>
      <c r="Z1229" s="1773"/>
    </row>
    <row r="1230">
      <c r="A1230" s="1766"/>
      <c r="B1230" s="1780"/>
      <c r="C1230" s="1766"/>
      <c r="D1230" s="1766"/>
      <c r="E1230" s="1766"/>
      <c r="F1230" s="1766"/>
      <c r="G1230" s="1766"/>
      <c r="H1230" s="1766"/>
      <c r="I1230" s="1766"/>
      <c r="J1230" s="1766"/>
      <c r="K1230" s="1766"/>
      <c r="L1230" s="1766"/>
      <c r="M1230" s="1766"/>
      <c r="N1230" s="1781"/>
      <c r="O1230" s="1766"/>
      <c r="P1230" s="1766"/>
      <c r="Q1230" s="1766"/>
      <c r="R1230" s="1766"/>
      <c r="S1230" s="1696"/>
      <c r="T1230" s="1696"/>
      <c r="U1230" s="1772"/>
      <c r="V1230" s="1696"/>
      <c r="W1230" s="1772"/>
      <c r="X1230" s="1696"/>
      <c r="Y1230" s="1696"/>
      <c r="Z1230" s="1773"/>
    </row>
    <row r="1231">
      <c r="A1231" s="1765"/>
      <c r="B1231" s="1782"/>
      <c r="C1231" s="1765"/>
      <c r="D1231" s="1765"/>
      <c r="E1231" s="1765"/>
      <c r="F1231" s="1765"/>
      <c r="G1231" s="1765"/>
      <c r="H1231" s="1765"/>
      <c r="I1231" s="1765"/>
      <c r="J1231" s="1765"/>
      <c r="K1231" s="1765"/>
      <c r="L1231" s="1765"/>
      <c r="M1231" s="1765"/>
      <c r="N1231" s="1765"/>
      <c r="O1231" s="1765"/>
      <c r="P1231" s="1765"/>
      <c r="Q1231" s="1766"/>
      <c r="R1231" s="1766"/>
      <c r="S1231" s="1696"/>
      <c r="T1231" s="1696"/>
      <c r="U1231" s="1772"/>
      <c r="V1231" s="1696"/>
      <c r="W1231" s="1772"/>
      <c r="X1231" s="1696"/>
      <c r="Y1231" s="1696"/>
      <c r="Z1231" s="1773"/>
    </row>
    <row r="1232">
      <c r="A1232" s="1771"/>
      <c r="B1232" s="1777"/>
      <c r="C1232" s="1771"/>
      <c r="D1232" s="1771"/>
      <c r="E1232" s="1771"/>
      <c r="F1232" s="1771"/>
      <c r="G1232" s="1770"/>
      <c r="H1232" s="1771"/>
      <c r="I1232" s="1770"/>
      <c r="J1232" s="1771"/>
      <c r="K1232" s="1771"/>
      <c r="L1232" s="1771"/>
      <c r="M1232" s="1771"/>
      <c r="N1232" s="1779"/>
      <c r="O1232" s="1770"/>
      <c r="P1232" s="1771"/>
      <c r="Q1232" s="1766"/>
      <c r="R1232" s="1766"/>
      <c r="S1232" s="1696"/>
      <c r="T1232" s="1696"/>
      <c r="U1232" s="1772"/>
      <c r="V1232" s="1696"/>
      <c r="W1232" s="1772"/>
      <c r="X1232" s="1696"/>
      <c r="Y1232" s="1696"/>
      <c r="Z1232" s="1773"/>
    </row>
    <row r="1233">
      <c r="A1233" s="1766"/>
      <c r="B1233" s="1780"/>
      <c r="C1233" s="1766"/>
      <c r="D1233" s="1766"/>
      <c r="E1233" s="1766"/>
      <c r="F1233" s="1766"/>
      <c r="G1233" s="1766"/>
      <c r="H1233" s="1766"/>
      <c r="I1233" s="1766"/>
      <c r="J1233" s="1766"/>
      <c r="K1233" s="1766"/>
      <c r="L1233" s="1766"/>
      <c r="M1233" s="1766"/>
      <c r="N1233" s="1781"/>
      <c r="O1233" s="1766"/>
      <c r="P1233" s="1766"/>
      <c r="Q1233" s="1766"/>
      <c r="R1233" s="1766"/>
      <c r="S1233" s="1696"/>
      <c r="T1233" s="1696"/>
      <c r="U1233" s="1772"/>
      <c r="V1233" s="1696"/>
      <c r="W1233" s="1772"/>
      <c r="X1233" s="1696"/>
      <c r="Y1233" s="1696"/>
      <c r="Z1233" s="1773"/>
    </row>
    <row r="1234">
      <c r="A1234" s="1765"/>
      <c r="B1234" s="1782"/>
      <c r="C1234" s="1765"/>
      <c r="D1234" s="1765"/>
      <c r="E1234" s="1765"/>
      <c r="F1234" s="1765"/>
      <c r="G1234" s="1765"/>
      <c r="H1234" s="1765"/>
      <c r="I1234" s="1765"/>
      <c r="J1234" s="1765"/>
      <c r="K1234" s="1765"/>
      <c r="L1234" s="1765"/>
      <c r="M1234" s="1765"/>
      <c r="N1234" s="1765"/>
      <c r="O1234" s="1765"/>
      <c r="P1234" s="1765"/>
      <c r="Q1234" s="1766"/>
      <c r="R1234" s="1766"/>
      <c r="S1234" s="1696"/>
      <c r="T1234" s="1696"/>
      <c r="U1234" s="1772"/>
      <c r="V1234" s="1696"/>
      <c r="W1234" s="1772"/>
      <c r="X1234" s="1696"/>
      <c r="Y1234" s="1696"/>
      <c r="Z1234" s="1773"/>
    </row>
    <row r="1235">
      <c r="A1235" s="1771"/>
      <c r="B1235" s="1777"/>
      <c r="C1235" s="1771"/>
      <c r="D1235" s="1771"/>
      <c r="E1235" s="1771"/>
      <c r="F1235" s="1771"/>
      <c r="G1235" s="1770"/>
      <c r="H1235" s="1771"/>
      <c r="I1235" s="1770"/>
      <c r="J1235" s="1771"/>
      <c r="K1235" s="1771"/>
      <c r="L1235" s="1771"/>
      <c r="M1235" s="1771"/>
      <c r="N1235" s="1779"/>
      <c r="O1235" s="1770"/>
      <c r="P1235" s="1771"/>
      <c r="Q1235" s="1766"/>
      <c r="R1235" s="1766"/>
      <c r="S1235" s="1696"/>
      <c r="T1235" s="1696"/>
      <c r="U1235" s="1772"/>
      <c r="V1235" s="1696"/>
      <c r="W1235" s="1772"/>
      <c r="X1235" s="1696"/>
      <c r="Y1235" s="1696"/>
      <c r="Z1235" s="1773"/>
    </row>
    <row r="1236">
      <c r="A1236" s="1766"/>
      <c r="B1236" s="1780"/>
      <c r="C1236" s="1766"/>
      <c r="D1236" s="1766"/>
      <c r="E1236" s="1766"/>
      <c r="F1236" s="1766"/>
      <c r="G1236" s="1766"/>
      <c r="H1236" s="1766"/>
      <c r="I1236" s="1766"/>
      <c r="J1236" s="1766"/>
      <c r="K1236" s="1766"/>
      <c r="L1236" s="1766"/>
      <c r="M1236" s="1766"/>
      <c r="N1236" s="1781"/>
      <c r="O1236" s="1766"/>
      <c r="P1236" s="1766"/>
      <c r="Q1236" s="1766"/>
      <c r="R1236" s="1766"/>
      <c r="S1236" s="1696"/>
      <c r="T1236" s="1696"/>
      <c r="U1236" s="1772"/>
      <c r="V1236" s="1696"/>
      <c r="W1236" s="1772"/>
      <c r="X1236" s="1696"/>
      <c r="Y1236" s="1696"/>
      <c r="Z1236" s="1773"/>
    </row>
    <row r="1237">
      <c r="A1237" s="1765"/>
      <c r="B1237" s="1782"/>
      <c r="C1237" s="1765"/>
      <c r="D1237" s="1765"/>
      <c r="E1237" s="1765"/>
      <c r="F1237" s="1765"/>
      <c r="G1237" s="1765"/>
      <c r="H1237" s="1765"/>
      <c r="I1237" s="1765"/>
      <c r="J1237" s="1765"/>
      <c r="K1237" s="1765"/>
      <c r="L1237" s="1765"/>
      <c r="M1237" s="1765"/>
      <c r="N1237" s="1765"/>
      <c r="O1237" s="1765"/>
      <c r="P1237" s="1765"/>
      <c r="Q1237" s="1766"/>
      <c r="R1237" s="1766"/>
      <c r="S1237" s="1696"/>
      <c r="T1237" s="1696"/>
      <c r="U1237" s="1772"/>
      <c r="V1237" s="1696"/>
      <c r="W1237" s="1772"/>
      <c r="X1237" s="1696"/>
      <c r="Y1237" s="1696"/>
      <c r="Z1237" s="1773"/>
    </row>
    <row r="1238">
      <c r="A1238" s="1771"/>
      <c r="B1238" s="1777"/>
      <c r="C1238" s="1771"/>
      <c r="D1238" s="1771"/>
      <c r="E1238" s="1771"/>
      <c r="F1238" s="1771"/>
      <c r="G1238" s="1770"/>
      <c r="H1238" s="1771"/>
      <c r="I1238" s="1770"/>
      <c r="J1238" s="1771"/>
      <c r="K1238" s="1771"/>
      <c r="L1238" s="1771"/>
      <c r="M1238" s="1771"/>
      <c r="N1238" s="1779"/>
      <c r="O1238" s="1770"/>
      <c r="P1238" s="1771"/>
      <c r="Q1238" s="1766"/>
      <c r="R1238" s="1766"/>
      <c r="S1238" s="1696"/>
      <c r="T1238" s="1696"/>
      <c r="U1238" s="1772"/>
      <c r="V1238" s="1696"/>
      <c r="W1238" s="1772"/>
      <c r="X1238" s="1696"/>
      <c r="Y1238" s="1696"/>
      <c r="Z1238" s="1773"/>
    </row>
    <row r="1239">
      <c r="A1239" s="1766"/>
      <c r="B1239" s="1780"/>
      <c r="C1239" s="1766"/>
      <c r="D1239" s="1766"/>
      <c r="E1239" s="1766"/>
      <c r="F1239" s="1766"/>
      <c r="G1239" s="1766"/>
      <c r="H1239" s="1766"/>
      <c r="I1239" s="1766"/>
      <c r="J1239" s="1766"/>
      <c r="K1239" s="1766"/>
      <c r="L1239" s="1766"/>
      <c r="M1239" s="1766"/>
      <c r="N1239" s="1781"/>
      <c r="O1239" s="1766"/>
      <c r="P1239" s="1766"/>
      <c r="Q1239" s="1766"/>
      <c r="R1239" s="1766"/>
      <c r="S1239" s="1696"/>
      <c r="T1239" s="1696"/>
      <c r="U1239" s="1772"/>
      <c r="V1239" s="1696"/>
      <c r="W1239" s="1772"/>
      <c r="X1239" s="1696"/>
      <c r="Y1239" s="1696"/>
      <c r="Z1239" s="1773"/>
    </row>
    <row r="1240">
      <c r="A1240" s="1765"/>
      <c r="B1240" s="1782"/>
      <c r="C1240" s="1765"/>
      <c r="D1240" s="1765"/>
      <c r="E1240" s="1765"/>
      <c r="F1240" s="1765"/>
      <c r="G1240" s="1765"/>
      <c r="H1240" s="1765"/>
      <c r="I1240" s="1765"/>
      <c r="J1240" s="1765"/>
      <c r="K1240" s="1765"/>
      <c r="L1240" s="1765"/>
      <c r="M1240" s="1765"/>
      <c r="N1240" s="1765"/>
      <c r="O1240" s="1765"/>
      <c r="P1240" s="1765"/>
      <c r="Q1240" s="1766"/>
      <c r="R1240" s="1766"/>
      <c r="S1240" s="1696"/>
      <c r="T1240" s="1696"/>
      <c r="U1240" s="1772"/>
      <c r="V1240" s="1696"/>
      <c r="W1240" s="1772"/>
      <c r="X1240" s="1696"/>
      <c r="Y1240" s="1696"/>
      <c r="Z1240" s="1773"/>
    </row>
    <row r="1241">
      <c r="A1241" s="1771"/>
      <c r="B1241" s="1777"/>
      <c r="C1241" s="1771"/>
      <c r="D1241" s="1771"/>
      <c r="E1241" s="1771"/>
      <c r="F1241" s="1771"/>
      <c r="G1241" s="1771"/>
      <c r="H1241" s="1771"/>
      <c r="I1241" s="1778"/>
      <c r="J1241" s="1771"/>
      <c r="K1241" s="1771"/>
      <c r="L1241" s="1771"/>
      <c r="M1241" s="1771"/>
      <c r="N1241" s="1779"/>
      <c r="O1241" s="1770"/>
      <c r="P1241" s="1771"/>
      <c r="Q1241" s="1766"/>
      <c r="R1241" s="1766"/>
      <c r="S1241" s="1696"/>
      <c r="T1241" s="1696"/>
      <c r="U1241" s="1772"/>
      <c r="V1241" s="1696"/>
      <c r="W1241" s="1772"/>
      <c r="X1241" s="1696"/>
      <c r="Y1241" s="1696"/>
      <c r="Z1241" s="1773"/>
    </row>
    <row r="1242">
      <c r="A1242" s="1766"/>
      <c r="B1242" s="1780"/>
      <c r="C1242" s="1766"/>
      <c r="D1242" s="1766"/>
      <c r="E1242" s="1766"/>
      <c r="F1242" s="1766"/>
      <c r="G1242" s="1766"/>
      <c r="H1242" s="1766"/>
      <c r="I1242" s="1766"/>
      <c r="J1242" s="1766"/>
      <c r="K1242" s="1766"/>
      <c r="L1242" s="1766"/>
      <c r="M1242" s="1766"/>
      <c r="N1242" s="1781"/>
      <c r="O1242" s="1766"/>
      <c r="P1242" s="1766"/>
      <c r="Q1242" s="1766"/>
      <c r="R1242" s="1766"/>
      <c r="S1242" s="1696"/>
      <c r="T1242" s="1696"/>
      <c r="U1242" s="1772"/>
      <c r="V1242" s="1696"/>
      <c r="W1242" s="1772"/>
      <c r="X1242" s="1696"/>
      <c r="Y1242" s="1696"/>
      <c r="Z1242" s="1773"/>
    </row>
    <row r="1243">
      <c r="A1243" s="1765"/>
      <c r="B1243" s="1782"/>
      <c r="C1243" s="1765"/>
      <c r="D1243" s="1765"/>
      <c r="E1243" s="1765"/>
      <c r="F1243" s="1765"/>
      <c r="G1243" s="1765"/>
      <c r="H1243" s="1765"/>
      <c r="I1243" s="1765"/>
      <c r="J1243" s="1765"/>
      <c r="K1243" s="1765"/>
      <c r="L1243" s="1765"/>
      <c r="M1243" s="1765"/>
      <c r="N1243" s="1765"/>
      <c r="O1243" s="1765"/>
      <c r="P1243" s="1765"/>
      <c r="Q1243" s="1766"/>
      <c r="R1243" s="1766"/>
      <c r="S1243" s="1696"/>
      <c r="T1243" s="1696"/>
      <c r="U1243" s="1772"/>
      <c r="V1243" s="1696"/>
      <c r="W1243" s="1772"/>
      <c r="X1243" s="1696"/>
      <c r="Y1243" s="1696"/>
      <c r="Z1243" s="1773"/>
    </row>
    <row r="1244">
      <c r="A1244" s="1771"/>
      <c r="B1244" s="1777"/>
      <c r="C1244" s="1771"/>
      <c r="D1244" s="1771"/>
      <c r="E1244" s="1771"/>
      <c r="F1244" s="1771"/>
      <c r="G1244" s="1777"/>
      <c r="H1244" s="1771"/>
      <c r="I1244" s="1778"/>
      <c r="J1244" s="1771"/>
      <c r="K1244" s="1771"/>
      <c r="L1244" s="1771"/>
      <c r="M1244" s="1771"/>
      <c r="N1244" s="1779"/>
      <c r="O1244" s="1770"/>
      <c r="P1244" s="1771"/>
      <c r="Q1244" s="1766"/>
      <c r="R1244" s="1766"/>
      <c r="S1244" s="1696"/>
      <c r="T1244" s="1696"/>
      <c r="U1244" s="1772"/>
      <c r="V1244" s="1696"/>
      <c r="W1244" s="1772"/>
      <c r="X1244" s="1696"/>
      <c r="Y1244" s="1696"/>
      <c r="Z1244" s="1773"/>
    </row>
    <row r="1245">
      <c r="A1245" s="1766"/>
      <c r="B1245" s="1780"/>
      <c r="C1245" s="1766"/>
      <c r="D1245" s="1766"/>
      <c r="E1245" s="1766"/>
      <c r="F1245" s="1766"/>
      <c r="G1245" s="1766"/>
      <c r="H1245" s="1766"/>
      <c r="I1245" s="1766"/>
      <c r="J1245" s="1766"/>
      <c r="K1245" s="1766"/>
      <c r="L1245" s="1766"/>
      <c r="M1245" s="1766"/>
      <c r="N1245" s="1781"/>
      <c r="O1245" s="1766"/>
      <c r="P1245" s="1766"/>
      <c r="Q1245" s="1766"/>
      <c r="R1245" s="1766"/>
      <c r="S1245" s="1696"/>
      <c r="T1245" s="1696"/>
      <c r="U1245" s="1772"/>
      <c r="V1245" s="1696"/>
      <c r="W1245" s="1772"/>
      <c r="X1245" s="1696"/>
      <c r="Y1245" s="1696"/>
      <c r="Z1245" s="1773"/>
    </row>
    <row r="1246">
      <c r="A1246" s="1765"/>
      <c r="B1246" s="1782"/>
      <c r="C1246" s="1765"/>
      <c r="D1246" s="1765"/>
      <c r="E1246" s="1765"/>
      <c r="F1246" s="1765"/>
      <c r="G1246" s="1765"/>
      <c r="H1246" s="1765"/>
      <c r="I1246" s="1765"/>
      <c r="J1246" s="1765"/>
      <c r="K1246" s="1765"/>
      <c r="L1246" s="1765"/>
      <c r="M1246" s="1765"/>
      <c r="N1246" s="1765"/>
      <c r="O1246" s="1765"/>
      <c r="P1246" s="1765"/>
      <c r="Q1246" s="1766"/>
      <c r="R1246" s="1766"/>
      <c r="S1246" s="1696"/>
      <c r="T1246" s="1696"/>
      <c r="U1246" s="1772"/>
      <c r="V1246" s="1696"/>
      <c r="W1246" s="1772"/>
      <c r="X1246" s="1696"/>
      <c r="Y1246" s="1696"/>
      <c r="Z1246" s="1773"/>
    </row>
    <row r="1247">
      <c r="A1247" s="1771"/>
      <c r="B1247" s="1777"/>
      <c r="C1247" s="1771"/>
      <c r="D1247" s="1771"/>
      <c r="E1247" s="1771"/>
      <c r="F1247" s="1771"/>
      <c r="G1247" s="1771"/>
      <c r="H1247" s="1771"/>
      <c r="I1247" s="1778"/>
      <c r="J1247" s="1771"/>
      <c r="K1247" s="1771"/>
      <c r="L1247" s="1771"/>
      <c r="M1247" s="1771"/>
      <c r="N1247" s="1779"/>
      <c r="O1247" s="1770"/>
      <c r="P1247" s="1771"/>
      <c r="Q1247" s="1766"/>
      <c r="R1247" s="1766"/>
      <c r="S1247" s="1696"/>
      <c r="T1247" s="1696"/>
      <c r="U1247" s="1772"/>
      <c r="V1247" s="1696"/>
      <c r="W1247" s="1772"/>
      <c r="X1247" s="1696"/>
      <c r="Y1247" s="1696"/>
      <c r="Z1247" s="1773"/>
    </row>
    <row r="1248">
      <c r="A1248" s="1766"/>
      <c r="B1248" s="1780"/>
      <c r="C1248" s="1766"/>
      <c r="D1248" s="1766"/>
      <c r="E1248" s="1766"/>
      <c r="F1248" s="1766"/>
      <c r="G1248" s="1766"/>
      <c r="H1248" s="1766"/>
      <c r="I1248" s="1766"/>
      <c r="J1248" s="1766"/>
      <c r="K1248" s="1766"/>
      <c r="L1248" s="1766"/>
      <c r="M1248" s="1766"/>
      <c r="N1248" s="1781"/>
      <c r="O1248" s="1766"/>
      <c r="P1248" s="1766"/>
      <c r="Q1248" s="1766"/>
      <c r="R1248" s="1766"/>
      <c r="S1248" s="1696"/>
      <c r="T1248" s="1696"/>
      <c r="U1248" s="1772"/>
      <c r="V1248" s="1696"/>
      <c r="W1248" s="1772"/>
      <c r="X1248" s="1696"/>
      <c r="Y1248" s="1696"/>
      <c r="Z1248" s="1773"/>
    </row>
    <row r="1249">
      <c r="A1249" s="1765"/>
      <c r="B1249" s="1782"/>
      <c r="C1249" s="1765"/>
      <c r="D1249" s="1765"/>
      <c r="E1249" s="1765"/>
      <c r="F1249" s="1765"/>
      <c r="G1249" s="1765"/>
      <c r="H1249" s="1765"/>
      <c r="I1249" s="1765"/>
      <c r="J1249" s="1765"/>
      <c r="K1249" s="1765"/>
      <c r="L1249" s="1765"/>
      <c r="M1249" s="1765"/>
      <c r="N1249" s="1765"/>
      <c r="O1249" s="1765"/>
      <c r="P1249" s="1765"/>
      <c r="Q1249" s="1766"/>
      <c r="R1249" s="1766"/>
      <c r="S1249" s="1696"/>
      <c r="T1249" s="1696"/>
      <c r="U1249" s="1772"/>
      <c r="V1249" s="1696"/>
      <c r="W1249" s="1772"/>
      <c r="X1249" s="1696"/>
      <c r="Y1249" s="1696"/>
      <c r="Z1249" s="1773"/>
    </row>
    <row r="1250">
      <c r="A1250" s="1771"/>
      <c r="B1250" s="1777"/>
      <c r="C1250" s="1771"/>
      <c r="D1250" s="1771"/>
      <c r="E1250" s="1771"/>
      <c r="F1250" s="1771"/>
      <c r="G1250" s="1770"/>
      <c r="H1250" s="1771"/>
      <c r="I1250" s="1778"/>
      <c r="J1250" s="1771"/>
      <c r="K1250" s="1771"/>
      <c r="L1250" s="1771"/>
      <c r="M1250" s="1771"/>
      <c r="N1250" s="1779"/>
      <c r="O1250" s="1770"/>
      <c r="P1250" s="1771"/>
      <c r="Q1250" s="1766"/>
      <c r="R1250" s="1766"/>
      <c r="S1250" s="1696"/>
      <c r="T1250" s="1696"/>
      <c r="U1250" s="1772"/>
      <c r="V1250" s="1696"/>
      <c r="W1250" s="1772"/>
      <c r="X1250" s="1696"/>
      <c r="Y1250" s="1696"/>
      <c r="Z1250" s="1773"/>
    </row>
    <row r="1251">
      <c r="A1251" s="1766"/>
      <c r="B1251" s="1780"/>
      <c r="C1251" s="1766"/>
      <c r="D1251" s="1766"/>
      <c r="E1251" s="1766"/>
      <c r="F1251" s="1766"/>
      <c r="G1251" s="1766"/>
      <c r="H1251" s="1766"/>
      <c r="I1251" s="1766"/>
      <c r="J1251" s="1766"/>
      <c r="K1251" s="1766"/>
      <c r="L1251" s="1766"/>
      <c r="M1251" s="1766"/>
      <c r="N1251" s="1781"/>
      <c r="O1251" s="1766"/>
      <c r="P1251" s="1766"/>
      <c r="Q1251" s="1766"/>
      <c r="R1251" s="1766"/>
      <c r="S1251" s="1696"/>
      <c r="T1251" s="1696"/>
      <c r="U1251" s="1772"/>
      <c r="V1251" s="1696"/>
      <c r="W1251" s="1772"/>
      <c r="X1251" s="1696"/>
      <c r="Y1251" s="1696"/>
      <c r="Z1251" s="1773"/>
    </row>
    <row r="1252">
      <c r="A1252" s="1765"/>
      <c r="B1252" s="1782"/>
      <c r="C1252" s="1765"/>
      <c r="D1252" s="1765"/>
      <c r="E1252" s="1765"/>
      <c r="F1252" s="1765"/>
      <c r="G1252" s="1765"/>
      <c r="H1252" s="1765"/>
      <c r="I1252" s="1765"/>
      <c r="J1252" s="1765"/>
      <c r="K1252" s="1765"/>
      <c r="L1252" s="1765"/>
      <c r="M1252" s="1765"/>
      <c r="N1252" s="1765"/>
      <c r="O1252" s="1765"/>
      <c r="P1252" s="1765"/>
      <c r="Q1252" s="1766"/>
      <c r="R1252" s="1766"/>
      <c r="S1252" s="1696"/>
      <c r="T1252" s="1696"/>
      <c r="U1252" s="1772"/>
      <c r="V1252" s="1696"/>
      <c r="W1252" s="1772"/>
      <c r="X1252" s="1696"/>
      <c r="Y1252" s="1696"/>
      <c r="Z1252" s="1773"/>
    </row>
    <row r="1253">
      <c r="A1253" s="1771"/>
      <c r="B1253" s="1777"/>
      <c r="C1253" s="1771"/>
      <c r="D1253" s="1771"/>
      <c r="E1253" s="1771"/>
      <c r="F1253" s="1771"/>
      <c r="G1253" s="1770"/>
      <c r="H1253" s="1771"/>
      <c r="I1253" s="1778"/>
      <c r="J1253" s="1771"/>
      <c r="K1253" s="1771"/>
      <c r="L1253" s="1771"/>
      <c r="M1253" s="1771"/>
      <c r="N1253" s="1779"/>
      <c r="O1253" s="1770"/>
      <c r="P1253" s="1771"/>
      <c r="Q1253" s="1766"/>
      <c r="R1253" s="1766"/>
      <c r="S1253" s="1696"/>
      <c r="T1253" s="1696"/>
      <c r="U1253" s="1772"/>
      <c r="V1253" s="1696"/>
      <c r="W1253" s="1772"/>
      <c r="X1253" s="1696"/>
      <c r="Y1253" s="1696"/>
      <c r="Z1253" s="1773"/>
    </row>
    <row r="1254">
      <c r="A1254" s="1766"/>
      <c r="B1254" s="1780"/>
      <c r="C1254" s="1766"/>
      <c r="D1254" s="1766"/>
      <c r="E1254" s="1766"/>
      <c r="F1254" s="1766"/>
      <c r="G1254" s="1766"/>
      <c r="H1254" s="1766"/>
      <c r="I1254" s="1766"/>
      <c r="J1254" s="1766"/>
      <c r="K1254" s="1766"/>
      <c r="L1254" s="1766"/>
      <c r="M1254" s="1766"/>
      <c r="N1254" s="1781"/>
      <c r="O1254" s="1766"/>
      <c r="P1254" s="1766"/>
      <c r="Q1254" s="1766"/>
      <c r="R1254" s="1766"/>
      <c r="S1254" s="1696"/>
      <c r="T1254" s="1696"/>
      <c r="U1254" s="1772"/>
      <c r="V1254" s="1696"/>
      <c r="W1254" s="1772"/>
      <c r="X1254" s="1696"/>
      <c r="Y1254" s="1696"/>
      <c r="Z1254" s="1773"/>
    </row>
    <row r="1255">
      <c r="A1255" s="1765"/>
      <c r="B1255" s="1782"/>
      <c r="C1255" s="1765"/>
      <c r="D1255" s="1765"/>
      <c r="E1255" s="1765"/>
      <c r="F1255" s="1765"/>
      <c r="G1255" s="1765"/>
      <c r="H1255" s="1765"/>
      <c r="I1255" s="1765"/>
      <c r="J1255" s="1765"/>
      <c r="K1255" s="1765"/>
      <c r="L1255" s="1765"/>
      <c r="M1255" s="1765"/>
      <c r="N1255" s="1765"/>
      <c r="O1255" s="1765"/>
      <c r="P1255" s="1765"/>
      <c r="Q1255" s="1766"/>
      <c r="R1255" s="1766"/>
      <c r="S1255" s="1696"/>
      <c r="T1255" s="1696"/>
      <c r="U1255" s="1772"/>
      <c r="V1255" s="1696"/>
      <c r="W1255" s="1772"/>
      <c r="X1255" s="1696"/>
      <c r="Y1255" s="1696"/>
      <c r="Z1255" s="1773"/>
    </row>
    <row r="1256">
      <c r="A1256" s="1771"/>
      <c r="B1256" s="1777"/>
      <c r="C1256" s="1771"/>
      <c r="D1256" s="1771"/>
      <c r="E1256" s="1771"/>
      <c r="F1256" s="1771"/>
      <c r="G1256" s="1770"/>
      <c r="H1256" s="1771"/>
      <c r="I1256" s="1778"/>
      <c r="J1256" s="1771"/>
      <c r="K1256" s="1771"/>
      <c r="L1256" s="1771"/>
      <c r="M1256" s="1771"/>
      <c r="N1256" s="1779"/>
      <c r="O1256" s="1770"/>
      <c r="P1256" s="1771"/>
      <c r="Q1256" s="1766"/>
      <c r="R1256" s="1766"/>
      <c r="S1256" s="1696"/>
      <c r="T1256" s="1696"/>
      <c r="U1256" s="1772"/>
      <c r="V1256" s="1696"/>
      <c r="W1256" s="1772"/>
      <c r="X1256" s="1696"/>
      <c r="Y1256" s="1696"/>
      <c r="Z1256" s="1773"/>
    </row>
    <row r="1257">
      <c r="A1257" s="1766"/>
      <c r="B1257" s="1780"/>
      <c r="C1257" s="1766"/>
      <c r="D1257" s="1766"/>
      <c r="E1257" s="1766"/>
      <c r="F1257" s="1766"/>
      <c r="G1257" s="1766"/>
      <c r="H1257" s="1766"/>
      <c r="I1257" s="1766"/>
      <c r="J1257" s="1766"/>
      <c r="K1257" s="1766"/>
      <c r="L1257" s="1766"/>
      <c r="M1257" s="1766"/>
      <c r="N1257" s="1781"/>
      <c r="O1257" s="1766"/>
      <c r="P1257" s="1766"/>
      <c r="Q1257" s="1766"/>
      <c r="R1257" s="1766"/>
      <c r="S1257" s="1696"/>
      <c r="T1257" s="1696"/>
      <c r="U1257" s="1772"/>
      <c r="V1257" s="1696"/>
      <c r="W1257" s="1772"/>
      <c r="X1257" s="1696"/>
      <c r="Y1257" s="1696"/>
      <c r="Z1257" s="1773"/>
    </row>
    <row r="1258">
      <c r="A1258" s="1765"/>
      <c r="B1258" s="1782"/>
      <c r="C1258" s="1765"/>
      <c r="D1258" s="1765"/>
      <c r="E1258" s="1765"/>
      <c r="F1258" s="1765"/>
      <c r="G1258" s="1765"/>
      <c r="H1258" s="1765"/>
      <c r="I1258" s="1765"/>
      <c r="J1258" s="1765"/>
      <c r="K1258" s="1765"/>
      <c r="L1258" s="1765"/>
      <c r="M1258" s="1765"/>
      <c r="N1258" s="1765"/>
      <c r="O1258" s="1765"/>
      <c r="P1258" s="1765"/>
      <c r="Q1258" s="1766"/>
      <c r="R1258" s="1766"/>
      <c r="S1258" s="1696"/>
      <c r="T1258" s="1696"/>
      <c r="U1258" s="1772"/>
      <c r="V1258" s="1696"/>
      <c r="W1258" s="1772"/>
      <c r="X1258" s="1696"/>
      <c r="Y1258" s="1696"/>
      <c r="Z1258" s="1773"/>
    </row>
    <row r="1259">
      <c r="A1259" s="1771"/>
      <c r="B1259" s="1777"/>
      <c r="C1259" s="1771"/>
      <c r="D1259" s="1771"/>
      <c r="E1259" s="1771"/>
      <c r="F1259" s="1771"/>
      <c r="G1259" s="1770"/>
      <c r="H1259" s="1771"/>
      <c r="I1259" s="1778"/>
      <c r="J1259" s="1771"/>
      <c r="K1259" s="1771"/>
      <c r="L1259" s="1771"/>
      <c r="M1259" s="1771"/>
      <c r="N1259" s="1779"/>
      <c r="O1259" s="1770"/>
      <c r="P1259" s="1771"/>
      <c r="Q1259" s="1766"/>
      <c r="R1259" s="1766"/>
      <c r="S1259" s="1696"/>
      <c r="T1259" s="1696"/>
      <c r="U1259" s="1772"/>
      <c r="V1259" s="1696"/>
      <c r="W1259" s="1772"/>
      <c r="X1259" s="1696"/>
      <c r="Y1259" s="1696"/>
      <c r="Z1259" s="1773"/>
    </row>
    <row r="1260">
      <c r="A1260" s="1766"/>
      <c r="B1260" s="1780"/>
      <c r="C1260" s="1766"/>
      <c r="D1260" s="1766"/>
      <c r="E1260" s="1766"/>
      <c r="F1260" s="1766"/>
      <c r="G1260" s="1766"/>
      <c r="H1260" s="1766"/>
      <c r="I1260" s="1766"/>
      <c r="J1260" s="1766"/>
      <c r="K1260" s="1766"/>
      <c r="L1260" s="1766"/>
      <c r="M1260" s="1766"/>
      <c r="N1260" s="1781"/>
      <c r="O1260" s="1766"/>
      <c r="P1260" s="1766"/>
      <c r="Q1260" s="1766"/>
      <c r="R1260" s="1766"/>
      <c r="S1260" s="1696"/>
      <c r="T1260" s="1696"/>
      <c r="U1260" s="1772"/>
      <c r="V1260" s="1696"/>
      <c r="W1260" s="1772"/>
      <c r="X1260" s="1696"/>
      <c r="Y1260" s="1696"/>
      <c r="Z1260" s="1773"/>
    </row>
    <row r="1261">
      <c r="A1261" s="1765"/>
      <c r="B1261" s="1782"/>
      <c r="C1261" s="1765"/>
      <c r="D1261" s="1765"/>
      <c r="E1261" s="1765"/>
      <c r="F1261" s="1765"/>
      <c r="G1261" s="1765"/>
      <c r="H1261" s="1765"/>
      <c r="I1261" s="1765"/>
      <c r="J1261" s="1765"/>
      <c r="K1261" s="1765"/>
      <c r="L1261" s="1765"/>
      <c r="M1261" s="1765"/>
      <c r="N1261" s="1765"/>
      <c r="O1261" s="1765"/>
      <c r="P1261" s="1765"/>
      <c r="Q1261" s="1766"/>
      <c r="R1261" s="1766"/>
      <c r="S1261" s="1696"/>
      <c r="T1261" s="1696"/>
      <c r="U1261" s="1772"/>
      <c r="V1261" s="1696"/>
      <c r="W1261" s="1772"/>
      <c r="X1261" s="1696"/>
      <c r="Y1261" s="1696"/>
      <c r="Z1261" s="1773"/>
    </row>
    <row r="1262">
      <c r="A1262" s="1771"/>
      <c r="B1262" s="1777"/>
      <c r="C1262" s="1771"/>
      <c r="D1262" s="1771"/>
      <c r="E1262" s="1771"/>
      <c r="F1262" s="1771"/>
      <c r="G1262" s="1770"/>
      <c r="H1262" s="1771"/>
      <c r="I1262" s="1778"/>
      <c r="J1262" s="1771"/>
      <c r="K1262" s="1771"/>
      <c r="L1262" s="1771"/>
      <c r="M1262" s="1771"/>
      <c r="N1262" s="1779"/>
      <c r="O1262" s="1770"/>
      <c r="P1262" s="1771"/>
      <c r="Q1262" s="1766"/>
      <c r="R1262" s="1766"/>
      <c r="S1262" s="1696"/>
      <c r="T1262" s="1696"/>
      <c r="U1262" s="1772"/>
      <c r="V1262" s="1696"/>
      <c r="W1262" s="1772"/>
      <c r="X1262" s="1696"/>
      <c r="Y1262" s="1696"/>
      <c r="Z1262" s="1773"/>
    </row>
    <row r="1263">
      <c r="A1263" s="1766"/>
      <c r="B1263" s="1780"/>
      <c r="C1263" s="1766"/>
      <c r="D1263" s="1766"/>
      <c r="E1263" s="1766"/>
      <c r="F1263" s="1766"/>
      <c r="G1263" s="1766"/>
      <c r="H1263" s="1766"/>
      <c r="I1263" s="1766"/>
      <c r="J1263" s="1766"/>
      <c r="K1263" s="1766"/>
      <c r="L1263" s="1766"/>
      <c r="M1263" s="1766"/>
      <c r="N1263" s="1781"/>
      <c r="O1263" s="1766"/>
      <c r="P1263" s="1766"/>
      <c r="Q1263" s="1766"/>
      <c r="R1263" s="1766"/>
      <c r="S1263" s="1696"/>
      <c r="T1263" s="1696"/>
      <c r="U1263" s="1772"/>
      <c r="V1263" s="1696"/>
      <c r="W1263" s="1772"/>
      <c r="X1263" s="1696"/>
      <c r="Y1263" s="1696"/>
      <c r="Z1263" s="1773"/>
    </row>
    <row r="1264">
      <c r="A1264" s="1765"/>
      <c r="B1264" s="1782"/>
      <c r="C1264" s="1765"/>
      <c r="D1264" s="1765"/>
      <c r="E1264" s="1765"/>
      <c r="F1264" s="1765"/>
      <c r="G1264" s="1765"/>
      <c r="H1264" s="1765"/>
      <c r="I1264" s="1765"/>
      <c r="J1264" s="1765"/>
      <c r="K1264" s="1765"/>
      <c r="L1264" s="1765"/>
      <c r="M1264" s="1765"/>
      <c r="N1264" s="1765"/>
      <c r="O1264" s="1765"/>
      <c r="P1264" s="1765"/>
      <c r="Q1264" s="1766"/>
      <c r="R1264" s="1766"/>
      <c r="S1264" s="1696"/>
      <c r="T1264" s="1696"/>
      <c r="U1264" s="1772"/>
      <c r="V1264" s="1696"/>
      <c r="W1264" s="1772"/>
      <c r="X1264" s="1696"/>
      <c r="Y1264" s="1696"/>
      <c r="Z1264" s="1773"/>
    </row>
    <row r="1265">
      <c r="A1265" s="1771"/>
      <c r="B1265" s="1777"/>
      <c r="C1265" s="1771"/>
      <c r="D1265" s="1771"/>
      <c r="E1265" s="1771"/>
      <c r="F1265" s="1771"/>
      <c r="G1265" s="1771"/>
      <c r="H1265" s="1771"/>
      <c r="I1265" s="1778"/>
      <c r="J1265" s="1771"/>
      <c r="K1265" s="1771"/>
      <c r="L1265" s="1771"/>
      <c r="M1265" s="1771"/>
      <c r="N1265" s="1779"/>
      <c r="O1265" s="1770"/>
      <c r="P1265" s="1771"/>
      <c r="Q1265" s="1766"/>
      <c r="R1265" s="1766"/>
      <c r="S1265" s="1696"/>
      <c r="T1265" s="1696"/>
      <c r="U1265" s="1772"/>
      <c r="V1265" s="1696"/>
      <c r="W1265" s="1772"/>
      <c r="X1265" s="1696"/>
      <c r="Y1265" s="1696"/>
      <c r="Z1265" s="1773"/>
    </row>
    <row r="1266">
      <c r="A1266" s="1766"/>
      <c r="B1266" s="1780"/>
      <c r="C1266" s="1766"/>
      <c r="D1266" s="1766"/>
      <c r="E1266" s="1766"/>
      <c r="F1266" s="1766"/>
      <c r="G1266" s="1766"/>
      <c r="H1266" s="1766"/>
      <c r="I1266" s="1766"/>
      <c r="J1266" s="1766"/>
      <c r="K1266" s="1766"/>
      <c r="L1266" s="1766"/>
      <c r="M1266" s="1766"/>
      <c r="N1266" s="1781"/>
      <c r="O1266" s="1766"/>
      <c r="P1266" s="1766"/>
      <c r="Q1266" s="1766"/>
      <c r="R1266" s="1766"/>
      <c r="S1266" s="1696"/>
      <c r="T1266" s="1696"/>
      <c r="U1266" s="1772"/>
      <c r="V1266" s="1696"/>
      <c r="W1266" s="1772"/>
      <c r="X1266" s="1696"/>
      <c r="Y1266" s="1696"/>
      <c r="Z1266" s="1773"/>
    </row>
    <row r="1267">
      <c r="A1267" s="1765"/>
      <c r="B1267" s="1782"/>
      <c r="C1267" s="1765"/>
      <c r="D1267" s="1765"/>
      <c r="E1267" s="1765"/>
      <c r="F1267" s="1765"/>
      <c r="G1267" s="1765"/>
      <c r="H1267" s="1765"/>
      <c r="I1267" s="1765"/>
      <c r="J1267" s="1765"/>
      <c r="K1267" s="1765"/>
      <c r="L1267" s="1765"/>
      <c r="M1267" s="1765"/>
      <c r="N1267" s="1765"/>
      <c r="O1267" s="1765"/>
      <c r="P1267" s="1765"/>
      <c r="Q1267" s="1766"/>
      <c r="R1267" s="1766"/>
      <c r="S1267" s="1696"/>
      <c r="T1267" s="1696"/>
      <c r="U1267" s="1772"/>
      <c r="V1267" s="1696"/>
      <c r="W1267" s="1772"/>
      <c r="X1267" s="1696"/>
      <c r="Y1267" s="1696"/>
      <c r="Z1267" s="1773"/>
    </row>
    <row r="1268">
      <c r="A1268" s="1771"/>
      <c r="B1268" s="1777"/>
      <c r="C1268" s="1771"/>
      <c r="D1268" s="1771"/>
      <c r="E1268" s="1771"/>
      <c r="F1268" s="1771"/>
      <c r="G1268" s="1771"/>
      <c r="H1268" s="1771"/>
      <c r="I1268" s="1778"/>
      <c r="J1268" s="1771"/>
      <c r="K1268" s="1771"/>
      <c r="L1268" s="1771"/>
      <c r="M1268" s="1771"/>
      <c r="N1268" s="1779"/>
      <c r="O1268" s="1770"/>
      <c r="P1268" s="1771"/>
      <c r="Q1268" s="1766"/>
      <c r="R1268" s="1766"/>
      <c r="S1268" s="1696"/>
      <c r="T1268" s="1696"/>
      <c r="U1268" s="1772"/>
      <c r="V1268" s="1696"/>
      <c r="W1268" s="1772"/>
      <c r="X1268" s="1696"/>
      <c r="Y1268" s="1696"/>
      <c r="Z1268" s="1773"/>
    </row>
    <row r="1269">
      <c r="A1269" s="1766"/>
      <c r="B1269" s="1780"/>
      <c r="C1269" s="1766"/>
      <c r="D1269" s="1766"/>
      <c r="E1269" s="1766"/>
      <c r="F1269" s="1766"/>
      <c r="G1269" s="1766"/>
      <c r="H1269" s="1766"/>
      <c r="I1269" s="1766"/>
      <c r="J1269" s="1766"/>
      <c r="K1269" s="1766"/>
      <c r="L1269" s="1766"/>
      <c r="M1269" s="1766"/>
      <c r="N1269" s="1781"/>
      <c r="O1269" s="1766"/>
      <c r="P1269" s="1766"/>
      <c r="Q1269" s="1766"/>
      <c r="R1269" s="1766"/>
      <c r="S1269" s="1696"/>
      <c r="T1269" s="1696"/>
      <c r="U1269" s="1772"/>
      <c r="V1269" s="1696"/>
      <c r="W1269" s="1772"/>
      <c r="X1269" s="1696"/>
      <c r="Y1269" s="1696"/>
      <c r="Z1269" s="1773"/>
    </row>
    <row r="1270">
      <c r="A1270" s="1765"/>
      <c r="B1270" s="1782"/>
      <c r="C1270" s="1765"/>
      <c r="D1270" s="1765"/>
      <c r="E1270" s="1765"/>
      <c r="F1270" s="1765"/>
      <c r="G1270" s="1765"/>
      <c r="H1270" s="1765"/>
      <c r="I1270" s="1765"/>
      <c r="J1270" s="1765"/>
      <c r="K1270" s="1765"/>
      <c r="L1270" s="1765"/>
      <c r="M1270" s="1765"/>
      <c r="N1270" s="1765"/>
      <c r="O1270" s="1765"/>
      <c r="P1270" s="1765"/>
      <c r="Q1270" s="1766"/>
      <c r="R1270" s="1766"/>
      <c r="S1270" s="1696"/>
      <c r="T1270" s="1696"/>
      <c r="U1270" s="1772"/>
      <c r="V1270" s="1696"/>
      <c r="W1270" s="1772"/>
      <c r="X1270" s="1696"/>
      <c r="Y1270" s="1696"/>
      <c r="Z1270" s="1773"/>
    </row>
    <row r="1271">
      <c r="A1271" s="1771"/>
      <c r="B1271" s="1777"/>
      <c r="C1271" s="1771"/>
      <c r="D1271" s="1771"/>
      <c r="E1271" s="1771"/>
      <c r="F1271" s="1771"/>
      <c r="G1271" s="1777"/>
      <c r="H1271" s="1771"/>
      <c r="I1271" s="1778"/>
      <c r="J1271" s="1771"/>
      <c r="K1271" s="1771"/>
      <c r="L1271" s="1771"/>
      <c r="M1271" s="1771"/>
      <c r="N1271" s="1779"/>
      <c r="O1271" s="1770"/>
      <c r="P1271" s="1771"/>
      <c r="Q1271" s="1766"/>
      <c r="R1271" s="1766"/>
      <c r="S1271" s="1696"/>
      <c r="T1271" s="1696"/>
      <c r="U1271" s="1772"/>
      <c r="V1271" s="1696"/>
      <c r="W1271" s="1772"/>
      <c r="X1271" s="1696"/>
      <c r="Y1271" s="1696"/>
      <c r="Z1271" s="1773"/>
    </row>
    <row r="1272">
      <c r="A1272" s="1766"/>
      <c r="B1272" s="1780"/>
      <c r="C1272" s="1766"/>
      <c r="D1272" s="1766"/>
      <c r="E1272" s="1766"/>
      <c r="F1272" s="1766"/>
      <c r="G1272" s="1766"/>
      <c r="H1272" s="1766"/>
      <c r="I1272" s="1766"/>
      <c r="J1272" s="1766"/>
      <c r="K1272" s="1766"/>
      <c r="L1272" s="1766"/>
      <c r="M1272" s="1766"/>
      <c r="N1272" s="1781"/>
      <c r="O1272" s="1766"/>
      <c r="P1272" s="1766"/>
      <c r="Q1272" s="1766"/>
      <c r="R1272" s="1766"/>
      <c r="S1272" s="1696"/>
      <c r="T1272" s="1696"/>
      <c r="U1272" s="1772"/>
      <c r="V1272" s="1696"/>
      <c r="W1272" s="1772"/>
      <c r="X1272" s="1696"/>
      <c r="Y1272" s="1696"/>
      <c r="Z1272" s="1773"/>
    </row>
    <row r="1273">
      <c r="A1273" s="1765"/>
      <c r="B1273" s="1782"/>
      <c r="C1273" s="1765"/>
      <c r="D1273" s="1765"/>
      <c r="E1273" s="1765"/>
      <c r="F1273" s="1765"/>
      <c r="G1273" s="1765"/>
      <c r="H1273" s="1765"/>
      <c r="I1273" s="1765"/>
      <c r="J1273" s="1765"/>
      <c r="K1273" s="1765"/>
      <c r="L1273" s="1765"/>
      <c r="M1273" s="1765"/>
      <c r="N1273" s="1765"/>
      <c r="O1273" s="1765"/>
      <c r="P1273" s="1765"/>
      <c r="Q1273" s="1766"/>
      <c r="R1273" s="1766"/>
      <c r="S1273" s="1696"/>
      <c r="T1273" s="1696"/>
      <c r="U1273" s="1772"/>
      <c r="V1273" s="1696"/>
      <c r="W1273" s="1772"/>
      <c r="X1273" s="1696"/>
      <c r="Y1273" s="1696"/>
      <c r="Z1273" s="1773"/>
    </row>
    <row r="1274">
      <c r="A1274" s="1771"/>
      <c r="B1274" s="1777"/>
      <c r="C1274" s="1771"/>
      <c r="D1274" s="1771"/>
      <c r="E1274" s="1771"/>
      <c r="F1274" s="1771"/>
      <c r="G1274" s="1771"/>
      <c r="H1274" s="1771"/>
      <c r="I1274" s="1778"/>
      <c r="J1274" s="1771"/>
      <c r="K1274" s="1771"/>
      <c r="L1274" s="1771"/>
      <c r="M1274" s="1771"/>
      <c r="N1274" s="1779"/>
      <c r="O1274" s="1770"/>
      <c r="P1274" s="1771"/>
      <c r="Q1274" s="1766"/>
      <c r="R1274" s="1766"/>
      <c r="S1274" s="1696"/>
      <c r="T1274" s="1696"/>
      <c r="U1274" s="1772"/>
      <c r="V1274" s="1696"/>
      <c r="W1274" s="1772"/>
      <c r="X1274" s="1696"/>
      <c r="Y1274" s="1696"/>
      <c r="Z1274" s="1773"/>
    </row>
    <row r="1275">
      <c r="A1275" s="1766"/>
      <c r="B1275" s="1780"/>
      <c r="C1275" s="1766"/>
      <c r="D1275" s="1766"/>
      <c r="E1275" s="1766"/>
      <c r="F1275" s="1766"/>
      <c r="G1275" s="1766"/>
      <c r="H1275" s="1766"/>
      <c r="I1275" s="1766"/>
      <c r="J1275" s="1766"/>
      <c r="K1275" s="1766"/>
      <c r="L1275" s="1766"/>
      <c r="M1275" s="1766"/>
      <c r="N1275" s="1781"/>
      <c r="O1275" s="1766"/>
      <c r="P1275" s="1766"/>
      <c r="Q1275" s="1766"/>
      <c r="R1275" s="1766"/>
      <c r="S1275" s="1696"/>
      <c r="T1275" s="1696"/>
      <c r="U1275" s="1772"/>
      <c r="V1275" s="1696"/>
      <c r="W1275" s="1772"/>
      <c r="X1275" s="1696"/>
      <c r="Y1275" s="1696"/>
      <c r="Z1275" s="1773"/>
    </row>
    <row r="1276">
      <c r="A1276" s="1765"/>
      <c r="B1276" s="1782"/>
      <c r="C1276" s="1765"/>
      <c r="D1276" s="1765"/>
      <c r="E1276" s="1765"/>
      <c r="F1276" s="1765"/>
      <c r="G1276" s="1765"/>
      <c r="H1276" s="1765"/>
      <c r="I1276" s="1765"/>
      <c r="J1276" s="1765"/>
      <c r="K1276" s="1765"/>
      <c r="L1276" s="1765"/>
      <c r="M1276" s="1765"/>
      <c r="N1276" s="1765"/>
      <c r="O1276" s="1765"/>
      <c r="P1276" s="1765"/>
      <c r="Q1276" s="1766"/>
      <c r="R1276" s="1766"/>
      <c r="S1276" s="1696"/>
      <c r="T1276" s="1696"/>
      <c r="U1276" s="1772"/>
      <c r="V1276" s="1696"/>
      <c r="W1276" s="1772"/>
      <c r="X1276" s="1696"/>
      <c r="Y1276" s="1696"/>
      <c r="Z1276" s="1773"/>
    </row>
    <row r="1277">
      <c r="A1277" s="1771"/>
      <c r="B1277" s="1777"/>
      <c r="C1277" s="1771"/>
      <c r="D1277" s="1771"/>
      <c r="E1277" s="1771"/>
      <c r="F1277" s="1771"/>
      <c r="G1277" s="1770"/>
      <c r="H1277" s="1771"/>
      <c r="I1277" s="1778"/>
      <c r="J1277" s="1771"/>
      <c r="K1277" s="1771"/>
      <c r="L1277" s="1771"/>
      <c r="M1277" s="1771"/>
      <c r="N1277" s="1779"/>
      <c r="O1277" s="1770"/>
      <c r="P1277" s="1771"/>
      <c r="Q1277" s="1766"/>
      <c r="R1277" s="1766"/>
      <c r="S1277" s="1696"/>
      <c r="T1277" s="1696"/>
      <c r="U1277" s="1772"/>
      <c r="V1277" s="1696"/>
      <c r="W1277" s="1772"/>
      <c r="X1277" s="1696"/>
      <c r="Y1277" s="1696"/>
      <c r="Z1277" s="1773"/>
    </row>
    <row r="1278">
      <c r="A1278" s="1766"/>
      <c r="B1278" s="1780"/>
      <c r="C1278" s="1766"/>
      <c r="D1278" s="1766"/>
      <c r="E1278" s="1766"/>
      <c r="F1278" s="1766"/>
      <c r="G1278" s="1766"/>
      <c r="H1278" s="1766"/>
      <c r="I1278" s="1766"/>
      <c r="J1278" s="1766"/>
      <c r="K1278" s="1766"/>
      <c r="L1278" s="1766"/>
      <c r="M1278" s="1766"/>
      <c r="N1278" s="1781"/>
      <c r="O1278" s="1766"/>
      <c r="P1278" s="1766"/>
      <c r="Q1278" s="1766"/>
      <c r="R1278" s="1766"/>
      <c r="S1278" s="1696"/>
      <c r="T1278" s="1696"/>
      <c r="U1278" s="1772"/>
      <c r="V1278" s="1696"/>
      <c r="W1278" s="1772"/>
      <c r="X1278" s="1696"/>
      <c r="Y1278" s="1696"/>
      <c r="Z1278" s="1773"/>
    </row>
    <row r="1279">
      <c r="A1279" s="1765"/>
      <c r="B1279" s="1782"/>
      <c r="C1279" s="1765"/>
      <c r="D1279" s="1765"/>
      <c r="E1279" s="1765"/>
      <c r="F1279" s="1765"/>
      <c r="G1279" s="1765"/>
      <c r="H1279" s="1765"/>
      <c r="I1279" s="1765"/>
      <c r="J1279" s="1765"/>
      <c r="K1279" s="1765"/>
      <c r="L1279" s="1765"/>
      <c r="M1279" s="1765"/>
      <c r="N1279" s="1765"/>
      <c r="O1279" s="1765"/>
      <c r="P1279" s="1765"/>
      <c r="Q1279" s="1766"/>
      <c r="R1279" s="1766"/>
      <c r="S1279" s="1696"/>
      <c r="T1279" s="1696"/>
      <c r="U1279" s="1772"/>
      <c r="V1279" s="1696"/>
      <c r="W1279" s="1772"/>
      <c r="X1279" s="1696"/>
      <c r="Y1279" s="1696"/>
      <c r="Z1279" s="1773"/>
    </row>
    <row r="1280">
      <c r="A1280" s="1771"/>
      <c r="B1280" s="1777"/>
      <c r="C1280" s="1771"/>
      <c r="D1280" s="1771"/>
      <c r="E1280" s="1771"/>
      <c r="F1280" s="1771"/>
      <c r="G1280" s="1771"/>
      <c r="H1280" s="1771"/>
      <c r="I1280" s="1778"/>
      <c r="J1280" s="1771"/>
      <c r="K1280" s="1771"/>
      <c r="L1280" s="1771"/>
      <c r="M1280" s="1771"/>
      <c r="N1280" s="1779"/>
      <c r="O1280" s="1770"/>
      <c r="P1280" s="1771"/>
      <c r="Q1280" s="1766"/>
      <c r="R1280" s="1766"/>
      <c r="S1280" s="1696"/>
      <c r="T1280" s="1696"/>
      <c r="U1280" s="1772"/>
      <c r="V1280" s="1696"/>
      <c r="W1280" s="1772"/>
      <c r="X1280" s="1696"/>
      <c r="Y1280" s="1696"/>
      <c r="Z1280" s="1773"/>
    </row>
    <row r="1281">
      <c r="A1281" s="1766"/>
      <c r="B1281" s="1780"/>
      <c r="C1281" s="1766"/>
      <c r="D1281" s="1766"/>
      <c r="E1281" s="1766"/>
      <c r="F1281" s="1766"/>
      <c r="G1281" s="1766"/>
      <c r="H1281" s="1766"/>
      <c r="I1281" s="1766"/>
      <c r="J1281" s="1766"/>
      <c r="K1281" s="1766"/>
      <c r="L1281" s="1766"/>
      <c r="M1281" s="1766"/>
      <c r="N1281" s="1781"/>
      <c r="O1281" s="1766"/>
      <c r="P1281" s="1766"/>
      <c r="Q1281" s="1766"/>
      <c r="R1281" s="1766"/>
      <c r="S1281" s="1696"/>
      <c r="T1281" s="1696"/>
      <c r="U1281" s="1772"/>
      <c r="V1281" s="1696"/>
      <c r="W1281" s="1772"/>
      <c r="X1281" s="1696"/>
      <c r="Y1281" s="1696"/>
      <c r="Z1281" s="1773"/>
    </row>
    <row r="1282">
      <c r="A1282" s="1765"/>
      <c r="B1282" s="1782"/>
      <c r="C1282" s="1765"/>
      <c r="D1282" s="1765"/>
      <c r="E1282" s="1765"/>
      <c r="F1282" s="1765"/>
      <c r="G1282" s="1765"/>
      <c r="H1282" s="1765"/>
      <c r="I1282" s="1765"/>
      <c r="J1282" s="1765"/>
      <c r="K1282" s="1765"/>
      <c r="L1282" s="1765"/>
      <c r="M1282" s="1765"/>
      <c r="N1282" s="1765"/>
      <c r="O1282" s="1765"/>
      <c r="P1282" s="1765"/>
      <c r="Q1282" s="1766"/>
      <c r="R1282" s="1766"/>
      <c r="S1282" s="1696"/>
      <c r="T1282" s="1696"/>
      <c r="U1282" s="1772"/>
      <c r="V1282" s="1696"/>
      <c r="W1282" s="1772"/>
      <c r="X1282" s="1696"/>
      <c r="Y1282" s="1696"/>
      <c r="Z1282" s="1773"/>
    </row>
    <row r="1283">
      <c r="A1283" s="1771"/>
      <c r="B1283" s="1777"/>
      <c r="C1283" s="1771"/>
      <c r="D1283" s="1771"/>
      <c r="E1283" s="1771"/>
      <c r="F1283" s="1771"/>
      <c r="G1283" s="1770"/>
      <c r="H1283" s="1771"/>
      <c r="I1283" s="1778"/>
      <c r="J1283" s="1771"/>
      <c r="K1283" s="1771"/>
      <c r="L1283" s="1771"/>
      <c r="M1283" s="1771"/>
      <c r="N1283" s="1779"/>
      <c r="O1283" s="1770"/>
      <c r="P1283" s="1771"/>
      <c r="Q1283" s="1766"/>
      <c r="R1283" s="1766"/>
      <c r="S1283" s="1696"/>
      <c r="T1283" s="1696"/>
      <c r="U1283" s="1772"/>
      <c r="V1283" s="1696"/>
      <c r="W1283" s="1772"/>
      <c r="X1283" s="1696"/>
      <c r="Y1283" s="1696"/>
      <c r="Z1283" s="1773"/>
    </row>
    <row r="1284">
      <c r="A1284" s="1766"/>
      <c r="B1284" s="1780"/>
      <c r="C1284" s="1766"/>
      <c r="D1284" s="1766"/>
      <c r="E1284" s="1766"/>
      <c r="F1284" s="1766"/>
      <c r="G1284" s="1766"/>
      <c r="H1284" s="1766"/>
      <c r="I1284" s="1766"/>
      <c r="J1284" s="1766"/>
      <c r="K1284" s="1766"/>
      <c r="L1284" s="1766"/>
      <c r="M1284" s="1766"/>
      <c r="N1284" s="1781"/>
      <c r="O1284" s="1766"/>
      <c r="P1284" s="1766"/>
      <c r="Q1284" s="1766"/>
      <c r="R1284" s="1766"/>
      <c r="S1284" s="1696"/>
      <c r="T1284" s="1696"/>
      <c r="U1284" s="1772"/>
      <c r="V1284" s="1696"/>
      <c r="W1284" s="1772"/>
      <c r="X1284" s="1696"/>
      <c r="Y1284" s="1696"/>
      <c r="Z1284" s="1773"/>
    </row>
    <row r="1285">
      <c r="A1285" s="1765"/>
      <c r="B1285" s="1782"/>
      <c r="C1285" s="1765"/>
      <c r="D1285" s="1765"/>
      <c r="E1285" s="1765"/>
      <c r="F1285" s="1765"/>
      <c r="G1285" s="1765"/>
      <c r="H1285" s="1765"/>
      <c r="I1285" s="1765"/>
      <c r="J1285" s="1765"/>
      <c r="K1285" s="1765"/>
      <c r="L1285" s="1765"/>
      <c r="M1285" s="1765"/>
      <c r="N1285" s="1765"/>
      <c r="O1285" s="1765"/>
      <c r="P1285" s="1765"/>
      <c r="Q1285" s="1766"/>
      <c r="R1285" s="1766"/>
      <c r="S1285" s="1696"/>
      <c r="T1285" s="1696"/>
      <c r="U1285" s="1772"/>
      <c r="V1285" s="1696"/>
      <c r="W1285" s="1772"/>
      <c r="X1285" s="1696"/>
      <c r="Y1285" s="1696"/>
      <c r="Z1285" s="1773"/>
    </row>
    <row r="1286">
      <c r="A1286" s="1771"/>
      <c r="B1286" s="1777"/>
      <c r="C1286" s="1771"/>
      <c r="D1286" s="1771"/>
      <c r="E1286" s="1771"/>
      <c r="F1286" s="1771"/>
      <c r="G1286" s="1770"/>
      <c r="H1286" s="1771"/>
      <c r="I1286" s="1778"/>
      <c r="J1286" s="1771"/>
      <c r="K1286" s="1771"/>
      <c r="L1286" s="1771"/>
      <c r="M1286" s="1771"/>
      <c r="N1286" s="1779"/>
      <c r="O1286" s="1770"/>
      <c r="P1286" s="1771"/>
      <c r="Q1286" s="1766"/>
      <c r="R1286" s="1766"/>
      <c r="S1286" s="1696"/>
      <c r="T1286" s="1696"/>
      <c r="U1286" s="1772"/>
      <c r="V1286" s="1696"/>
      <c r="W1286" s="1772"/>
      <c r="X1286" s="1696"/>
      <c r="Y1286" s="1696"/>
      <c r="Z1286" s="1773"/>
    </row>
    <row r="1287">
      <c r="A1287" s="1766"/>
      <c r="B1287" s="1780"/>
      <c r="C1287" s="1766"/>
      <c r="D1287" s="1766"/>
      <c r="E1287" s="1766"/>
      <c r="F1287" s="1766"/>
      <c r="G1287" s="1766"/>
      <c r="H1287" s="1766"/>
      <c r="I1287" s="1766"/>
      <c r="J1287" s="1766"/>
      <c r="K1287" s="1766"/>
      <c r="L1287" s="1766"/>
      <c r="M1287" s="1766"/>
      <c r="N1287" s="1781"/>
      <c r="O1287" s="1766"/>
      <c r="P1287" s="1766"/>
      <c r="Q1287" s="1766"/>
      <c r="R1287" s="1766"/>
      <c r="S1287" s="1696"/>
      <c r="T1287" s="1696"/>
      <c r="U1287" s="1772"/>
      <c r="V1287" s="1696"/>
      <c r="W1287" s="1772"/>
      <c r="X1287" s="1696"/>
      <c r="Y1287" s="1696"/>
      <c r="Z1287" s="1773"/>
    </row>
    <row r="1288">
      <c r="A1288" s="1765"/>
      <c r="B1288" s="1782"/>
      <c r="C1288" s="1765"/>
      <c r="D1288" s="1765"/>
      <c r="E1288" s="1765"/>
      <c r="F1288" s="1765"/>
      <c r="G1288" s="1765"/>
      <c r="H1288" s="1765"/>
      <c r="I1288" s="1765"/>
      <c r="J1288" s="1765"/>
      <c r="K1288" s="1765"/>
      <c r="L1288" s="1765"/>
      <c r="M1288" s="1765"/>
      <c r="N1288" s="1765"/>
      <c r="O1288" s="1765"/>
      <c r="P1288" s="1765"/>
      <c r="Q1288" s="1766"/>
      <c r="R1288" s="1766"/>
      <c r="S1288" s="1696"/>
      <c r="T1288" s="1696"/>
      <c r="U1288" s="1772"/>
      <c r="V1288" s="1696"/>
      <c r="W1288" s="1772"/>
      <c r="X1288" s="1696"/>
      <c r="Y1288" s="1696"/>
      <c r="Z1288" s="1773"/>
    </row>
    <row r="1289">
      <c r="A1289" s="1771"/>
      <c r="B1289" s="1777"/>
      <c r="C1289" s="1771"/>
      <c r="D1289" s="1771"/>
      <c r="E1289" s="1771"/>
      <c r="F1289" s="1771"/>
      <c r="G1289" s="1770"/>
      <c r="H1289" s="1771"/>
      <c r="I1289" s="1778"/>
      <c r="J1289" s="1771"/>
      <c r="K1289" s="1771"/>
      <c r="L1289" s="1771"/>
      <c r="M1289" s="1771"/>
      <c r="N1289" s="1779"/>
      <c r="O1289" s="1770"/>
      <c r="P1289" s="1771"/>
      <c r="Q1289" s="1766"/>
      <c r="R1289" s="1766"/>
      <c r="S1289" s="1696"/>
      <c r="T1289" s="1696"/>
      <c r="U1289" s="1772"/>
      <c r="V1289" s="1696"/>
      <c r="W1289" s="1772"/>
      <c r="X1289" s="1696"/>
      <c r="Y1289" s="1696"/>
      <c r="Z1289" s="1773"/>
    </row>
    <row r="1290">
      <c r="A1290" s="1766"/>
      <c r="B1290" s="1780"/>
      <c r="C1290" s="1766"/>
      <c r="D1290" s="1766"/>
      <c r="E1290" s="1766"/>
      <c r="F1290" s="1766"/>
      <c r="G1290" s="1766"/>
      <c r="H1290" s="1766"/>
      <c r="I1290" s="1766"/>
      <c r="J1290" s="1766"/>
      <c r="K1290" s="1766"/>
      <c r="L1290" s="1766"/>
      <c r="M1290" s="1766"/>
      <c r="N1290" s="1781"/>
      <c r="O1290" s="1766"/>
      <c r="P1290" s="1766"/>
      <c r="Q1290" s="1766"/>
      <c r="R1290" s="1766"/>
      <c r="S1290" s="1696"/>
      <c r="T1290" s="1696"/>
      <c r="U1290" s="1772"/>
      <c r="V1290" s="1696"/>
      <c r="W1290" s="1772"/>
      <c r="X1290" s="1696"/>
      <c r="Y1290" s="1696"/>
      <c r="Z1290" s="1773"/>
    </row>
    <row r="1291">
      <c r="A1291" s="1765"/>
      <c r="B1291" s="1782"/>
      <c r="C1291" s="1765"/>
      <c r="D1291" s="1765"/>
      <c r="E1291" s="1765"/>
      <c r="F1291" s="1765"/>
      <c r="G1291" s="1765"/>
      <c r="H1291" s="1765"/>
      <c r="I1291" s="1765"/>
      <c r="J1291" s="1765"/>
      <c r="K1291" s="1765"/>
      <c r="L1291" s="1765"/>
      <c r="M1291" s="1765"/>
      <c r="N1291" s="1765"/>
      <c r="O1291" s="1765"/>
      <c r="P1291" s="1765"/>
      <c r="Q1291" s="1766"/>
      <c r="R1291" s="1766"/>
      <c r="S1291" s="1696"/>
      <c r="T1291" s="1696"/>
      <c r="U1291" s="1772"/>
      <c r="V1291" s="1696"/>
      <c r="W1291" s="1772"/>
      <c r="X1291" s="1696"/>
      <c r="Y1291" s="1696"/>
      <c r="Z1291" s="1773"/>
    </row>
    <row r="1292">
      <c r="A1292" s="1771"/>
      <c r="B1292" s="1777"/>
      <c r="C1292" s="1771"/>
      <c r="D1292" s="1771"/>
      <c r="E1292" s="1771"/>
      <c r="F1292" s="1771"/>
      <c r="G1292" s="1770"/>
      <c r="H1292" s="1771"/>
      <c r="I1292" s="1778"/>
      <c r="J1292" s="1771"/>
      <c r="K1292" s="1771"/>
      <c r="L1292" s="1771"/>
      <c r="M1292" s="1771"/>
      <c r="N1292" s="1779"/>
      <c r="O1292" s="1770"/>
      <c r="P1292" s="1771"/>
      <c r="Q1292" s="1766"/>
      <c r="R1292" s="1766"/>
      <c r="S1292" s="1696"/>
      <c r="T1292" s="1696"/>
      <c r="U1292" s="1772"/>
      <c r="V1292" s="1696"/>
      <c r="W1292" s="1772"/>
      <c r="X1292" s="1696"/>
      <c r="Y1292" s="1696"/>
      <c r="Z1292" s="1773"/>
    </row>
    <row r="1293">
      <c r="A1293" s="1766"/>
      <c r="B1293" s="1780"/>
      <c r="C1293" s="1766"/>
      <c r="D1293" s="1766"/>
      <c r="E1293" s="1766"/>
      <c r="F1293" s="1766"/>
      <c r="G1293" s="1766"/>
      <c r="H1293" s="1766"/>
      <c r="I1293" s="1766"/>
      <c r="J1293" s="1766"/>
      <c r="K1293" s="1766"/>
      <c r="L1293" s="1766"/>
      <c r="M1293" s="1766"/>
      <c r="N1293" s="1781"/>
      <c r="O1293" s="1766"/>
      <c r="P1293" s="1766"/>
      <c r="Q1293" s="1766"/>
      <c r="R1293" s="1766"/>
      <c r="S1293" s="1696"/>
      <c r="T1293" s="1696"/>
      <c r="U1293" s="1772"/>
      <c r="V1293" s="1696"/>
      <c r="W1293" s="1772"/>
      <c r="X1293" s="1696"/>
      <c r="Y1293" s="1696"/>
      <c r="Z1293" s="1773"/>
    </row>
    <row r="1294">
      <c r="A1294" s="1765"/>
      <c r="B1294" s="1782"/>
      <c r="C1294" s="1765"/>
      <c r="D1294" s="1765"/>
      <c r="E1294" s="1765"/>
      <c r="F1294" s="1765"/>
      <c r="G1294" s="1765"/>
      <c r="H1294" s="1765"/>
      <c r="I1294" s="1765"/>
      <c r="J1294" s="1765"/>
      <c r="K1294" s="1765"/>
      <c r="L1294" s="1765"/>
      <c r="M1294" s="1765"/>
      <c r="N1294" s="1765"/>
      <c r="O1294" s="1765"/>
      <c r="P1294" s="1765"/>
      <c r="Q1294" s="1766"/>
      <c r="R1294" s="1766"/>
      <c r="S1294" s="1696"/>
      <c r="T1294" s="1696"/>
      <c r="U1294" s="1772"/>
      <c r="V1294" s="1696"/>
      <c r="W1294" s="1772"/>
      <c r="X1294" s="1696"/>
      <c r="Y1294" s="1696"/>
      <c r="Z1294" s="1773"/>
    </row>
    <row r="1295">
      <c r="A1295" s="1771"/>
      <c r="B1295" s="1777"/>
      <c r="C1295" s="1771"/>
      <c r="D1295" s="1771"/>
      <c r="E1295" s="1771"/>
      <c r="F1295" s="1771"/>
      <c r="G1295" s="1770"/>
      <c r="H1295" s="1771"/>
      <c r="I1295" s="1778"/>
      <c r="J1295" s="1771"/>
      <c r="K1295" s="1771"/>
      <c r="L1295" s="1771"/>
      <c r="M1295" s="1771"/>
      <c r="N1295" s="1779"/>
      <c r="O1295" s="1770"/>
      <c r="P1295" s="1771"/>
      <c r="Q1295" s="1766"/>
      <c r="R1295" s="1766"/>
      <c r="S1295" s="1696"/>
      <c r="T1295" s="1696"/>
      <c r="U1295" s="1772"/>
      <c r="V1295" s="1696"/>
      <c r="W1295" s="1772"/>
      <c r="X1295" s="1696"/>
      <c r="Y1295" s="1696"/>
      <c r="Z1295" s="1773"/>
    </row>
    <row r="1296">
      <c r="A1296" s="1766"/>
      <c r="B1296" s="1780"/>
      <c r="C1296" s="1766"/>
      <c r="D1296" s="1766"/>
      <c r="E1296" s="1766"/>
      <c r="F1296" s="1766"/>
      <c r="G1296" s="1766"/>
      <c r="H1296" s="1766"/>
      <c r="I1296" s="1766"/>
      <c r="J1296" s="1766"/>
      <c r="K1296" s="1766"/>
      <c r="L1296" s="1766"/>
      <c r="M1296" s="1766"/>
      <c r="N1296" s="1781"/>
      <c r="O1296" s="1766"/>
      <c r="P1296" s="1766"/>
      <c r="Q1296" s="1766"/>
      <c r="R1296" s="1766"/>
      <c r="S1296" s="1696"/>
      <c r="T1296" s="1696"/>
      <c r="U1296" s="1772"/>
      <c r="V1296" s="1696"/>
      <c r="W1296" s="1772"/>
      <c r="X1296" s="1696"/>
      <c r="Y1296" s="1696"/>
      <c r="Z1296" s="1773"/>
    </row>
    <row r="1297">
      <c r="A1297" s="1765"/>
      <c r="B1297" s="1782"/>
      <c r="C1297" s="1765"/>
      <c r="D1297" s="1765"/>
      <c r="E1297" s="1765"/>
      <c r="F1297" s="1765"/>
      <c r="G1297" s="1765"/>
      <c r="H1297" s="1765"/>
      <c r="I1297" s="1765"/>
      <c r="J1297" s="1765"/>
      <c r="K1297" s="1765"/>
      <c r="L1297" s="1765"/>
      <c r="M1297" s="1765"/>
      <c r="N1297" s="1765"/>
      <c r="O1297" s="1765"/>
      <c r="P1297" s="1765"/>
      <c r="Q1297" s="1766"/>
      <c r="R1297" s="1766"/>
      <c r="S1297" s="1696"/>
      <c r="T1297" s="1696"/>
      <c r="U1297" s="1772"/>
      <c r="V1297" s="1696"/>
      <c r="W1297" s="1772"/>
      <c r="X1297" s="1696"/>
      <c r="Y1297" s="1696"/>
      <c r="Z1297" s="1773"/>
    </row>
    <row r="1298">
      <c r="A1298" s="1771"/>
      <c r="B1298" s="1777"/>
      <c r="C1298" s="1771"/>
      <c r="D1298" s="1771"/>
      <c r="E1298" s="1771"/>
      <c r="F1298" s="1771"/>
      <c r="G1298" s="1770"/>
      <c r="H1298" s="1771"/>
      <c r="I1298" s="1778"/>
      <c r="J1298" s="1771"/>
      <c r="K1298" s="1771"/>
      <c r="L1298" s="1771"/>
      <c r="M1298" s="1771"/>
      <c r="N1298" s="1779"/>
      <c r="O1298" s="1770"/>
      <c r="P1298" s="1771"/>
      <c r="Q1298" s="1766"/>
      <c r="R1298" s="1766"/>
      <c r="S1298" s="1696"/>
      <c r="T1298" s="1696"/>
      <c r="U1298" s="1772"/>
      <c r="V1298" s="1696"/>
      <c r="W1298" s="1772"/>
      <c r="X1298" s="1696"/>
      <c r="Y1298" s="1696"/>
      <c r="Z1298" s="1773"/>
    </row>
    <row r="1299">
      <c r="A1299" s="1766"/>
      <c r="B1299" s="1780"/>
      <c r="C1299" s="1766"/>
      <c r="D1299" s="1766"/>
      <c r="E1299" s="1766"/>
      <c r="F1299" s="1766"/>
      <c r="G1299" s="1766"/>
      <c r="H1299" s="1766"/>
      <c r="I1299" s="1766"/>
      <c r="J1299" s="1766"/>
      <c r="K1299" s="1766"/>
      <c r="L1299" s="1766"/>
      <c r="M1299" s="1766"/>
      <c r="N1299" s="1781"/>
      <c r="O1299" s="1766"/>
      <c r="P1299" s="1766"/>
      <c r="Q1299" s="1766"/>
      <c r="R1299" s="1766"/>
      <c r="S1299" s="1696"/>
      <c r="T1299" s="1696"/>
      <c r="U1299" s="1772"/>
      <c r="V1299" s="1696"/>
      <c r="W1299" s="1772"/>
      <c r="X1299" s="1696"/>
      <c r="Y1299" s="1696"/>
      <c r="Z1299" s="1773"/>
    </row>
    <row r="1300">
      <c r="A1300" s="1765"/>
      <c r="B1300" s="1782"/>
      <c r="C1300" s="1765"/>
      <c r="D1300" s="1765"/>
      <c r="E1300" s="1765"/>
      <c r="F1300" s="1765"/>
      <c r="G1300" s="1765"/>
      <c r="H1300" s="1765"/>
      <c r="I1300" s="1765"/>
      <c r="J1300" s="1765"/>
      <c r="K1300" s="1765"/>
      <c r="L1300" s="1765"/>
      <c r="M1300" s="1765"/>
      <c r="N1300" s="1765"/>
      <c r="O1300" s="1765"/>
      <c r="P1300" s="1765"/>
      <c r="Q1300" s="1766"/>
      <c r="R1300" s="1766"/>
      <c r="S1300" s="1696"/>
      <c r="T1300" s="1696"/>
      <c r="U1300" s="1772"/>
      <c r="V1300" s="1696"/>
      <c r="W1300" s="1772"/>
      <c r="X1300" s="1696"/>
      <c r="Y1300" s="1696"/>
      <c r="Z1300" s="1773"/>
    </row>
    <row r="1301">
      <c r="A1301" s="1771"/>
      <c r="B1301" s="1777"/>
      <c r="C1301" s="1771"/>
      <c r="D1301" s="1771"/>
      <c r="E1301" s="1771"/>
      <c r="F1301" s="1771"/>
      <c r="G1301" s="1777"/>
      <c r="H1301" s="1771"/>
      <c r="I1301" s="1778"/>
      <c r="J1301" s="1771"/>
      <c r="K1301" s="1771"/>
      <c r="L1301" s="1771"/>
      <c r="M1301" s="1771"/>
      <c r="N1301" s="1779"/>
      <c r="O1301" s="1770"/>
      <c r="P1301" s="1771"/>
      <c r="Q1301" s="1766"/>
      <c r="R1301" s="1766"/>
      <c r="S1301" s="1696"/>
      <c r="T1301" s="1696"/>
      <c r="U1301" s="1772"/>
      <c r="V1301" s="1696"/>
      <c r="W1301" s="1772"/>
      <c r="X1301" s="1696"/>
      <c r="Y1301" s="1696"/>
      <c r="Z1301" s="1773"/>
    </row>
    <row r="1302">
      <c r="A1302" s="1766"/>
      <c r="B1302" s="1780"/>
      <c r="C1302" s="1766"/>
      <c r="D1302" s="1766"/>
      <c r="E1302" s="1766"/>
      <c r="F1302" s="1766"/>
      <c r="G1302" s="1766"/>
      <c r="H1302" s="1766"/>
      <c r="I1302" s="1766"/>
      <c r="J1302" s="1766"/>
      <c r="K1302" s="1766"/>
      <c r="L1302" s="1766"/>
      <c r="M1302" s="1766"/>
      <c r="N1302" s="1781"/>
      <c r="O1302" s="1766"/>
      <c r="P1302" s="1766"/>
      <c r="Q1302" s="1766"/>
      <c r="R1302" s="1766"/>
      <c r="S1302" s="1696"/>
      <c r="T1302" s="1696"/>
      <c r="U1302" s="1772"/>
      <c r="V1302" s="1696"/>
      <c r="W1302" s="1772"/>
      <c r="X1302" s="1696"/>
      <c r="Y1302" s="1696"/>
      <c r="Z1302" s="1773"/>
    </row>
    <row r="1303">
      <c r="A1303" s="1765"/>
      <c r="B1303" s="1782"/>
      <c r="C1303" s="1765"/>
      <c r="D1303" s="1765"/>
      <c r="E1303" s="1765"/>
      <c r="F1303" s="1765"/>
      <c r="G1303" s="1765"/>
      <c r="H1303" s="1765"/>
      <c r="I1303" s="1765"/>
      <c r="J1303" s="1765"/>
      <c r="K1303" s="1765"/>
      <c r="L1303" s="1765"/>
      <c r="M1303" s="1765"/>
      <c r="N1303" s="1765"/>
      <c r="O1303" s="1765"/>
      <c r="P1303" s="1765"/>
      <c r="Q1303" s="1766"/>
      <c r="R1303" s="1766"/>
      <c r="S1303" s="1696"/>
      <c r="T1303" s="1696"/>
      <c r="U1303" s="1772"/>
      <c r="V1303" s="1696"/>
      <c r="W1303" s="1772"/>
      <c r="X1303" s="1696"/>
      <c r="Y1303" s="1696"/>
      <c r="Z1303" s="1773"/>
    </row>
    <row r="1304">
      <c r="A1304" s="1771"/>
      <c r="B1304" s="1777"/>
      <c r="C1304" s="1771"/>
      <c r="D1304" s="1771"/>
      <c r="E1304" s="1771"/>
      <c r="F1304" s="1771"/>
      <c r="G1304" s="1770"/>
      <c r="H1304" s="1771"/>
      <c r="I1304" s="1778"/>
      <c r="J1304" s="1771"/>
      <c r="K1304" s="1771"/>
      <c r="L1304" s="1771"/>
      <c r="M1304" s="1771"/>
      <c r="N1304" s="1779"/>
      <c r="O1304" s="1770"/>
      <c r="P1304" s="1771"/>
      <c r="Q1304" s="1766"/>
      <c r="R1304" s="1766"/>
      <c r="S1304" s="1696"/>
      <c r="T1304" s="1696"/>
      <c r="U1304" s="1772"/>
      <c r="V1304" s="1696"/>
      <c r="W1304" s="1772"/>
      <c r="X1304" s="1696"/>
      <c r="Y1304" s="1696"/>
      <c r="Z1304" s="1773"/>
    </row>
    <row r="1305">
      <c r="A1305" s="1766"/>
      <c r="B1305" s="1780"/>
      <c r="C1305" s="1766"/>
      <c r="D1305" s="1766"/>
      <c r="E1305" s="1766"/>
      <c r="F1305" s="1766"/>
      <c r="G1305" s="1766"/>
      <c r="H1305" s="1766"/>
      <c r="I1305" s="1766"/>
      <c r="J1305" s="1766"/>
      <c r="K1305" s="1766"/>
      <c r="L1305" s="1766"/>
      <c r="M1305" s="1766"/>
      <c r="N1305" s="1781"/>
      <c r="O1305" s="1766"/>
      <c r="P1305" s="1766"/>
      <c r="Q1305" s="1766"/>
      <c r="R1305" s="1766"/>
      <c r="S1305" s="1696"/>
      <c r="T1305" s="1696"/>
      <c r="U1305" s="1772"/>
      <c r="V1305" s="1696"/>
      <c r="W1305" s="1772"/>
      <c r="X1305" s="1696"/>
      <c r="Y1305" s="1696"/>
      <c r="Z1305" s="1773"/>
    </row>
    <row r="1306">
      <c r="A1306" s="1765"/>
      <c r="B1306" s="1782"/>
      <c r="C1306" s="1765"/>
      <c r="D1306" s="1765"/>
      <c r="E1306" s="1765"/>
      <c r="F1306" s="1765"/>
      <c r="G1306" s="1765"/>
      <c r="H1306" s="1765"/>
      <c r="I1306" s="1765"/>
      <c r="J1306" s="1765"/>
      <c r="K1306" s="1765"/>
      <c r="L1306" s="1765"/>
      <c r="M1306" s="1765"/>
      <c r="N1306" s="1765"/>
      <c r="O1306" s="1765"/>
      <c r="P1306" s="1765"/>
      <c r="Q1306" s="1766"/>
      <c r="R1306" s="1766"/>
      <c r="S1306" s="1696"/>
      <c r="T1306" s="1696"/>
      <c r="U1306" s="1772"/>
      <c r="V1306" s="1696"/>
      <c r="W1306" s="1772"/>
      <c r="X1306" s="1696"/>
      <c r="Y1306" s="1696"/>
      <c r="Z1306" s="1773"/>
    </row>
    <row r="1307">
      <c r="A1307" s="1771"/>
      <c r="B1307" s="1777"/>
      <c r="C1307" s="1771"/>
      <c r="D1307" s="1771"/>
      <c r="E1307" s="1771"/>
      <c r="F1307" s="1771"/>
      <c r="G1307" s="1770"/>
      <c r="H1307" s="1771"/>
      <c r="I1307" s="1778"/>
      <c r="J1307" s="1771"/>
      <c r="K1307" s="1771"/>
      <c r="L1307" s="1771"/>
      <c r="M1307" s="1771"/>
      <c r="N1307" s="1779"/>
      <c r="O1307" s="1770"/>
      <c r="P1307" s="1771"/>
      <c r="Q1307" s="1766"/>
      <c r="R1307" s="1766"/>
      <c r="S1307" s="1696"/>
      <c r="T1307" s="1696"/>
      <c r="U1307" s="1772"/>
      <c r="V1307" s="1696"/>
      <c r="W1307" s="1772"/>
      <c r="X1307" s="1696"/>
      <c r="Y1307" s="1696"/>
      <c r="Z1307" s="1773"/>
    </row>
    <row r="1308">
      <c r="A1308" s="1766"/>
      <c r="B1308" s="1780"/>
      <c r="C1308" s="1766"/>
      <c r="D1308" s="1766"/>
      <c r="E1308" s="1766"/>
      <c r="F1308" s="1766"/>
      <c r="G1308" s="1766"/>
      <c r="H1308" s="1766"/>
      <c r="I1308" s="1766"/>
      <c r="J1308" s="1766"/>
      <c r="K1308" s="1766"/>
      <c r="L1308" s="1766"/>
      <c r="M1308" s="1766"/>
      <c r="N1308" s="1781"/>
      <c r="O1308" s="1766"/>
      <c r="P1308" s="1766"/>
      <c r="Q1308" s="1766"/>
      <c r="R1308" s="1766"/>
      <c r="S1308" s="1696"/>
      <c r="T1308" s="1696"/>
      <c r="U1308" s="1772"/>
      <c r="V1308" s="1696"/>
      <c r="W1308" s="1772"/>
      <c r="X1308" s="1696"/>
      <c r="Y1308" s="1696"/>
      <c r="Z1308" s="1773"/>
    </row>
    <row r="1309">
      <c r="A1309" s="1765"/>
      <c r="B1309" s="1782"/>
      <c r="C1309" s="1765"/>
      <c r="D1309" s="1765"/>
      <c r="E1309" s="1765"/>
      <c r="F1309" s="1765"/>
      <c r="G1309" s="1765"/>
      <c r="H1309" s="1765"/>
      <c r="I1309" s="1765"/>
      <c r="J1309" s="1765"/>
      <c r="K1309" s="1765"/>
      <c r="L1309" s="1765"/>
      <c r="M1309" s="1765"/>
      <c r="N1309" s="1765"/>
      <c r="O1309" s="1765"/>
      <c r="P1309" s="1765"/>
      <c r="Q1309" s="1766"/>
      <c r="R1309" s="1766"/>
      <c r="S1309" s="1696"/>
      <c r="T1309" s="1696"/>
      <c r="U1309" s="1772"/>
      <c r="V1309" s="1696"/>
      <c r="W1309" s="1772"/>
      <c r="X1309" s="1696"/>
      <c r="Y1309" s="1696"/>
      <c r="Z1309" s="1773"/>
    </row>
    <row r="1310">
      <c r="A1310" s="1771"/>
      <c r="B1310" s="1777"/>
      <c r="C1310" s="1771"/>
      <c r="D1310" s="1771"/>
      <c r="E1310" s="1771"/>
      <c r="F1310" s="1771"/>
      <c r="G1310" s="1770"/>
      <c r="H1310" s="1771"/>
      <c r="I1310" s="1778"/>
      <c r="J1310" s="1771"/>
      <c r="K1310" s="1771"/>
      <c r="L1310" s="1771"/>
      <c r="M1310" s="1771"/>
      <c r="N1310" s="1779"/>
      <c r="O1310" s="1770"/>
      <c r="P1310" s="1771"/>
      <c r="Q1310" s="1766"/>
      <c r="R1310" s="1766"/>
      <c r="S1310" s="1696"/>
      <c r="T1310" s="1696"/>
      <c r="U1310" s="1772"/>
      <c r="V1310" s="1696"/>
      <c r="W1310" s="1772"/>
      <c r="X1310" s="1696"/>
      <c r="Y1310" s="1696"/>
      <c r="Z1310" s="1773"/>
    </row>
    <row r="1311">
      <c r="A1311" s="1766"/>
      <c r="B1311" s="1780"/>
      <c r="C1311" s="1766"/>
      <c r="D1311" s="1766"/>
      <c r="E1311" s="1766"/>
      <c r="F1311" s="1766"/>
      <c r="G1311" s="1766"/>
      <c r="H1311" s="1766"/>
      <c r="I1311" s="1766"/>
      <c r="J1311" s="1766"/>
      <c r="K1311" s="1766"/>
      <c r="L1311" s="1766"/>
      <c r="M1311" s="1766"/>
      <c r="N1311" s="1781"/>
      <c r="O1311" s="1766"/>
      <c r="P1311" s="1766"/>
      <c r="Q1311" s="1766"/>
      <c r="R1311" s="1766"/>
      <c r="S1311" s="1696"/>
      <c r="T1311" s="1696"/>
      <c r="U1311" s="1772"/>
      <c r="V1311" s="1696"/>
      <c r="W1311" s="1772"/>
      <c r="X1311" s="1696"/>
      <c r="Y1311" s="1696"/>
      <c r="Z1311" s="1773"/>
    </row>
    <row r="1312">
      <c r="A1312" s="1765"/>
      <c r="B1312" s="1782"/>
      <c r="C1312" s="1765"/>
      <c r="D1312" s="1765"/>
      <c r="E1312" s="1765"/>
      <c r="F1312" s="1765"/>
      <c r="G1312" s="1765"/>
      <c r="H1312" s="1765"/>
      <c r="I1312" s="1765"/>
      <c r="J1312" s="1765"/>
      <c r="K1312" s="1765"/>
      <c r="L1312" s="1765"/>
      <c r="M1312" s="1765"/>
      <c r="N1312" s="1765"/>
      <c r="O1312" s="1765"/>
      <c r="P1312" s="1765"/>
      <c r="Q1312" s="1766"/>
      <c r="R1312" s="1766"/>
      <c r="S1312" s="1696"/>
      <c r="T1312" s="1696"/>
      <c r="U1312" s="1772"/>
      <c r="V1312" s="1696"/>
      <c r="W1312" s="1772"/>
      <c r="X1312" s="1696"/>
      <c r="Y1312" s="1696"/>
      <c r="Z1312" s="1773"/>
    </row>
    <row r="1313">
      <c r="A1313" s="1771"/>
      <c r="B1313" s="1777"/>
      <c r="C1313" s="1771"/>
      <c r="D1313" s="1771"/>
      <c r="E1313" s="1771"/>
      <c r="F1313" s="1771"/>
      <c r="G1313" s="1770"/>
      <c r="H1313" s="1771"/>
      <c r="I1313" s="1778"/>
      <c r="J1313" s="1771"/>
      <c r="K1313" s="1771"/>
      <c r="L1313" s="1771"/>
      <c r="M1313" s="1771"/>
      <c r="N1313" s="1779"/>
      <c r="O1313" s="1770"/>
      <c r="P1313" s="1771"/>
      <c r="Q1313" s="1766"/>
      <c r="R1313" s="1766"/>
      <c r="S1313" s="1696"/>
      <c r="T1313" s="1696"/>
      <c r="U1313" s="1772"/>
      <c r="V1313" s="1696"/>
      <c r="W1313" s="1772"/>
      <c r="X1313" s="1696"/>
      <c r="Y1313" s="1696"/>
      <c r="Z1313" s="1773"/>
    </row>
    <row r="1314">
      <c r="A1314" s="1766"/>
      <c r="B1314" s="1780"/>
      <c r="C1314" s="1766"/>
      <c r="D1314" s="1766"/>
      <c r="E1314" s="1766"/>
      <c r="F1314" s="1766"/>
      <c r="G1314" s="1766"/>
      <c r="H1314" s="1766"/>
      <c r="I1314" s="1766"/>
      <c r="J1314" s="1766"/>
      <c r="K1314" s="1766"/>
      <c r="L1314" s="1766"/>
      <c r="M1314" s="1766"/>
      <c r="N1314" s="1781"/>
      <c r="O1314" s="1766"/>
      <c r="P1314" s="1766"/>
      <c r="Q1314" s="1766"/>
      <c r="R1314" s="1766"/>
      <c r="S1314" s="1696"/>
      <c r="T1314" s="1696"/>
      <c r="U1314" s="1772"/>
      <c r="V1314" s="1696"/>
      <c r="W1314" s="1772"/>
      <c r="X1314" s="1696"/>
      <c r="Y1314" s="1696"/>
      <c r="Z1314" s="1773"/>
    </row>
    <row r="1315">
      <c r="A1315" s="1765"/>
      <c r="B1315" s="1782"/>
      <c r="C1315" s="1765"/>
      <c r="D1315" s="1765"/>
      <c r="E1315" s="1765"/>
      <c r="F1315" s="1765"/>
      <c r="G1315" s="1765"/>
      <c r="H1315" s="1765"/>
      <c r="I1315" s="1765"/>
      <c r="J1315" s="1765"/>
      <c r="K1315" s="1765"/>
      <c r="L1315" s="1765"/>
      <c r="M1315" s="1765"/>
      <c r="N1315" s="1765"/>
      <c r="O1315" s="1765"/>
      <c r="P1315" s="1765"/>
      <c r="Q1315" s="1766"/>
      <c r="R1315" s="1766"/>
      <c r="S1315" s="1696"/>
      <c r="T1315" s="1696"/>
      <c r="U1315" s="1772"/>
      <c r="V1315" s="1696"/>
      <c r="W1315" s="1772"/>
      <c r="X1315" s="1696"/>
      <c r="Y1315" s="1696"/>
      <c r="Z1315" s="1773"/>
    </row>
    <row r="1316">
      <c r="A1316" s="1771"/>
      <c r="B1316" s="1777"/>
      <c r="C1316" s="1771"/>
      <c r="D1316" s="1771"/>
      <c r="E1316" s="1771"/>
      <c r="F1316" s="1771"/>
      <c r="G1316" s="1777"/>
      <c r="H1316" s="1771"/>
      <c r="I1316" s="1778"/>
      <c r="J1316" s="1771"/>
      <c r="K1316" s="1771"/>
      <c r="L1316" s="1771"/>
      <c r="M1316" s="1771"/>
      <c r="N1316" s="1779"/>
      <c r="O1316" s="1770"/>
      <c r="P1316" s="1771"/>
      <c r="Q1316" s="1766"/>
      <c r="R1316" s="1766"/>
      <c r="S1316" s="1696"/>
      <c r="T1316" s="1696"/>
      <c r="U1316" s="1772"/>
      <c r="V1316" s="1696"/>
      <c r="W1316" s="1772"/>
      <c r="X1316" s="1696"/>
      <c r="Y1316" s="1696"/>
      <c r="Z1316" s="1773"/>
    </row>
    <row r="1317">
      <c r="A1317" s="1766"/>
      <c r="B1317" s="1780"/>
      <c r="C1317" s="1766"/>
      <c r="D1317" s="1766"/>
      <c r="E1317" s="1766"/>
      <c r="F1317" s="1766"/>
      <c r="G1317" s="1766"/>
      <c r="H1317" s="1766"/>
      <c r="I1317" s="1766"/>
      <c r="J1317" s="1766"/>
      <c r="K1317" s="1766"/>
      <c r="L1317" s="1766"/>
      <c r="M1317" s="1766"/>
      <c r="N1317" s="1781"/>
      <c r="O1317" s="1766"/>
      <c r="P1317" s="1766"/>
      <c r="Q1317" s="1766"/>
      <c r="R1317" s="1766"/>
      <c r="S1317" s="1696"/>
      <c r="T1317" s="1696"/>
      <c r="U1317" s="1772"/>
      <c r="V1317" s="1696"/>
      <c r="W1317" s="1772"/>
      <c r="X1317" s="1696"/>
      <c r="Y1317" s="1696"/>
      <c r="Z1317" s="1773"/>
    </row>
    <row r="1318">
      <c r="A1318" s="1765"/>
      <c r="B1318" s="1782"/>
      <c r="C1318" s="1765"/>
      <c r="D1318" s="1765"/>
      <c r="E1318" s="1765"/>
      <c r="F1318" s="1765"/>
      <c r="G1318" s="1765"/>
      <c r="H1318" s="1765"/>
      <c r="I1318" s="1765"/>
      <c r="J1318" s="1765"/>
      <c r="K1318" s="1765"/>
      <c r="L1318" s="1765"/>
      <c r="M1318" s="1765"/>
      <c r="N1318" s="1765"/>
      <c r="O1318" s="1765"/>
      <c r="P1318" s="1765"/>
      <c r="Q1318" s="1766"/>
      <c r="R1318" s="1766"/>
      <c r="S1318" s="1696"/>
      <c r="T1318" s="1696"/>
      <c r="U1318" s="1772"/>
      <c r="V1318" s="1696"/>
      <c r="W1318" s="1772"/>
      <c r="X1318" s="1696"/>
      <c r="Y1318" s="1696"/>
      <c r="Z1318" s="1773"/>
    </row>
    <row r="1319">
      <c r="A1319" s="1771"/>
      <c r="B1319" s="1777"/>
      <c r="C1319" s="1771"/>
      <c r="D1319" s="1771"/>
      <c r="E1319" s="1771"/>
      <c r="F1319" s="1771"/>
      <c r="G1319" s="1770"/>
      <c r="H1319" s="1771"/>
      <c r="I1319" s="1778"/>
      <c r="J1319" s="1771"/>
      <c r="K1319" s="1771"/>
      <c r="L1319" s="1771"/>
      <c r="M1319" s="1771"/>
      <c r="N1319" s="1779"/>
      <c r="O1319" s="1770"/>
      <c r="P1319" s="1771"/>
      <c r="Q1319" s="1766"/>
      <c r="R1319" s="1766"/>
      <c r="S1319" s="1696"/>
      <c r="T1319" s="1696"/>
      <c r="U1319" s="1772"/>
      <c r="V1319" s="1696"/>
      <c r="W1319" s="1772"/>
      <c r="X1319" s="1696"/>
      <c r="Y1319" s="1696"/>
      <c r="Z1319" s="1773"/>
    </row>
    <row r="1320">
      <c r="A1320" s="1766"/>
      <c r="B1320" s="1780"/>
      <c r="C1320" s="1766"/>
      <c r="D1320" s="1766"/>
      <c r="E1320" s="1766"/>
      <c r="F1320" s="1766"/>
      <c r="G1320" s="1766"/>
      <c r="H1320" s="1766"/>
      <c r="I1320" s="1766"/>
      <c r="J1320" s="1766"/>
      <c r="K1320" s="1766"/>
      <c r="L1320" s="1766"/>
      <c r="M1320" s="1766"/>
      <c r="N1320" s="1781"/>
      <c r="O1320" s="1766"/>
      <c r="P1320" s="1766"/>
      <c r="Q1320" s="1766"/>
      <c r="R1320" s="1766"/>
      <c r="S1320" s="1696"/>
      <c r="T1320" s="1696"/>
      <c r="U1320" s="1772"/>
      <c r="V1320" s="1696"/>
      <c r="W1320" s="1772"/>
      <c r="X1320" s="1696"/>
      <c r="Y1320" s="1696"/>
      <c r="Z1320" s="1773"/>
    </row>
    <row r="1321">
      <c r="A1321" s="1765"/>
      <c r="B1321" s="1782"/>
      <c r="C1321" s="1765"/>
      <c r="D1321" s="1765"/>
      <c r="E1321" s="1765"/>
      <c r="F1321" s="1765"/>
      <c r="G1321" s="1765"/>
      <c r="H1321" s="1765"/>
      <c r="I1321" s="1765"/>
      <c r="J1321" s="1765"/>
      <c r="K1321" s="1765"/>
      <c r="L1321" s="1765"/>
      <c r="M1321" s="1765"/>
      <c r="N1321" s="1765"/>
      <c r="O1321" s="1765"/>
      <c r="P1321" s="1765"/>
      <c r="Q1321" s="1766"/>
      <c r="R1321" s="1766"/>
      <c r="S1321" s="1696"/>
      <c r="T1321" s="1696"/>
      <c r="U1321" s="1772"/>
      <c r="V1321" s="1696"/>
      <c r="W1321" s="1772"/>
      <c r="X1321" s="1696"/>
      <c r="Y1321" s="1696"/>
      <c r="Z1321" s="1773"/>
    </row>
    <row r="1322">
      <c r="A1322" s="1771"/>
      <c r="B1322" s="1777"/>
      <c r="C1322" s="1771"/>
      <c r="D1322" s="1771"/>
      <c r="E1322" s="1771"/>
      <c r="F1322" s="1771"/>
      <c r="G1322" s="1770"/>
      <c r="H1322" s="1771"/>
      <c r="I1322" s="1778"/>
      <c r="J1322" s="1771"/>
      <c r="K1322" s="1771"/>
      <c r="L1322" s="1771"/>
      <c r="M1322" s="1771"/>
      <c r="N1322" s="1779"/>
      <c r="O1322" s="1770"/>
      <c r="P1322" s="1771"/>
      <c r="Q1322" s="1766"/>
      <c r="R1322" s="1766"/>
      <c r="S1322" s="1696"/>
      <c r="T1322" s="1696"/>
      <c r="U1322" s="1772"/>
      <c r="V1322" s="1696"/>
      <c r="W1322" s="1772"/>
      <c r="X1322" s="1696"/>
      <c r="Y1322" s="1696"/>
      <c r="Z1322" s="1773"/>
    </row>
    <row r="1323">
      <c r="A1323" s="1766"/>
      <c r="B1323" s="1780"/>
      <c r="C1323" s="1766"/>
      <c r="D1323" s="1766"/>
      <c r="E1323" s="1766"/>
      <c r="F1323" s="1766"/>
      <c r="G1323" s="1766"/>
      <c r="H1323" s="1766"/>
      <c r="I1323" s="1766"/>
      <c r="J1323" s="1766"/>
      <c r="K1323" s="1766"/>
      <c r="L1323" s="1766"/>
      <c r="M1323" s="1766"/>
      <c r="N1323" s="1781"/>
      <c r="O1323" s="1766"/>
      <c r="P1323" s="1766"/>
      <c r="Q1323" s="1766"/>
      <c r="R1323" s="1766"/>
      <c r="S1323" s="1696"/>
      <c r="T1323" s="1696"/>
      <c r="U1323" s="1772"/>
      <c r="V1323" s="1696"/>
      <c r="W1323" s="1772"/>
      <c r="X1323" s="1696"/>
      <c r="Y1323" s="1696"/>
      <c r="Z1323" s="1773"/>
    </row>
    <row r="1324">
      <c r="A1324" s="1765"/>
      <c r="B1324" s="1782"/>
      <c r="C1324" s="1765"/>
      <c r="D1324" s="1765"/>
      <c r="E1324" s="1765"/>
      <c r="F1324" s="1765"/>
      <c r="G1324" s="1765"/>
      <c r="H1324" s="1765"/>
      <c r="I1324" s="1765"/>
      <c r="J1324" s="1765"/>
      <c r="K1324" s="1765"/>
      <c r="L1324" s="1765"/>
      <c r="M1324" s="1765"/>
      <c r="N1324" s="1765"/>
      <c r="O1324" s="1765"/>
      <c r="P1324" s="1765"/>
      <c r="Q1324" s="1766"/>
      <c r="R1324" s="1766"/>
      <c r="S1324" s="1696"/>
      <c r="T1324" s="1696"/>
      <c r="U1324" s="1772"/>
      <c r="V1324" s="1696"/>
      <c r="W1324" s="1772"/>
      <c r="X1324" s="1696"/>
      <c r="Y1324" s="1696"/>
      <c r="Z1324" s="1773"/>
    </row>
    <row r="1325">
      <c r="A1325" s="1771"/>
      <c r="B1325" s="1777"/>
      <c r="C1325" s="1771"/>
      <c r="D1325" s="1771"/>
      <c r="E1325" s="1771"/>
      <c r="F1325" s="1771"/>
      <c r="G1325" s="1770"/>
      <c r="H1325" s="1771"/>
      <c r="I1325" s="1778"/>
      <c r="J1325" s="1771"/>
      <c r="K1325" s="1771"/>
      <c r="L1325" s="1771"/>
      <c r="M1325" s="1771"/>
      <c r="N1325" s="1779"/>
      <c r="O1325" s="1770"/>
      <c r="P1325" s="1771"/>
      <c r="Q1325" s="1766"/>
      <c r="R1325" s="1766"/>
      <c r="S1325" s="1696"/>
      <c r="T1325" s="1696"/>
      <c r="U1325" s="1772"/>
      <c r="V1325" s="1696"/>
      <c r="W1325" s="1772"/>
      <c r="X1325" s="1696"/>
      <c r="Y1325" s="1696"/>
      <c r="Z1325" s="1773"/>
    </row>
    <row r="1326">
      <c r="A1326" s="1766"/>
      <c r="B1326" s="1780"/>
      <c r="C1326" s="1766"/>
      <c r="D1326" s="1766"/>
      <c r="E1326" s="1766"/>
      <c r="F1326" s="1766"/>
      <c r="G1326" s="1766"/>
      <c r="H1326" s="1766"/>
      <c r="I1326" s="1766"/>
      <c r="J1326" s="1766"/>
      <c r="K1326" s="1766"/>
      <c r="L1326" s="1766"/>
      <c r="M1326" s="1766"/>
      <c r="N1326" s="1781"/>
      <c r="O1326" s="1766"/>
      <c r="P1326" s="1766"/>
      <c r="Q1326" s="1766"/>
      <c r="R1326" s="1766"/>
      <c r="S1326" s="1696"/>
      <c r="T1326" s="1696"/>
      <c r="U1326" s="1772"/>
      <c r="V1326" s="1696"/>
      <c r="W1326" s="1772"/>
      <c r="X1326" s="1696"/>
      <c r="Y1326" s="1696"/>
      <c r="Z1326" s="1773"/>
    </row>
    <row r="1327">
      <c r="A1327" s="1765"/>
      <c r="B1327" s="1782"/>
      <c r="C1327" s="1765"/>
      <c r="D1327" s="1765"/>
      <c r="E1327" s="1765"/>
      <c r="F1327" s="1765"/>
      <c r="G1327" s="1765"/>
      <c r="H1327" s="1765"/>
      <c r="I1327" s="1765"/>
      <c r="J1327" s="1765"/>
      <c r="K1327" s="1765"/>
      <c r="L1327" s="1765"/>
      <c r="M1327" s="1765"/>
      <c r="N1327" s="1765"/>
      <c r="O1327" s="1765"/>
      <c r="P1327" s="1765"/>
      <c r="Q1327" s="1766"/>
      <c r="R1327" s="1766"/>
      <c r="S1327" s="1696"/>
      <c r="T1327" s="1696"/>
      <c r="U1327" s="1772"/>
      <c r="V1327" s="1696"/>
      <c r="W1327" s="1772"/>
      <c r="X1327" s="1696"/>
      <c r="Y1327" s="1696"/>
      <c r="Z1327" s="1773"/>
    </row>
    <row r="1328">
      <c r="A1328" s="1771"/>
      <c r="B1328" s="1777"/>
      <c r="C1328" s="1771"/>
      <c r="D1328" s="1771"/>
      <c r="E1328" s="1771"/>
      <c r="F1328" s="1771"/>
      <c r="G1328" s="1771"/>
      <c r="H1328" s="1771"/>
      <c r="I1328" s="1778"/>
      <c r="J1328" s="1771"/>
      <c r="K1328" s="1771"/>
      <c r="L1328" s="1771"/>
      <c r="M1328" s="1771"/>
      <c r="N1328" s="1779"/>
      <c r="O1328" s="1770"/>
      <c r="P1328" s="1771"/>
      <c r="Q1328" s="1766"/>
      <c r="R1328" s="1766"/>
      <c r="S1328" s="1696"/>
      <c r="T1328" s="1696"/>
      <c r="U1328" s="1772"/>
      <c r="V1328" s="1696"/>
      <c r="W1328" s="1772"/>
      <c r="X1328" s="1696"/>
      <c r="Y1328" s="1696"/>
      <c r="Z1328" s="1773"/>
    </row>
    <row r="1329">
      <c r="A1329" s="1766"/>
      <c r="B1329" s="1780"/>
      <c r="C1329" s="1766"/>
      <c r="D1329" s="1766"/>
      <c r="E1329" s="1766"/>
      <c r="F1329" s="1766"/>
      <c r="G1329" s="1766"/>
      <c r="H1329" s="1766"/>
      <c r="I1329" s="1766"/>
      <c r="J1329" s="1766"/>
      <c r="K1329" s="1766"/>
      <c r="L1329" s="1766"/>
      <c r="M1329" s="1766"/>
      <c r="N1329" s="1781"/>
      <c r="O1329" s="1766"/>
      <c r="P1329" s="1766"/>
      <c r="Q1329" s="1766"/>
      <c r="R1329" s="1766"/>
      <c r="S1329" s="1696"/>
      <c r="T1329" s="1696"/>
      <c r="U1329" s="1772"/>
      <c r="V1329" s="1696"/>
      <c r="W1329" s="1772"/>
      <c r="X1329" s="1696"/>
      <c r="Y1329" s="1696"/>
      <c r="Z1329" s="1773"/>
    </row>
    <row r="1330">
      <c r="A1330" s="1765"/>
      <c r="B1330" s="1782"/>
      <c r="C1330" s="1765"/>
      <c r="D1330" s="1765"/>
      <c r="E1330" s="1765"/>
      <c r="F1330" s="1765"/>
      <c r="G1330" s="1765"/>
      <c r="H1330" s="1765"/>
      <c r="I1330" s="1765"/>
      <c r="J1330" s="1765"/>
      <c r="K1330" s="1765"/>
      <c r="L1330" s="1765"/>
      <c r="M1330" s="1765"/>
      <c r="N1330" s="1765"/>
      <c r="O1330" s="1765"/>
      <c r="P1330" s="1765"/>
      <c r="Q1330" s="1766"/>
      <c r="R1330" s="1766"/>
      <c r="S1330" s="1696"/>
      <c r="T1330" s="1696"/>
      <c r="U1330" s="1772"/>
      <c r="V1330" s="1696"/>
      <c r="W1330" s="1772"/>
      <c r="X1330" s="1696"/>
      <c r="Y1330" s="1696"/>
      <c r="Z1330" s="1773"/>
    </row>
    <row r="1331">
      <c r="A1331" s="1771"/>
      <c r="B1331" s="1777"/>
      <c r="C1331" s="1771"/>
      <c r="D1331" s="1771"/>
      <c r="E1331" s="1771"/>
      <c r="F1331" s="1771"/>
      <c r="G1331" s="1771"/>
      <c r="H1331" s="1771"/>
      <c r="I1331" s="1778"/>
      <c r="J1331" s="1771"/>
      <c r="K1331" s="1771"/>
      <c r="L1331" s="1771"/>
      <c r="M1331" s="1771"/>
      <c r="N1331" s="1779"/>
      <c r="O1331" s="1770"/>
      <c r="P1331" s="1771"/>
      <c r="Q1331" s="1766"/>
      <c r="R1331" s="1766"/>
      <c r="S1331" s="1696"/>
      <c r="T1331" s="1696"/>
      <c r="U1331" s="1772"/>
      <c r="V1331" s="1696"/>
      <c r="W1331" s="1772"/>
      <c r="X1331" s="1696"/>
      <c r="Y1331" s="1696"/>
      <c r="Z1331" s="1773"/>
    </row>
    <row r="1332">
      <c r="A1332" s="1766"/>
      <c r="B1332" s="1780"/>
      <c r="C1332" s="1766"/>
      <c r="D1332" s="1766"/>
      <c r="E1332" s="1766"/>
      <c r="F1332" s="1766"/>
      <c r="G1332" s="1766"/>
      <c r="H1332" s="1766"/>
      <c r="I1332" s="1766"/>
      <c r="J1332" s="1766"/>
      <c r="K1332" s="1766"/>
      <c r="L1332" s="1766"/>
      <c r="M1332" s="1766"/>
      <c r="N1332" s="1781"/>
      <c r="O1332" s="1766"/>
      <c r="P1332" s="1766"/>
      <c r="Q1332" s="1766"/>
      <c r="R1332" s="1766"/>
      <c r="S1332" s="1696"/>
      <c r="T1332" s="1696"/>
      <c r="U1332" s="1772"/>
      <c r="V1332" s="1696"/>
      <c r="W1332" s="1772"/>
      <c r="X1332" s="1696"/>
      <c r="Y1332" s="1696"/>
      <c r="Z1332" s="1773"/>
    </row>
    <row r="1333">
      <c r="A1333" s="1765"/>
      <c r="B1333" s="1782"/>
      <c r="C1333" s="1765"/>
      <c r="D1333" s="1765"/>
      <c r="E1333" s="1765"/>
      <c r="F1333" s="1765"/>
      <c r="G1333" s="1765"/>
      <c r="H1333" s="1765"/>
      <c r="I1333" s="1765"/>
      <c r="J1333" s="1765"/>
      <c r="K1333" s="1765"/>
      <c r="L1333" s="1765"/>
      <c r="M1333" s="1765"/>
      <c r="N1333" s="1765"/>
      <c r="O1333" s="1765"/>
      <c r="P1333" s="1765"/>
      <c r="Q1333" s="1766"/>
      <c r="R1333" s="1766"/>
      <c r="S1333" s="1696"/>
      <c r="T1333" s="1696"/>
      <c r="U1333" s="1772"/>
      <c r="V1333" s="1696"/>
      <c r="W1333" s="1772"/>
      <c r="X1333" s="1696"/>
      <c r="Y1333" s="1696"/>
      <c r="Z1333" s="1773"/>
    </row>
    <row r="1334">
      <c r="A1334" s="1771"/>
      <c r="B1334" s="1777"/>
      <c r="C1334" s="1771"/>
      <c r="D1334" s="1771"/>
      <c r="E1334" s="1771"/>
      <c r="F1334" s="1771"/>
      <c r="G1334" s="1770"/>
      <c r="H1334" s="1771"/>
      <c r="I1334" s="1778"/>
      <c r="J1334" s="1771"/>
      <c r="K1334" s="1771"/>
      <c r="L1334" s="1771"/>
      <c r="M1334" s="1771"/>
      <c r="N1334" s="1779"/>
      <c r="O1334" s="1770"/>
      <c r="P1334" s="1771"/>
      <c r="Q1334" s="1766"/>
      <c r="R1334" s="1766"/>
      <c r="S1334" s="1696"/>
      <c r="T1334" s="1696"/>
      <c r="U1334" s="1772"/>
      <c r="V1334" s="1696"/>
      <c r="W1334" s="1772"/>
      <c r="X1334" s="1696"/>
      <c r="Y1334" s="1696"/>
      <c r="Z1334" s="1773"/>
    </row>
    <row r="1335">
      <c r="A1335" s="1766"/>
      <c r="B1335" s="1780"/>
      <c r="C1335" s="1766"/>
      <c r="D1335" s="1766"/>
      <c r="E1335" s="1766"/>
      <c r="F1335" s="1766"/>
      <c r="G1335" s="1766"/>
      <c r="H1335" s="1766"/>
      <c r="I1335" s="1766"/>
      <c r="J1335" s="1766"/>
      <c r="K1335" s="1766"/>
      <c r="L1335" s="1766"/>
      <c r="M1335" s="1766"/>
      <c r="N1335" s="1781"/>
      <c r="O1335" s="1766"/>
      <c r="P1335" s="1766"/>
      <c r="Q1335" s="1766"/>
      <c r="R1335" s="1766"/>
      <c r="S1335" s="1696"/>
      <c r="T1335" s="1696"/>
      <c r="U1335" s="1772"/>
      <c r="V1335" s="1696"/>
      <c r="W1335" s="1772"/>
      <c r="X1335" s="1696"/>
      <c r="Y1335" s="1696"/>
      <c r="Z1335" s="1773"/>
    </row>
    <row r="1336">
      <c r="A1336" s="1765"/>
      <c r="B1336" s="1782"/>
      <c r="C1336" s="1765"/>
      <c r="D1336" s="1765"/>
      <c r="E1336" s="1765"/>
      <c r="F1336" s="1765"/>
      <c r="G1336" s="1765"/>
      <c r="H1336" s="1765"/>
      <c r="I1336" s="1765"/>
      <c r="J1336" s="1765"/>
      <c r="K1336" s="1765"/>
      <c r="L1336" s="1765"/>
      <c r="M1336" s="1765"/>
      <c r="N1336" s="1765"/>
      <c r="O1336" s="1765"/>
      <c r="P1336" s="1765"/>
      <c r="Q1336" s="1766"/>
      <c r="R1336" s="1766"/>
      <c r="S1336" s="1696"/>
      <c r="T1336" s="1696"/>
      <c r="U1336" s="1772"/>
      <c r="V1336" s="1696"/>
      <c r="W1336" s="1772"/>
      <c r="X1336" s="1696"/>
      <c r="Y1336" s="1696"/>
      <c r="Z1336" s="1773"/>
    </row>
    <row r="1337">
      <c r="A1337" s="1771"/>
      <c r="B1337" s="1777"/>
      <c r="C1337" s="1771"/>
      <c r="D1337" s="1771"/>
      <c r="E1337" s="1771"/>
      <c r="F1337" s="1771"/>
      <c r="G1337" s="1771"/>
      <c r="H1337" s="1771"/>
      <c r="I1337" s="1778"/>
      <c r="J1337" s="1771"/>
      <c r="K1337" s="1771"/>
      <c r="L1337" s="1771"/>
      <c r="M1337" s="1771"/>
      <c r="N1337" s="1779"/>
      <c r="O1337" s="1770"/>
      <c r="P1337" s="1771"/>
      <c r="Q1337" s="1766"/>
      <c r="R1337" s="1766"/>
      <c r="S1337" s="1696"/>
      <c r="T1337" s="1696"/>
      <c r="U1337" s="1772"/>
      <c r="V1337" s="1696"/>
      <c r="W1337" s="1772"/>
      <c r="X1337" s="1696"/>
      <c r="Y1337" s="1696"/>
      <c r="Z1337" s="1773"/>
    </row>
    <row r="1338">
      <c r="A1338" s="1766"/>
      <c r="B1338" s="1780"/>
      <c r="C1338" s="1766"/>
      <c r="D1338" s="1766"/>
      <c r="E1338" s="1766"/>
      <c r="F1338" s="1766"/>
      <c r="G1338" s="1766"/>
      <c r="H1338" s="1766"/>
      <c r="I1338" s="1766"/>
      <c r="J1338" s="1766"/>
      <c r="K1338" s="1766"/>
      <c r="L1338" s="1766"/>
      <c r="M1338" s="1766"/>
      <c r="N1338" s="1781"/>
      <c r="O1338" s="1766"/>
      <c r="P1338" s="1766"/>
      <c r="Q1338" s="1766"/>
      <c r="R1338" s="1766"/>
      <c r="S1338" s="1696"/>
      <c r="T1338" s="1696"/>
      <c r="U1338" s="1772"/>
      <c r="V1338" s="1696"/>
      <c r="W1338" s="1772"/>
      <c r="X1338" s="1696"/>
      <c r="Y1338" s="1696"/>
      <c r="Z1338" s="1773"/>
    </row>
    <row r="1339">
      <c r="A1339" s="1765"/>
      <c r="B1339" s="1782"/>
      <c r="C1339" s="1765"/>
      <c r="D1339" s="1765"/>
      <c r="E1339" s="1765"/>
      <c r="F1339" s="1765"/>
      <c r="G1339" s="1765"/>
      <c r="H1339" s="1765"/>
      <c r="I1339" s="1765"/>
      <c r="J1339" s="1765"/>
      <c r="K1339" s="1765"/>
      <c r="L1339" s="1765"/>
      <c r="M1339" s="1765"/>
      <c r="N1339" s="1765"/>
      <c r="O1339" s="1765"/>
      <c r="P1339" s="1765"/>
      <c r="Q1339" s="1766"/>
      <c r="R1339" s="1766"/>
      <c r="S1339" s="1696"/>
      <c r="T1339" s="1696"/>
      <c r="U1339" s="1772"/>
      <c r="V1339" s="1696"/>
      <c r="W1339" s="1772"/>
      <c r="X1339" s="1696"/>
      <c r="Y1339" s="1696"/>
      <c r="Z1339" s="1773"/>
    </row>
    <row r="1340">
      <c r="A1340" s="1771"/>
      <c r="B1340" s="1777"/>
      <c r="C1340" s="1771"/>
      <c r="D1340" s="1771"/>
      <c r="E1340" s="1771"/>
      <c r="F1340" s="1771"/>
      <c r="G1340" s="1777"/>
      <c r="H1340" s="1771"/>
      <c r="I1340" s="1778"/>
      <c r="J1340" s="1771"/>
      <c r="K1340" s="1771"/>
      <c r="L1340" s="1771"/>
      <c r="M1340" s="1771"/>
      <c r="N1340" s="1779"/>
      <c r="O1340" s="1770"/>
      <c r="P1340" s="1771"/>
      <c r="Q1340" s="1766"/>
      <c r="R1340" s="1766"/>
      <c r="S1340" s="1696"/>
      <c r="T1340" s="1696"/>
      <c r="U1340" s="1772"/>
      <c r="V1340" s="1696"/>
      <c r="W1340" s="1772"/>
      <c r="X1340" s="1696"/>
      <c r="Y1340" s="1696"/>
      <c r="Z1340" s="1773"/>
    </row>
    <row r="1341">
      <c r="A1341" s="1766"/>
      <c r="B1341" s="1780"/>
      <c r="C1341" s="1766"/>
      <c r="D1341" s="1766"/>
      <c r="E1341" s="1766"/>
      <c r="F1341" s="1766"/>
      <c r="G1341" s="1766"/>
      <c r="H1341" s="1766"/>
      <c r="I1341" s="1766"/>
      <c r="J1341" s="1766"/>
      <c r="K1341" s="1766"/>
      <c r="L1341" s="1766"/>
      <c r="M1341" s="1766"/>
      <c r="N1341" s="1781"/>
      <c r="O1341" s="1766"/>
      <c r="P1341" s="1766"/>
      <c r="Q1341" s="1766"/>
      <c r="R1341" s="1766"/>
      <c r="S1341" s="1696"/>
      <c r="T1341" s="1696"/>
      <c r="U1341" s="1772"/>
      <c r="V1341" s="1696"/>
      <c r="W1341" s="1772"/>
      <c r="X1341" s="1696"/>
      <c r="Y1341" s="1696"/>
      <c r="Z1341" s="1773"/>
    </row>
    <row r="1342">
      <c r="A1342" s="1765"/>
      <c r="B1342" s="1782"/>
      <c r="C1342" s="1765"/>
      <c r="D1342" s="1765"/>
      <c r="E1342" s="1765"/>
      <c r="F1342" s="1765"/>
      <c r="G1342" s="1765"/>
      <c r="H1342" s="1765"/>
      <c r="I1342" s="1765"/>
      <c r="J1342" s="1765"/>
      <c r="K1342" s="1765"/>
      <c r="L1342" s="1765"/>
      <c r="M1342" s="1765"/>
      <c r="N1342" s="1765"/>
      <c r="O1342" s="1765"/>
      <c r="P1342" s="1765"/>
      <c r="Q1342" s="1766"/>
      <c r="R1342" s="1766"/>
      <c r="S1342" s="1696"/>
      <c r="T1342" s="1696"/>
      <c r="U1342" s="1772"/>
      <c r="V1342" s="1696"/>
      <c r="W1342" s="1772"/>
      <c r="X1342" s="1696"/>
      <c r="Y1342" s="1696"/>
      <c r="Z1342" s="1773"/>
    </row>
    <row r="1343">
      <c r="A1343" s="1771"/>
      <c r="B1343" s="1777"/>
      <c r="C1343" s="1771"/>
      <c r="D1343" s="1771"/>
      <c r="E1343" s="1771"/>
      <c r="F1343" s="1771"/>
      <c r="G1343" s="1770"/>
      <c r="H1343" s="1771"/>
      <c r="I1343" s="1778"/>
      <c r="J1343" s="1771"/>
      <c r="K1343" s="1771"/>
      <c r="L1343" s="1771"/>
      <c r="M1343" s="1771"/>
      <c r="N1343" s="1779"/>
      <c r="O1343" s="1770"/>
      <c r="P1343" s="1771"/>
      <c r="Q1343" s="1766"/>
      <c r="R1343" s="1766"/>
      <c r="S1343" s="1696"/>
      <c r="T1343" s="1696"/>
      <c r="U1343" s="1772"/>
      <c r="V1343" s="1696"/>
      <c r="W1343" s="1772"/>
      <c r="X1343" s="1696"/>
      <c r="Y1343" s="1696"/>
      <c r="Z1343" s="1773"/>
    </row>
    <row r="1344">
      <c r="A1344" s="1766"/>
      <c r="B1344" s="1780"/>
      <c r="C1344" s="1766"/>
      <c r="D1344" s="1766"/>
      <c r="E1344" s="1766"/>
      <c r="F1344" s="1766"/>
      <c r="G1344" s="1766"/>
      <c r="H1344" s="1766"/>
      <c r="I1344" s="1766"/>
      <c r="J1344" s="1766"/>
      <c r="K1344" s="1766"/>
      <c r="L1344" s="1766"/>
      <c r="M1344" s="1766"/>
      <c r="N1344" s="1781"/>
      <c r="O1344" s="1766"/>
      <c r="P1344" s="1766"/>
      <c r="Q1344" s="1766"/>
      <c r="R1344" s="1766"/>
      <c r="S1344" s="1696"/>
      <c r="T1344" s="1696"/>
      <c r="U1344" s="1772"/>
      <c r="V1344" s="1696"/>
      <c r="W1344" s="1772"/>
      <c r="X1344" s="1696"/>
      <c r="Y1344" s="1696"/>
      <c r="Z1344" s="1773"/>
    </row>
    <row r="1345">
      <c r="A1345" s="1765"/>
      <c r="B1345" s="1782"/>
      <c r="C1345" s="1765"/>
      <c r="D1345" s="1765"/>
      <c r="E1345" s="1765"/>
      <c r="F1345" s="1765"/>
      <c r="G1345" s="1765"/>
      <c r="H1345" s="1765"/>
      <c r="I1345" s="1765"/>
      <c r="J1345" s="1765"/>
      <c r="K1345" s="1765"/>
      <c r="L1345" s="1765"/>
      <c r="M1345" s="1765"/>
      <c r="N1345" s="1765"/>
      <c r="O1345" s="1765"/>
      <c r="P1345" s="1765"/>
      <c r="Q1345" s="1766"/>
      <c r="R1345" s="1766"/>
      <c r="S1345" s="1696"/>
      <c r="T1345" s="1696"/>
      <c r="U1345" s="1772"/>
      <c r="V1345" s="1696"/>
      <c r="W1345" s="1772"/>
      <c r="X1345" s="1696"/>
      <c r="Y1345" s="1696"/>
      <c r="Z1345" s="1773"/>
    </row>
    <row r="1346">
      <c r="A1346" s="1771"/>
      <c r="B1346" s="1777"/>
      <c r="C1346" s="1771"/>
      <c r="D1346" s="1771"/>
      <c r="E1346" s="1771"/>
      <c r="F1346" s="1771"/>
      <c r="G1346" s="1777"/>
      <c r="H1346" s="1771"/>
      <c r="I1346" s="1778"/>
      <c r="J1346" s="1771"/>
      <c r="K1346" s="1771"/>
      <c r="L1346" s="1771"/>
      <c r="M1346" s="1771"/>
      <c r="N1346" s="1779"/>
      <c r="O1346" s="1770"/>
      <c r="P1346" s="1771"/>
      <c r="Q1346" s="1766"/>
      <c r="R1346" s="1766"/>
      <c r="S1346" s="1696"/>
      <c r="T1346" s="1696"/>
      <c r="U1346" s="1772"/>
      <c r="V1346" s="1696"/>
      <c r="W1346" s="1772"/>
      <c r="X1346" s="1696"/>
      <c r="Y1346" s="1696"/>
      <c r="Z1346" s="1773"/>
    </row>
    <row r="1347">
      <c r="A1347" s="1766"/>
      <c r="B1347" s="1780"/>
      <c r="C1347" s="1766"/>
      <c r="D1347" s="1766"/>
      <c r="E1347" s="1766"/>
      <c r="F1347" s="1766"/>
      <c r="G1347" s="1766"/>
      <c r="H1347" s="1766"/>
      <c r="I1347" s="1766"/>
      <c r="J1347" s="1766"/>
      <c r="K1347" s="1766"/>
      <c r="L1347" s="1766"/>
      <c r="M1347" s="1766"/>
      <c r="N1347" s="1781"/>
      <c r="O1347" s="1766"/>
      <c r="P1347" s="1766"/>
      <c r="Q1347" s="1766"/>
      <c r="R1347" s="1766"/>
      <c r="S1347" s="1696"/>
      <c r="T1347" s="1696"/>
      <c r="U1347" s="1772"/>
      <c r="V1347" s="1696"/>
      <c r="W1347" s="1772"/>
      <c r="X1347" s="1696"/>
      <c r="Y1347" s="1696"/>
      <c r="Z1347" s="1773"/>
    </row>
    <row r="1348">
      <c r="A1348" s="1765"/>
      <c r="B1348" s="1782"/>
      <c r="C1348" s="1765"/>
      <c r="D1348" s="1765"/>
      <c r="E1348" s="1765"/>
      <c r="F1348" s="1765"/>
      <c r="G1348" s="1765"/>
      <c r="H1348" s="1765"/>
      <c r="I1348" s="1765"/>
      <c r="J1348" s="1765"/>
      <c r="K1348" s="1765"/>
      <c r="L1348" s="1765"/>
      <c r="M1348" s="1765"/>
      <c r="N1348" s="1765"/>
      <c r="O1348" s="1765"/>
      <c r="P1348" s="1765"/>
      <c r="Q1348" s="1766"/>
      <c r="R1348" s="1766"/>
      <c r="S1348" s="1696"/>
      <c r="T1348" s="1696"/>
      <c r="U1348" s="1772"/>
      <c r="V1348" s="1696"/>
      <c r="W1348" s="1772"/>
      <c r="X1348" s="1696"/>
      <c r="Y1348" s="1696"/>
      <c r="Z1348" s="1773"/>
    </row>
    <row r="1349">
      <c r="A1349" s="1771"/>
      <c r="B1349" s="1777"/>
      <c r="C1349" s="1771"/>
      <c r="D1349" s="1771"/>
      <c r="E1349" s="1771"/>
      <c r="F1349" s="1771"/>
      <c r="G1349" s="1770"/>
      <c r="H1349" s="1771"/>
      <c r="I1349" s="1778"/>
      <c r="J1349" s="1771"/>
      <c r="K1349" s="1771"/>
      <c r="L1349" s="1771"/>
      <c r="M1349" s="1771"/>
      <c r="N1349" s="1779"/>
      <c r="O1349" s="1770"/>
      <c r="P1349" s="1771"/>
      <c r="Q1349" s="1766"/>
      <c r="R1349" s="1766"/>
      <c r="S1349" s="1696"/>
      <c r="T1349" s="1696"/>
      <c r="U1349" s="1772"/>
      <c r="V1349" s="1696"/>
      <c r="W1349" s="1772"/>
      <c r="X1349" s="1696"/>
      <c r="Y1349" s="1696"/>
      <c r="Z1349" s="1773"/>
    </row>
    <row r="1350">
      <c r="A1350" s="1766"/>
      <c r="B1350" s="1780"/>
      <c r="C1350" s="1766"/>
      <c r="D1350" s="1766"/>
      <c r="E1350" s="1766"/>
      <c r="F1350" s="1766"/>
      <c r="G1350" s="1766"/>
      <c r="H1350" s="1766"/>
      <c r="I1350" s="1766"/>
      <c r="J1350" s="1766"/>
      <c r="K1350" s="1766"/>
      <c r="L1350" s="1766"/>
      <c r="M1350" s="1766"/>
      <c r="N1350" s="1781"/>
      <c r="O1350" s="1766"/>
      <c r="P1350" s="1766"/>
      <c r="Q1350" s="1766"/>
      <c r="R1350" s="1766"/>
      <c r="S1350" s="1696"/>
      <c r="T1350" s="1696"/>
      <c r="U1350" s="1772"/>
      <c r="V1350" s="1696"/>
      <c r="W1350" s="1772"/>
      <c r="X1350" s="1696"/>
      <c r="Y1350" s="1696"/>
      <c r="Z1350" s="1773"/>
    </row>
    <row r="1351">
      <c r="A1351" s="1765"/>
      <c r="B1351" s="1782"/>
      <c r="C1351" s="1765"/>
      <c r="D1351" s="1765"/>
      <c r="E1351" s="1765"/>
      <c r="F1351" s="1765"/>
      <c r="G1351" s="1765"/>
      <c r="H1351" s="1765"/>
      <c r="I1351" s="1765"/>
      <c r="J1351" s="1765"/>
      <c r="K1351" s="1765"/>
      <c r="L1351" s="1765"/>
      <c r="M1351" s="1765"/>
      <c r="N1351" s="1765"/>
      <c r="O1351" s="1765"/>
      <c r="P1351" s="1765"/>
      <c r="Q1351" s="1766"/>
      <c r="R1351" s="1766"/>
      <c r="S1351" s="1696"/>
      <c r="T1351" s="1696"/>
      <c r="U1351" s="1772"/>
      <c r="V1351" s="1696"/>
      <c r="W1351" s="1772"/>
      <c r="X1351" s="1696"/>
      <c r="Y1351" s="1696"/>
      <c r="Z1351" s="1773"/>
    </row>
    <row r="1352">
      <c r="A1352" s="1771"/>
      <c r="B1352" s="1777"/>
      <c r="C1352" s="1771"/>
      <c r="D1352" s="1771"/>
      <c r="E1352" s="1771"/>
      <c r="F1352" s="1771"/>
      <c r="G1352" s="1771"/>
      <c r="H1352" s="1771"/>
      <c r="I1352" s="1778"/>
      <c r="J1352" s="1771"/>
      <c r="K1352" s="1771"/>
      <c r="L1352" s="1771"/>
      <c r="M1352" s="1771"/>
      <c r="N1352" s="1779"/>
      <c r="O1352" s="1770"/>
      <c r="P1352" s="1771"/>
      <c r="Q1352" s="1766"/>
      <c r="R1352" s="1766"/>
      <c r="S1352" s="1696"/>
      <c r="T1352" s="1696"/>
      <c r="U1352" s="1772"/>
      <c r="V1352" s="1696"/>
      <c r="W1352" s="1772"/>
      <c r="X1352" s="1696"/>
      <c r="Y1352" s="1696"/>
      <c r="Z1352" s="1773"/>
    </row>
    <row r="1353">
      <c r="A1353" s="1766"/>
      <c r="B1353" s="1780"/>
      <c r="C1353" s="1766"/>
      <c r="D1353" s="1766"/>
      <c r="E1353" s="1766"/>
      <c r="F1353" s="1766"/>
      <c r="G1353" s="1766"/>
      <c r="H1353" s="1766"/>
      <c r="I1353" s="1766"/>
      <c r="J1353" s="1766"/>
      <c r="K1353" s="1766"/>
      <c r="L1353" s="1766"/>
      <c r="M1353" s="1766"/>
      <c r="N1353" s="1781"/>
      <c r="O1353" s="1766"/>
      <c r="P1353" s="1766"/>
      <c r="Q1353" s="1766"/>
      <c r="R1353" s="1766"/>
      <c r="S1353" s="1696"/>
      <c r="T1353" s="1696"/>
      <c r="U1353" s="1772"/>
      <c r="V1353" s="1696"/>
      <c r="W1353" s="1772"/>
      <c r="X1353" s="1696"/>
      <c r="Y1353" s="1696"/>
      <c r="Z1353" s="1773"/>
    </row>
    <row r="1354">
      <c r="A1354" s="1765"/>
      <c r="B1354" s="1782"/>
      <c r="C1354" s="1765"/>
      <c r="D1354" s="1765"/>
      <c r="E1354" s="1765"/>
      <c r="F1354" s="1765"/>
      <c r="G1354" s="1765"/>
      <c r="H1354" s="1765"/>
      <c r="I1354" s="1765"/>
      <c r="J1354" s="1765"/>
      <c r="K1354" s="1765"/>
      <c r="L1354" s="1765"/>
      <c r="M1354" s="1765"/>
      <c r="N1354" s="1765"/>
      <c r="O1354" s="1765"/>
      <c r="P1354" s="1765"/>
      <c r="Q1354" s="1766"/>
      <c r="R1354" s="1766"/>
      <c r="S1354" s="1696"/>
      <c r="T1354" s="1696"/>
      <c r="U1354" s="1772"/>
      <c r="V1354" s="1696"/>
      <c r="W1354" s="1772"/>
      <c r="X1354" s="1696"/>
      <c r="Y1354" s="1696"/>
      <c r="Z1354" s="1773"/>
    </row>
    <row r="1355">
      <c r="A1355" s="1771"/>
      <c r="B1355" s="1777"/>
      <c r="C1355" s="1771"/>
      <c r="D1355" s="1771"/>
      <c r="E1355" s="1771"/>
      <c r="F1355" s="1771"/>
      <c r="G1355" s="1771"/>
      <c r="H1355" s="1771"/>
      <c r="I1355" s="1778"/>
      <c r="J1355" s="1771"/>
      <c r="K1355" s="1771"/>
      <c r="L1355" s="1771"/>
      <c r="M1355" s="1771"/>
      <c r="N1355" s="1779"/>
      <c r="O1355" s="1770"/>
      <c r="P1355" s="1771"/>
      <c r="Q1355" s="1766"/>
      <c r="R1355" s="1766"/>
      <c r="S1355" s="1696"/>
      <c r="T1355" s="1696"/>
      <c r="U1355" s="1772"/>
      <c r="V1355" s="1696"/>
      <c r="W1355" s="1772"/>
      <c r="X1355" s="1696"/>
      <c r="Y1355" s="1696"/>
      <c r="Z1355" s="1773"/>
    </row>
    <row r="1356">
      <c r="A1356" s="1766"/>
      <c r="B1356" s="1780"/>
      <c r="C1356" s="1766"/>
      <c r="D1356" s="1766"/>
      <c r="E1356" s="1766"/>
      <c r="F1356" s="1766"/>
      <c r="G1356" s="1766"/>
      <c r="H1356" s="1766"/>
      <c r="I1356" s="1766"/>
      <c r="J1356" s="1766"/>
      <c r="K1356" s="1766"/>
      <c r="L1356" s="1766"/>
      <c r="M1356" s="1766"/>
      <c r="N1356" s="1781"/>
      <c r="O1356" s="1766"/>
      <c r="P1356" s="1766"/>
      <c r="Q1356" s="1766"/>
      <c r="R1356" s="1766"/>
      <c r="S1356" s="1696"/>
      <c r="T1356" s="1696"/>
      <c r="U1356" s="1772"/>
      <c r="V1356" s="1696"/>
      <c r="W1356" s="1772"/>
      <c r="X1356" s="1696"/>
      <c r="Y1356" s="1696"/>
      <c r="Z1356" s="1773"/>
    </row>
    <row r="1357">
      <c r="A1357" s="1765"/>
      <c r="B1357" s="1782"/>
      <c r="C1357" s="1765"/>
      <c r="D1357" s="1765"/>
      <c r="E1357" s="1765"/>
      <c r="F1357" s="1765"/>
      <c r="G1357" s="1765"/>
      <c r="H1357" s="1765"/>
      <c r="I1357" s="1765"/>
      <c r="J1357" s="1765"/>
      <c r="K1357" s="1765"/>
      <c r="L1357" s="1765"/>
      <c r="M1357" s="1765"/>
      <c r="N1357" s="1765"/>
      <c r="O1357" s="1765"/>
      <c r="P1357" s="1765"/>
      <c r="Q1357" s="1766"/>
      <c r="R1357" s="1766"/>
      <c r="S1357" s="1696"/>
      <c r="T1357" s="1696"/>
      <c r="U1357" s="1772"/>
      <c r="V1357" s="1696"/>
      <c r="W1357" s="1772"/>
      <c r="X1357" s="1696"/>
      <c r="Y1357" s="1696"/>
      <c r="Z1357" s="1773"/>
    </row>
    <row r="1358">
      <c r="A1358" s="1771"/>
      <c r="B1358" s="1777"/>
      <c r="C1358" s="1771"/>
      <c r="D1358" s="1771"/>
      <c r="E1358" s="1771"/>
      <c r="F1358" s="1771"/>
      <c r="G1358" s="1771"/>
      <c r="H1358" s="1771"/>
      <c r="I1358" s="1778"/>
      <c r="J1358" s="1771"/>
      <c r="K1358" s="1771"/>
      <c r="L1358" s="1771"/>
      <c r="M1358" s="1771"/>
      <c r="N1358" s="1779"/>
      <c r="O1358" s="1770"/>
      <c r="P1358" s="1771"/>
      <c r="Q1358" s="1766"/>
      <c r="R1358" s="1766"/>
      <c r="S1358" s="1696"/>
      <c r="T1358" s="1696"/>
      <c r="U1358" s="1772"/>
      <c r="V1358" s="1696"/>
      <c r="W1358" s="1772"/>
      <c r="X1358" s="1696"/>
      <c r="Y1358" s="1696"/>
      <c r="Z1358" s="1773"/>
    </row>
    <row r="1359">
      <c r="A1359" s="1766"/>
      <c r="B1359" s="1780"/>
      <c r="C1359" s="1766"/>
      <c r="D1359" s="1766"/>
      <c r="E1359" s="1766"/>
      <c r="F1359" s="1766"/>
      <c r="G1359" s="1766"/>
      <c r="H1359" s="1766"/>
      <c r="I1359" s="1766"/>
      <c r="J1359" s="1766"/>
      <c r="K1359" s="1766"/>
      <c r="L1359" s="1766"/>
      <c r="M1359" s="1766"/>
      <c r="N1359" s="1781"/>
      <c r="O1359" s="1766"/>
      <c r="P1359" s="1766"/>
      <c r="Q1359" s="1766"/>
      <c r="R1359" s="1766"/>
      <c r="S1359" s="1696"/>
      <c r="T1359" s="1696"/>
      <c r="U1359" s="1772"/>
      <c r="V1359" s="1696"/>
      <c r="W1359" s="1772"/>
      <c r="X1359" s="1696"/>
      <c r="Y1359" s="1696"/>
      <c r="Z1359" s="1773"/>
    </row>
    <row r="1360">
      <c r="A1360" s="1765"/>
      <c r="B1360" s="1782"/>
      <c r="C1360" s="1765"/>
      <c r="D1360" s="1765"/>
      <c r="E1360" s="1765"/>
      <c r="F1360" s="1765"/>
      <c r="G1360" s="1765"/>
      <c r="H1360" s="1765"/>
      <c r="I1360" s="1765"/>
      <c r="J1360" s="1765"/>
      <c r="K1360" s="1765"/>
      <c r="L1360" s="1765"/>
      <c r="M1360" s="1765"/>
      <c r="N1360" s="1765"/>
      <c r="O1360" s="1765"/>
      <c r="P1360" s="1765"/>
      <c r="Q1360" s="1766"/>
      <c r="R1360" s="1766"/>
      <c r="S1360" s="1696"/>
      <c r="T1360" s="1696"/>
      <c r="U1360" s="1772"/>
      <c r="V1360" s="1696"/>
      <c r="W1360" s="1772"/>
      <c r="X1360" s="1696"/>
      <c r="Y1360" s="1696"/>
      <c r="Z1360" s="1773"/>
    </row>
    <row r="1361">
      <c r="A1361" s="1771"/>
      <c r="B1361" s="1777"/>
      <c r="C1361" s="1771"/>
      <c r="D1361" s="1771"/>
      <c r="E1361" s="1771"/>
      <c r="F1361" s="1771"/>
      <c r="G1361" s="1777"/>
      <c r="H1361" s="1771"/>
      <c r="I1361" s="1778"/>
      <c r="J1361" s="1771"/>
      <c r="K1361" s="1771"/>
      <c r="L1361" s="1771"/>
      <c r="M1361" s="1771"/>
      <c r="N1361" s="1779"/>
      <c r="O1361" s="1770"/>
      <c r="P1361" s="1771"/>
      <c r="Q1361" s="1766"/>
      <c r="R1361" s="1766"/>
      <c r="S1361" s="1696"/>
      <c r="T1361" s="1696"/>
      <c r="U1361" s="1772"/>
      <c r="V1361" s="1696"/>
      <c r="W1361" s="1772"/>
      <c r="X1361" s="1696"/>
      <c r="Y1361" s="1696"/>
      <c r="Z1361" s="1773"/>
    </row>
    <row r="1362">
      <c r="A1362" s="1766"/>
      <c r="B1362" s="1780"/>
      <c r="C1362" s="1766"/>
      <c r="D1362" s="1766"/>
      <c r="E1362" s="1766"/>
      <c r="F1362" s="1766"/>
      <c r="G1362" s="1766"/>
      <c r="H1362" s="1766"/>
      <c r="I1362" s="1766"/>
      <c r="J1362" s="1766"/>
      <c r="K1362" s="1766"/>
      <c r="L1362" s="1766"/>
      <c r="M1362" s="1766"/>
      <c r="N1362" s="1781"/>
      <c r="O1362" s="1766"/>
      <c r="P1362" s="1766"/>
      <c r="Q1362" s="1766"/>
      <c r="R1362" s="1766"/>
      <c r="S1362" s="1696"/>
      <c r="T1362" s="1696"/>
      <c r="U1362" s="1772"/>
      <c r="V1362" s="1696"/>
      <c r="W1362" s="1772"/>
      <c r="X1362" s="1696"/>
      <c r="Y1362" s="1696"/>
      <c r="Z1362" s="1773"/>
    </row>
    <row r="1363">
      <c r="A1363" s="1765"/>
      <c r="B1363" s="1782"/>
      <c r="C1363" s="1765"/>
      <c r="D1363" s="1765"/>
      <c r="E1363" s="1765"/>
      <c r="F1363" s="1765"/>
      <c r="G1363" s="1765"/>
      <c r="H1363" s="1765"/>
      <c r="I1363" s="1765"/>
      <c r="J1363" s="1765"/>
      <c r="K1363" s="1765"/>
      <c r="L1363" s="1765"/>
      <c r="M1363" s="1765"/>
      <c r="N1363" s="1765"/>
      <c r="O1363" s="1765"/>
      <c r="P1363" s="1765"/>
      <c r="Q1363" s="1766"/>
      <c r="R1363" s="1766"/>
      <c r="S1363" s="1696"/>
      <c r="T1363" s="1696"/>
      <c r="U1363" s="1772"/>
      <c r="V1363" s="1696"/>
      <c r="W1363" s="1772"/>
      <c r="X1363" s="1696"/>
      <c r="Y1363" s="1696"/>
      <c r="Z1363" s="1773"/>
    </row>
    <row r="1364">
      <c r="A1364" s="1771"/>
      <c r="B1364" s="1777"/>
      <c r="C1364" s="1771"/>
      <c r="D1364" s="1771"/>
      <c r="E1364" s="1771"/>
      <c r="F1364" s="1771"/>
      <c r="G1364" s="1777"/>
      <c r="H1364" s="1771"/>
      <c r="I1364" s="1778"/>
      <c r="J1364" s="1771"/>
      <c r="K1364" s="1771"/>
      <c r="L1364" s="1771"/>
      <c r="M1364" s="1771"/>
      <c r="N1364" s="1779"/>
      <c r="O1364" s="1770"/>
      <c r="P1364" s="1771"/>
      <c r="Q1364" s="1766"/>
      <c r="R1364" s="1766"/>
      <c r="S1364" s="1696"/>
      <c r="T1364" s="1696"/>
      <c r="U1364" s="1772"/>
      <c r="V1364" s="1696"/>
      <c r="W1364" s="1772"/>
      <c r="X1364" s="1696"/>
      <c r="Y1364" s="1696"/>
      <c r="Z1364" s="1773"/>
    </row>
    <row r="1365">
      <c r="A1365" s="1766"/>
      <c r="B1365" s="1780"/>
      <c r="C1365" s="1766"/>
      <c r="D1365" s="1766"/>
      <c r="E1365" s="1766"/>
      <c r="F1365" s="1766"/>
      <c r="G1365" s="1766"/>
      <c r="H1365" s="1766"/>
      <c r="I1365" s="1766"/>
      <c r="J1365" s="1766"/>
      <c r="K1365" s="1766"/>
      <c r="L1365" s="1766"/>
      <c r="M1365" s="1766"/>
      <c r="N1365" s="1781"/>
      <c r="O1365" s="1766"/>
      <c r="P1365" s="1766"/>
      <c r="Q1365" s="1766"/>
      <c r="R1365" s="1766"/>
      <c r="S1365" s="1696"/>
      <c r="T1365" s="1696"/>
      <c r="U1365" s="1772"/>
      <c r="V1365" s="1696"/>
      <c r="W1365" s="1772"/>
      <c r="X1365" s="1696"/>
      <c r="Y1365" s="1696"/>
      <c r="Z1365" s="1773"/>
    </row>
    <row r="1366">
      <c r="A1366" s="1765"/>
      <c r="B1366" s="1782"/>
      <c r="C1366" s="1765"/>
      <c r="D1366" s="1765"/>
      <c r="E1366" s="1765"/>
      <c r="F1366" s="1765"/>
      <c r="G1366" s="1765"/>
      <c r="H1366" s="1765"/>
      <c r="I1366" s="1765"/>
      <c r="J1366" s="1765"/>
      <c r="K1366" s="1765"/>
      <c r="L1366" s="1765"/>
      <c r="M1366" s="1765"/>
      <c r="N1366" s="1765"/>
      <c r="O1366" s="1765"/>
      <c r="P1366" s="1765"/>
      <c r="Q1366" s="1766"/>
      <c r="R1366" s="1766"/>
      <c r="S1366" s="1696"/>
      <c r="T1366" s="1696"/>
      <c r="U1366" s="1772"/>
      <c r="V1366" s="1696"/>
      <c r="W1366" s="1772"/>
      <c r="X1366" s="1696"/>
      <c r="Y1366" s="1696"/>
      <c r="Z1366" s="1773"/>
    </row>
    <row r="1367">
      <c r="A1367" s="1771"/>
      <c r="B1367" s="1777"/>
      <c r="C1367" s="1771"/>
      <c r="D1367" s="1771"/>
      <c r="E1367" s="1771"/>
      <c r="F1367" s="1771"/>
      <c r="G1367" s="1771"/>
      <c r="H1367" s="1771"/>
      <c r="I1367" s="1778"/>
      <c r="J1367" s="1771"/>
      <c r="K1367" s="1771"/>
      <c r="L1367" s="1771"/>
      <c r="M1367" s="1771"/>
      <c r="N1367" s="1779"/>
      <c r="O1367" s="1770"/>
      <c r="P1367" s="1771"/>
      <c r="Q1367" s="1766"/>
      <c r="R1367" s="1766"/>
      <c r="S1367" s="1696"/>
      <c r="T1367" s="1696"/>
      <c r="U1367" s="1772"/>
      <c r="V1367" s="1696"/>
      <c r="W1367" s="1772"/>
      <c r="X1367" s="1696"/>
      <c r="Y1367" s="1696"/>
      <c r="Z1367" s="1773"/>
    </row>
    <row r="1368">
      <c r="A1368" s="1766"/>
      <c r="B1368" s="1780"/>
      <c r="C1368" s="1766"/>
      <c r="D1368" s="1766"/>
      <c r="E1368" s="1766"/>
      <c r="F1368" s="1766"/>
      <c r="G1368" s="1766"/>
      <c r="H1368" s="1766"/>
      <c r="I1368" s="1766"/>
      <c r="J1368" s="1766"/>
      <c r="K1368" s="1766"/>
      <c r="L1368" s="1766"/>
      <c r="M1368" s="1766"/>
      <c r="N1368" s="1781"/>
      <c r="O1368" s="1766"/>
      <c r="P1368" s="1766"/>
      <c r="Q1368" s="1766"/>
      <c r="R1368" s="1766"/>
      <c r="S1368" s="1696"/>
      <c r="T1368" s="1696"/>
      <c r="U1368" s="1772"/>
      <c r="V1368" s="1696"/>
      <c r="W1368" s="1772"/>
      <c r="X1368" s="1696"/>
      <c r="Y1368" s="1696"/>
      <c r="Z1368" s="1773"/>
    </row>
    <row r="1369">
      <c r="A1369" s="1765"/>
      <c r="B1369" s="1782"/>
      <c r="C1369" s="1765"/>
      <c r="D1369" s="1765"/>
      <c r="E1369" s="1765"/>
      <c r="F1369" s="1765"/>
      <c r="G1369" s="1765"/>
      <c r="H1369" s="1765"/>
      <c r="I1369" s="1765"/>
      <c r="J1369" s="1765"/>
      <c r="K1369" s="1765"/>
      <c r="L1369" s="1765"/>
      <c r="M1369" s="1765"/>
      <c r="N1369" s="1765"/>
      <c r="O1369" s="1765"/>
      <c r="P1369" s="1765"/>
      <c r="Q1369" s="1766"/>
      <c r="R1369" s="1766"/>
      <c r="S1369" s="1696"/>
      <c r="T1369" s="1696"/>
      <c r="U1369" s="1772"/>
      <c r="V1369" s="1696"/>
      <c r="W1369" s="1772"/>
      <c r="X1369" s="1696"/>
      <c r="Y1369" s="1696"/>
      <c r="Z1369" s="1773"/>
    </row>
    <row r="1370">
      <c r="A1370" s="1771"/>
      <c r="B1370" s="1777"/>
      <c r="C1370" s="1771"/>
      <c r="D1370" s="1771"/>
      <c r="E1370" s="1771"/>
      <c r="F1370" s="1771"/>
      <c r="G1370" s="1770"/>
      <c r="H1370" s="1771"/>
      <c r="I1370" s="1778"/>
      <c r="J1370" s="1771"/>
      <c r="K1370" s="1771"/>
      <c r="L1370" s="1771"/>
      <c r="M1370" s="1771"/>
      <c r="N1370" s="1779"/>
      <c r="O1370" s="1770"/>
      <c r="P1370" s="1771"/>
      <c r="Q1370" s="1766"/>
      <c r="R1370" s="1766"/>
      <c r="S1370" s="1696"/>
      <c r="T1370" s="1696"/>
      <c r="U1370" s="1772"/>
      <c r="V1370" s="1696"/>
      <c r="W1370" s="1772"/>
      <c r="X1370" s="1696"/>
      <c r="Y1370" s="1696"/>
      <c r="Z1370" s="1773"/>
    </row>
    <row r="1371">
      <c r="A1371" s="1766"/>
      <c r="B1371" s="1780"/>
      <c r="C1371" s="1766"/>
      <c r="D1371" s="1766"/>
      <c r="E1371" s="1766"/>
      <c r="F1371" s="1766"/>
      <c r="G1371" s="1766"/>
      <c r="H1371" s="1766"/>
      <c r="I1371" s="1766"/>
      <c r="J1371" s="1766"/>
      <c r="K1371" s="1766"/>
      <c r="L1371" s="1766"/>
      <c r="M1371" s="1766"/>
      <c r="N1371" s="1781"/>
      <c r="O1371" s="1766"/>
      <c r="P1371" s="1766"/>
      <c r="Q1371" s="1766"/>
      <c r="R1371" s="1766"/>
      <c r="S1371" s="1696"/>
      <c r="T1371" s="1696"/>
      <c r="U1371" s="1772"/>
      <c r="V1371" s="1696"/>
      <c r="W1371" s="1772"/>
      <c r="X1371" s="1696"/>
      <c r="Y1371" s="1696"/>
      <c r="Z1371" s="1773"/>
    </row>
    <row r="1372">
      <c r="A1372" s="1765"/>
      <c r="B1372" s="1782"/>
      <c r="C1372" s="1765"/>
      <c r="D1372" s="1765"/>
      <c r="E1372" s="1765"/>
      <c r="F1372" s="1765"/>
      <c r="G1372" s="1765"/>
      <c r="H1372" s="1765"/>
      <c r="I1372" s="1765"/>
      <c r="J1372" s="1765"/>
      <c r="K1372" s="1765"/>
      <c r="L1372" s="1765"/>
      <c r="M1372" s="1765"/>
      <c r="N1372" s="1765"/>
      <c r="O1372" s="1765"/>
      <c r="P1372" s="1765"/>
      <c r="Q1372" s="1766"/>
      <c r="R1372" s="1766"/>
      <c r="S1372" s="1696"/>
      <c r="T1372" s="1696"/>
      <c r="U1372" s="1772"/>
      <c r="V1372" s="1696"/>
      <c r="W1372" s="1772"/>
      <c r="X1372" s="1696"/>
      <c r="Y1372" s="1696"/>
      <c r="Z1372" s="1773"/>
    </row>
    <row r="1373">
      <c r="A1373" s="1771"/>
      <c r="B1373" s="1777"/>
      <c r="C1373" s="1771"/>
      <c r="D1373" s="1771"/>
      <c r="E1373" s="1771"/>
      <c r="F1373" s="1771"/>
      <c r="G1373" s="1770"/>
      <c r="H1373" s="1771"/>
      <c r="I1373" s="1778"/>
      <c r="J1373" s="1771"/>
      <c r="K1373" s="1771"/>
      <c r="L1373" s="1771"/>
      <c r="M1373" s="1771"/>
      <c r="N1373" s="1779"/>
      <c r="O1373" s="1770"/>
      <c r="P1373" s="1771"/>
      <c r="Q1373" s="1766"/>
      <c r="R1373" s="1766"/>
      <c r="S1373" s="1696"/>
      <c r="T1373" s="1696"/>
      <c r="U1373" s="1772"/>
      <c r="V1373" s="1696"/>
      <c r="W1373" s="1772"/>
      <c r="X1373" s="1696"/>
      <c r="Y1373" s="1696"/>
      <c r="Z1373" s="1773"/>
    </row>
    <row r="1374">
      <c r="A1374" s="1766"/>
      <c r="B1374" s="1780"/>
      <c r="C1374" s="1766"/>
      <c r="D1374" s="1766"/>
      <c r="E1374" s="1766"/>
      <c r="F1374" s="1766"/>
      <c r="G1374" s="1766"/>
      <c r="H1374" s="1766"/>
      <c r="I1374" s="1766"/>
      <c r="J1374" s="1766"/>
      <c r="K1374" s="1766"/>
      <c r="L1374" s="1766"/>
      <c r="M1374" s="1766"/>
      <c r="N1374" s="1781"/>
      <c r="O1374" s="1766"/>
      <c r="P1374" s="1766"/>
      <c r="Q1374" s="1766"/>
      <c r="R1374" s="1766"/>
      <c r="S1374" s="1696"/>
      <c r="T1374" s="1696"/>
      <c r="U1374" s="1772"/>
      <c r="V1374" s="1696"/>
      <c r="W1374" s="1772"/>
      <c r="X1374" s="1696"/>
      <c r="Y1374" s="1696"/>
      <c r="Z1374" s="1773"/>
    </row>
    <row r="1375">
      <c r="A1375" s="1765"/>
      <c r="B1375" s="1782"/>
      <c r="C1375" s="1765"/>
      <c r="D1375" s="1765"/>
      <c r="E1375" s="1765"/>
      <c r="F1375" s="1765"/>
      <c r="G1375" s="1765"/>
      <c r="H1375" s="1765"/>
      <c r="I1375" s="1765"/>
      <c r="J1375" s="1765"/>
      <c r="K1375" s="1765"/>
      <c r="L1375" s="1765"/>
      <c r="M1375" s="1765"/>
      <c r="N1375" s="1765"/>
      <c r="O1375" s="1765"/>
      <c r="P1375" s="1765"/>
      <c r="Q1375" s="1766"/>
      <c r="R1375" s="1766"/>
      <c r="S1375" s="1696"/>
      <c r="T1375" s="1696"/>
      <c r="U1375" s="1772"/>
      <c r="V1375" s="1696"/>
      <c r="W1375" s="1772"/>
      <c r="X1375" s="1696"/>
      <c r="Y1375" s="1696"/>
      <c r="Z1375" s="1773"/>
    </row>
    <row r="1376">
      <c r="A1376" s="1771"/>
      <c r="B1376" s="1777"/>
      <c r="C1376" s="1771"/>
      <c r="D1376" s="1771"/>
      <c r="E1376" s="1771"/>
      <c r="F1376" s="1771"/>
      <c r="G1376" s="1770"/>
      <c r="H1376" s="1771"/>
      <c r="I1376" s="1778"/>
      <c r="J1376" s="1771"/>
      <c r="K1376" s="1771"/>
      <c r="L1376" s="1771"/>
      <c r="M1376" s="1771"/>
      <c r="N1376" s="1779"/>
      <c r="O1376" s="1770"/>
      <c r="P1376" s="1771"/>
      <c r="Q1376" s="1766"/>
      <c r="R1376" s="1766"/>
      <c r="S1376" s="1696"/>
      <c r="T1376" s="1696"/>
      <c r="U1376" s="1772"/>
      <c r="V1376" s="1696"/>
      <c r="W1376" s="1772"/>
      <c r="X1376" s="1696"/>
      <c r="Y1376" s="1696"/>
      <c r="Z1376" s="1773"/>
    </row>
    <row r="1377">
      <c r="A1377" s="1766"/>
      <c r="B1377" s="1780"/>
      <c r="C1377" s="1766"/>
      <c r="D1377" s="1766"/>
      <c r="E1377" s="1766"/>
      <c r="F1377" s="1766"/>
      <c r="G1377" s="1766"/>
      <c r="H1377" s="1766"/>
      <c r="I1377" s="1766"/>
      <c r="J1377" s="1766"/>
      <c r="K1377" s="1766"/>
      <c r="L1377" s="1766"/>
      <c r="M1377" s="1766"/>
      <c r="N1377" s="1781"/>
      <c r="O1377" s="1766"/>
      <c r="P1377" s="1766"/>
      <c r="Q1377" s="1766"/>
      <c r="R1377" s="1766"/>
      <c r="S1377" s="1696"/>
      <c r="T1377" s="1696"/>
      <c r="U1377" s="1772"/>
      <c r="V1377" s="1696"/>
      <c r="W1377" s="1772"/>
      <c r="X1377" s="1696"/>
      <c r="Y1377" s="1696"/>
      <c r="Z1377" s="1773"/>
    </row>
    <row r="1378">
      <c r="A1378" s="1765"/>
      <c r="B1378" s="1782"/>
      <c r="C1378" s="1765"/>
      <c r="D1378" s="1765"/>
      <c r="E1378" s="1765"/>
      <c r="F1378" s="1765"/>
      <c r="G1378" s="1765"/>
      <c r="H1378" s="1765"/>
      <c r="I1378" s="1765"/>
      <c r="J1378" s="1765"/>
      <c r="K1378" s="1765"/>
      <c r="L1378" s="1765"/>
      <c r="M1378" s="1765"/>
      <c r="N1378" s="1765"/>
      <c r="O1378" s="1765"/>
      <c r="P1378" s="1765"/>
      <c r="Q1378" s="1766"/>
      <c r="R1378" s="1766"/>
      <c r="S1378" s="1696"/>
      <c r="T1378" s="1696"/>
      <c r="U1378" s="1772"/>
      <c r="V1378" s="1696"/>
      <c r="W1378" s="1772"/>
      <c r="X1378" s="1696"/>
      <c r="Y1378" s="1696"/>
      <c r="Z1378" s="1773"/>
    </row>
    <row r="1379">
      <c r="A1379" s="1771"/>
      <c r="B1379" s="1777"/>
      <c r="C1379" s="1771"/>
      <c r="D1379" s="1771"/>
      <c r="E1379" s="1771"/>
      <c r="F1379" s="1771"/>
      <c r="G1379" s="1770"/>
      <c r="H1379" s="1771"/>
      <c r="I1379" s="1778"/>
      <c r="J1379" s="1771"/>
      <c r="K1379" s="1771"/>
      <c r="L1379" s="1771"/>
      <c r="M1379" s="1771"/>
      <c r="N1379" s="1779"/>
      <c r="O1379" s="1770"/>
      <c r="P1379" s="1771"/>
      <c r="Q1379" s="1766"/>
      <c r="R1379" s="1766"/>
      <c r="S1379" s="1696"/>
      <c r="T1379" s="1696"/>
      <c r="U1379" s="1772"/>
      <c r="V1379" s="1696"/>
      <c r="W1379" s="1772"/>
      <c r="X1379" s="1696"/>
      <c r="Y1379" s="1696"/>
      <c r="Z1379" s="1773"/>
    </row>
    <row r="1380">
      <c r="A1380" s="1766"/>
      <c r="B1380" s="1780"/>
      <c r="C1380" s="1766"/>
      <c r="D1380" s="1766"/>
      <c r="E1380" s="1766"/>
      <c r="F1380" s="1766"/>
      <c r="G1380" s="1766"/>
      <c r="H1380" s="1766"/>
      <c r="I1380" s="1766"/>
      <c r="J1380" s="1766"/>
      <c r="K1380" s="1766"/>
      <c r="L1380" s="1766"/>
      <c r="M1380" s="1766"/>
      <c r="N1380" s="1781"/>
      <c r="O1380" s="1766"/>
      <c r="P1380" s="1766"/>
      <c r="Q1380" s="1766"/>
      <c r="R1380" s="1766"/>
      <c r="S1380" s="1696"/>
      <c r="T1380" s="1696"/>
      <c r="U1380" s="1772"/>
      <c r="V1380" s="1696"/>
      <c r="W1380" s="1772"/>
      <c r="X1380" s="1696"/>
      <c r="Y1380" s="1696"/>
      <c r="Z1380" s="1773"/>
    </row>
    <row r="1381">
      <c r="A1381" s="1765"/>
      <c r="B1381" s="1782"/>
      <c r="C1381" s="1765"/>
      <c r="D1381" s="1765"/>
      <c r="E1381" s="1765"/>
      <c r="F1381" s="1765"/>
      <c r="G1381" s="1765"/>
      <c r="H1381" s="1765"/>
      <c r="I1381" s="1765"/>
      <c r="J1381" s="1765"/>
      <c r="K1381" s="1765"/>
      <c r="L1381" s="1765"/>
      <c r="M1381" s="1765"/>
      <c r="N1381" s="1765"/>
      <c r="O1381" s="1765"/>
      <c r="P1381" s="1765"/>
      <c r="Q1381" s="1766"/>
      <c r="R1381" s="1766"/>
      <c r="S1381" s="1696"/>
      <c r="T1381" s="1696"/>
      <c r="U1381" s="1772"/>
      <c r="V1381" s="1696"/>
      <c r="W1381" s="1772"/>
      <c r="X1381" s="1696"/>
      <c r="Y1381" s="1696"/>
      <c r="Z1381" s="1773"/>
    </row>
    <row r="1382">
      <c r="A1382" s="1771"/>
      <c r="B1382" s="1777"/>
      <c r="C1382" s="1771"/>
      <c r="D1382" s="1771"/>
      <c r="E1382" s="1771"/>
      <c r="F1382" s="1771"/>
      <c r="G1382" s="1770"/>
      <c r="H1382" s="1771"/>
      <c r="I1382" s="1778"/>
      <c r="J1382" s="1771"/>
      <c r="K1382" s="1771"/>
      <c r="L1382" s="1771"/>
      <c r="M1382" s="1771"/>
      <c r="N1382" s="1779"/>
      <c r="O1382" s="1770"/>
      <c r="P1382" s="1771"/>
      <c r="Q1382" s="1766"/>
      <c r="R1382" s="1766"/>
      <c r="S1382" s="1696"/>
      <c r="T1382" s="1696"/>
      <c r="U1382" s="1772"/>
      <c r="V1382" s="1696"/>
      <c r="W1382" s="1772"/>
      <c r="X1382" s="1696"/>
      <c r="Y1382" s="1696"/>
      <c r="Z1382" s="1773"/>
    </row>
    <row r="1383">
      <c r="A1383" s="1766"/>
      <c r="B1383" s="1780"/>
      <c r="C1383" s="1766"/>
      <c r="D1383" s="1766"/>
      <c r="E1383" s="1766"/>
      <c r="F1383" s="1766"/>
      <c r="G1383" s="1766"/>
      <c r="H1383" s="1766"/>
      <c r="I1383" s="1766"/>
      <c r="J1383" s="1766"/>
      <c r="K1383" s="1766"/>
      <c r="L1383" s="1766"/>
      <c r="M1383" s="1766"/>
      <c r="N1383" s="1781"/>
      <c r="O1383" s="1766"/>
      <c r="P1383" s="1766"/>
      <c r="Q1383" s="1766"/>
      <c r="R1383" s="1766"/>
      <c r="S1383" s="1696"/>
      <c r="T1383" s="1696"/>
      <c r="U1383" s="1772"/>
      <c r="V1383" s="1696"/>
      <c r="W1383" s="1772"/>
      <c r="X1383" s="1696"/>
      <c r="Y1383" s="1696"/>
      <c r="Z1383" s="1773"/>
    </row>
    <row r="1384">
      <c r="A1384" s="1765"/>
      <c r="B1384" s="1782"/>
      <c r="C1384" s="1765"/>
      <c r="D1384" s="1765"/>
      <c r="E1384" s="1765"/>
      <c r="F1384" s="1765"/>
      <c r="G1384" s="1765"/>
      <c r="H1384" s="1765"/>
      <c r="I1384" s="1765"/>
      <c r="J1384" s="1765"/>
      <c r="K1384" s="1765"/>
      <c r="L1384" s="1765"/>
      <c r="M1384" s="1765"/>
      <c r="N1384" s="1765"/>
      <c r="O1384" s="1765"/>
      <c r="P1384" s="1765"/>
      <c r="Q1384" s="1766"/>
      <c r="R1384" s="1766"/>
      <c r="S1384" s="1696"/>
      <c r="T1384" s="1696"/>
      <c r="U1384" s="1772"/>
      <c r="V1384" s="1696"/>
      <c r="W1384" s="1772"/>
      <c r="X1384" s="1696"/>
      <c r="Y1384" s="1696"/>
      <c r="Z1384" s="1773"/>
    </row>
    <row r="1385">
      <c r="A1385" s="1771"/>
      <c r="B1385" s="1777"/>
      <c r="C1385" s="1771"/>
      <c r="D1385" s="1771"/>
      <c r="E1385" s="1771"/>
      <c r="F1385" s="1771"/>
      <c r="G1385" s="1770"/>
      <c r="H1385" s="1771"/>
      <c r="I1385" s="1778"/>
      <c r="J1385" s="1771"/>
      <c r="K1385" s="1771"/>
      <c r="L1385" s="1771"/>
      <c r="M1385" s="1771"/>
      <c r="N1385" s="1779"/>
      <c r="O1385" s="1770"/>
      <c r="P1385" s="1771"/>
      <c r="Q1385" s="1766"/>
      <c r="R1385" s="1766"/>
      <c r="S1385" s="1696"/>
      <c r="T1385" s="1696"/>
      <c r="U1385" s="1772"/>
      <c r="V1385" s="1696"/>
      <c r="W1385" s="1772"/>
      <c r="X1385" s="1696"/>
      <c r="Y1385" s="1696"/>
      <c r="Z1385" s="1773"/>
    </row>
    <row r="1386">
      <c r="A1386" s="1766"/>
      <c r="B1386" s="1780"/>
      <c r="C1386" s="1766"/>
      <c r="D1386" s="1766"/>
      <c r="E1386" s="1766"/>
      <c r="F1386" s="1766"/>
      <c r="G1386" s="1766"/>
      <c r="H1386" s="1766"/>
      <c r="I1386" s="1766"/>
      <c r="J1386" s="1766"/>
      <c r="K1386" s="1766"/>
      <c r="L1386" s="1766"/>
      <c r="M1386" s="1766"/>
      <c r="N1386" s="1781"/>
      <c r="O1386" s="1766"/>
      <c r="P1386" s="1766"/>
      <c r="Q1386" s="1766"/>
      <c r="R1386" s="1766"/>
      <c r="S1386" s="1696"/>
      <c r="T1386" s="1696"/>
      <c r="U1386" s="1772"/>
      <c r="V1386" s="1696"/>
      <c r="W1386" s="1772"/>
      <c r="X1386" s="1696"/>
      <c r="Y1386" s="1696"/>
      <c r="Z1386" s="1773"/>
    </row>
    <row r="1387">
      <c r="A1387" s="1765"/>
      <c r="B1387" s="1782"/>
      <c r="C1387" s="1765"/>
      <c r="D1387" s="1765"/>
      <c r="E1387" s="1765"/>
      <c r="F1387" s="1765"/>
      <c r="G1387" s="1765"/>
      <c r="H1387" s="1765"/>
      <c r="I1387" s="1765"/>
      <c r="J1387" s="1765"/>
      <c r="K1387" s="1765"/>
      <c r="L1387" s="1765"/>
      <c r="M1387" s="1765"/>
      <c r="N1387" s="1765"/>
      <c r="O1387" s="1765"/>
      <c r="P1387" s="1765"/>
      <c r="Q1387" s="1766"/>
      <c r="R1387" s="1766"/>
      <c r="S1387" s="1696"/>
      <c r="T1387" s="1696"/>
      <c r="U1387" s="1772"/>
      <c r="V1387" s="1696"/>
      <c r="W1387" s="1772"/>
      <c r="X1387" s="1696"/>
      <c r="Y1387" s="1696"/>
      <c r="Z1387" s="1773"/>
    </row>
    <row r="1388">
      <c r="A1388" s="1771"/>
      <c r="B1388" s="1777"/>
      <c r="C1388" s="1771"/>
      <c r="D1388" s="1771"/>
      <c r="E1388" s="1771"/>
      <c r="F1388" s="1771"/>
      <c r="G1388" s="1770"/>
      <c r="H1388" s="1771"/>
      <c r="I1388" s="1778"/>
      <c r="J1388" s="1771"/>
      <c r="K1388" s="1771"/>
      <c r="L1388" s="1771"/>
      <c r="M1388" s="1771"/>
      <c r="N1388" s="1779"/>
      <c r="O1388" s="1770"/>
      <c r="P1388" s="1771"/>
      <c r="Q1388" s="1766"/>
      <c r="R1388" s="1766"/>
      <c r="S1388" s="1696"/>
      <c r="T1388" s="1696"/>
      <c r="U1388" s="1772"/>
      <c r="V1388" s="1696"/>
      <c r="W1388" s="1772"/>
      <c r="X1388" s="1696"/>
      <c r="Y1388" s="1696"/>
      <c r="Z1388" s="1773"/>
    </row>
    <row r="1389">
      <c r="A1389" s="1766"/>
      <c r="B1389" s="1780"/>
      <c r="C1389" s="1766"/>
      <c r="D1389" s="1766"/>
      <c r="E1389" s="1766"/>
      <c r="F1389" s="1766"/>
      <c r="G1389" s="1766"/>
      <c r="H1389" s="1766"/>
      <c r="I1389" s="1766"/>
      <c r="J1389" s="1766"/>
      <c r="K1389" s="1766"/>
      <c r="L1389" s="1766"/>
      <c r="M1389" s="1766"/>
      <c r="N1389" s="1781"/>
      <c r="O1389" s="1766"/>
      <c r="P1389" s="1766"/>
      <c r="Q1389" s="1766"/>
      <c r="R1389" s="1766"/>
      <c r="S1389" s="1696"/>
      <c r="T1389" s="1696"/>
      <c r="U1389" s="1772"/>
      <c r="V1389" s="1696"/>
      <c r="W1389" s="1772"/>
      <c r="X1389" s="1696"/>
      <c r="Y1389" s="1696"/>
      <c r="Z1389" s="1773"/>
    </row>
    <row r="1390">
      <c r="A1390" s="1765"/>
      <c r="B1390" s="1782"/>
      <c r="C1390" s="1765"/>
      <c r="D1390" s="1765"/>
      <c r="E1390" s="1765"/>
      <c r="F1390" s="1765"/>
      <c r="G1390" s="1765"/>
      <c r="H1390" s="1765"/>
      <c r="I1390" s="1765"/>
      <c r="J1390" s="1765"/>
      <c r="K1390" s="1765"/>
      <c r="L1390" s="1765"/>
      <c r="M1390" s="1765"/>
      <c r="N1390" s="1765"/>
      <c r="O1390" s="1765"/>
      <c r="P1390" s="1765"/>
      <c r="Q1390" s="1766"/>
      <c r="R1390" s="1766"/>
      <c r="S1390" s="1696"/>
      <c r="T1390" s="1696"/>
      <c r="U1390" s="1772"/>
      <c r="V1390" s="1696"/>
      <c r="W1390" s="1772"/>
      <c r="X1390" s="1696"/>
      <c r="Y1390" s="1696"/>
      <c r="Z1390" s="1773"/>
    </row>
    <row r="1391">
      <c r="A1391" s="1771"/>
      <c r="B1391" s="1777"/>
      <c r="C1391" s="1771"/>
      <c r="D1391" s="1771"/>
      <c r="E1391" s="1771"/>
      <c r="F1391" s="1771"/>
      <c r="G1391" s="1770"/>
      <c r="H1391" s="1771"/>
      <c r="I1391" s="1778"/>
      <c r="J1391" s="1771"/>
      <c r="K1391" s="1771"/>
      <c r="L1391" s="1771"/>
      <c r="M1391" s="1771"/>
      <c r="N1391" s="1779"/>
      <c r="O1391" s="1770"/>
      <c r="P1391" s="1771"/>
      <c r="Q1391" s="1766"/>
      <c r="R1391" s="1766"/>
      <c r="S1391" s="1696"/>
      <c r="T1391" s="1696"/>
      <c r="U1391" s="1772"/>
      <c r="V1391" s="1696"/>
      <c r="W1391" s="1772"/>
      <c r="X1391" s="1696"/>
      <c r="Y1391" s="1696"/>
      <c r="Z1391" s="1773"/>
    </row>
    <row r="1392">
      <c r="A1392" s="1766"/>
      <c r="B1392" s="1780"/>
      <c r="C1392" s="1766"/>
      <c r="D1392" s="1766"/>
      <c r="E1392" s="1766"/>
      <c r="F1392" s="1766"/>
      <c r="G1392" s="1766"/>
      <c r="H1392" s="1766"/>
      <c r="I1392" s="1766"/>
      <c r="J1392" s="1766"/>
      <c r="K1392" s="1766"/>
      <c r="L1392" s="1766"/>
      <c r="M1392" s="1766"/>
      <c r="N1392" s="1781"/>
      <c r="O1392" s="1766"/>
      <c r="P1392" s="1766"/>
      <c r="Q1392" s="1766"/>
      <c r="R1392" s="1766"/>
      <c r="S1392" s="1696"/>
      <c r="T1392" s="1696"/>
      <c r="U1392" s="1772"/>
      <c r="V1392" s="1696"/>
      <c r="W1392" s="1772"/>
      <c r="X1392" s="1696"/>
      <c r="Y1392" s="1696"/>
      <c r="Z1392" s="1773"/>
    </row>
    <row r="1393">
      <c r="A1393" s="1765"/>
      <c r="B1393" s="1782"/>
      <c r="C1393" s="1765"/>
      <c r="D1393" s="1765"/>
      <c r="E1393" s="1765"/>
      <c r="F1393" s="1765"/>
      <c r="G1393" s="1765"/>
      <c r="H1393" s="1765"/>
      <c r="I1393" s="1765"/>
      <c r="J1393" s="1765"/>
      <c r="K1393" s="1765"/>
      <c r="L1393" s="1765"/>
      <c r="M1393" s="1765"/>
      <c r="N1393" s="1765"/>
      <c r="O1393" s="1765"/>
      <c r="P1393" s="1765"/>
      <c r="Q1393" s="1766"/>
      <c r="R1393" s="1766"/>
      <c r="S1393" s="1696"/>
      <c r="T1393" s="1696"/>
      <c r="U1393" s="1772"/>
      <c r="V1393" s="1696"/>
      <c r="W1393" s="1772"/>
      <c r="X1393" s="1696"/>
      <c r="Y1393" s="1696"/>
      <c r="Z1393" s="1773"/>
    </row>
    <row r="1394">
      <c r="A1394" s="1771"/>
      <c r="B1394" s="1777"/>
      <c r="C1394" s="1771"/>
      <c r="D1394" s="1771"/>
      <c r="E1394" s="1771"/>
      <c r="F1394" s="1771"/>
      <c r="G1394" s="1770"/>
      <c r="H1394" s="1771"/>
      <c r="I1394" s="1778"/>
      <c r="J1394" s="1771"/>
      <c r="K1394" s="1771"/>
      <c r="L1394" s="1771"/>
      <c r="M1394" s="1771"/>
      <c r="N1394" s="1779"/>
      <c r="O1394" s="1770"/>
      <c r="P1394" s="1771"/>
      <c r="Q1394" s="1766"/>
      <c r="R1394" s="1766"/>
      <c r="S1394" s="1696"/>
      <c r="T1394" s="1696"/>
      <c r="U1394" s="1772"/>
      <c r="V1394" s="1696"/>
      <c r="W1394" s="1772"/>
      <c r="X1394" s="1696"/>
      <c r="Y1394" s="1696"/>
      <c r="Z1394" s="1773"/>
    </row>
    <row r="1395">
      <c r="A1395" s="1766"/>
      <c r="B1395" s="1780"/>
      <c r="C1395" s="1766"/>
      <c r="D1395" s="1766"/>
      <c r="E1395" s="1766"/>
      <c r="F1395" s="1766"/>
      <c r="G1395" s="1766"/>
      <c r="H1395" s="1766"/>
      <c r="I1395" s="1766"/>
      <c r="J1395" s="1766"/>
      <c r="K1395" s="1766"/>
      <c r="L1395" s="1766"/>
      <c r="M1395" s="1766"/>
      <c r="N1395" s="1781"/>
      <c r="O1395" s="1766"/>
      <c r="P1395" s="1766"/>
      <c r="Q1395" s="1766"/>
      <c r="R1395" s="1766"/>
      <c r="S1395" s="1696"/>
      <c r="T1395" s="1696"/>
      <c r="U1395" s="1772"/>
      <c r="V1395" s="1696"/>
      <c r="W1395" s="1772"/>
      <c r="X1395" s="1696"/>
      <c r="Y1395" s="1696"/>
      <c r="Z1395" s="1773"/>
    </row>
    <row r="1396">
      <c r="A1396" s="1765"/>
      <c r="B1396" s="1782"/>
      <c r="C1396" s="1765"/>
      <c r="D1396" s="1765"/>
      <c r="E1396" s="1765"/>
      <c r="F1396" s="1765"/>
      <c r="G1396" s="1765"/>
      <c r="H1396" s="1765"/>
      <c r="I1396" s="1765"/>
      <c r="J1396" s="1765"/>
      <c r="K1396" s="1765"/>
      <c r="L1396" s="1765"/>
      <c r="M1396" s="1765"/>
      <c r="N1396" s="1765"/>
      <c r="O1396" s="1765"/>
      <c r="P1396" s="1765"/>
      <c r="Q1396" s="1766"/>
      <c r="R1396" s="1766"/>
      <c r="S1396" s="1696"/>
      <c r="T1396" s="1696"/>
      <c r="U1396" s="1772"/>
      <c r="V1396" s="1696"/>
      <c r="W1396" s="1772"/>
      <c r="X1396" s="1696"/>
      <c r="Y1396" s="1696"/>
      <c r="Z1396" s="1773"/>
    </row>
    <row r="1397">
      <c r="A1397" s="1771"/>
      <c r="B1397" s="1777"/>
      <c r="C1397" s="1771"/>
      <c r="D1397" s="1771"/>
      <c r="E1397" s="1771"/>
      <c r="F1397" s="1771"/>
      <c r="G1397" s="1770"/>
      <c r="H1397" s="1771"/>
      <c r="I1397" s="1778"/>
      <c r="J1397" s="1771"/>
      <c r="K1397" s="1771"/>
      <c r="L1397" s="1771"/>
      <c r="M1397" s="1771"/>
      <c r="N1397" s="1779"/>
      <c r="O1397" s="1770"/>
      <c r="P1397" s="1771"/>
      <c r="Q1397" s="1766"/>
      <c r="R1397" s="1766"/>
      <c r="S1397" s="1696"/>
      <c r="T1397" s="1696"/>
      <c r="U1397" s="1772"/>
      <c r="V1397" s="1696"/>
      <c r="W1397" s="1772"/>
      <c r="X1397" s="1696"/>
      <c r="Y1397" s="1696"/>
      <c r="Z1397" s="1773"/>
    </row>
    <row r="1398">
      <c r="A1398" s="1766"/>
      <c r="B1398" s="1780"/>
      <c r="C1398" s="1766"/>
      <c r="D1398" s="1766"/>
      <c r="E1398" s="1766"/>
      <c r="F1398" s="1766"/>
      <c r="G1398" s="1766"/>
      <c r="H1398" s="1766"/>
      <c r="I1398" s="1766"/>
      <c r="J1398" s="1766"/>
      <c r="K1398" s="1766"/>
      <c r="L1398" s="1766"/>
      <c r="M1398" s="1766"/>
      <c r="N1398" s="1781"/>
      <c r="O1398" s="1766"/>
      <c r="P1398" s="1766"/>
      <c r="Q1398" s="1766"/>
      <c r="R1398" s="1766"/>
      <c r="S1398" s="1696"/>
      <c r="T1398" s="1696"/>
      <c r="U1398" s="1772"/>
      <c r="V1398" s="1696"/>
      <c r="W1398" s="1772"/>
      <c r="X1398" s="1696"/>
      <c r="Y1398" s="1696"/>
      <c r="Z1398" s="1773"/>
    </row>
    <row r="1399">
      <c r="A1399" s="1765"/>
      <c r="B1399" s="1782"/>
      <c r="C1399" s="1765"/>
      <c r="D1399" s="1765"/>
      <c r="E1399" s="1765"/>
      <c r="F1399" s="1765"/>
      <c r="G1399" s="1765"/>
      <c r="H1399" s="1765"/>
      <c r="I1399" s="1765"/>
      <c r="J1399" s="1765"/>
      <c r="K1399" s="1765"/>
      <c r="L1399" s="1765"/>
      <c r="M1399" s="1765"/>
      <c r="N1399" s="1765"/>
      <c r="O1399" s="1765"/>
      <c r="P1399" s="1765"/>
      <c r="Q1399" s="1766"/>
      <c r="R1399" s="1766"/>
      <c r="S1399" s="1696"/>
      <c r="T1399" s="1696"/>
      <c r="U1399" s="1772"/>
      <c r="V1399" s="1696"/>
      <c r="W1399" s="1772"/>
      <c r="X1399" s="1696"/>
      <c r="Y1399" s="1696"/>
      <c r="Z1399" s="1773"/>
    </row>
    <row r="1400">
      <c r="A1400" s="1771"/>
      <c r="B1400" s="1777"/>
      <c r="C1400" s="1771"/>
      <c r="D1400" s="1771"/>
      <c r="E1400" s="1771"/>
      <c r="F1400" s="1771"/>
      <c r="G1400" s="1770"/>
      <c r="H1400" s="1771"/>
      <c r="I1400" s="1778"/>
      <c r="J1400" s="1771"/>
      <c r="K1400" s="1771"/>
      <c r="L1400" s="1771"/>
      <c r="M1400" s="1771"/>
      <c r="N1400" s="1779"/>
      <c r="O1400" s="1770"/>
      <c r="P1400" s="1771"/>
      <c r="Q1400" s="1766"/>
      <c r="R1400" s="1766"/>
      <c r="S1400" s="1696"/>
      <c r="T1400" s="1696"/>
      <c r="U1400" s="1772"/>
      <c r="V1400" s="1696"/>
      <c r="W1400" s="1772"/>
      <c r="X1400" s="1696"/>
      <c r="Y1400" s="1696"/>
      <c r="Z1400" s="1773"/>
    </row>
    <row r="1401">
      <c r="A1401" s="1766"/>
      <c r="B1401" s="1780"/>
      <c r="C1401" s="1766"/>
      <c r="D1401" s="1766"/>
      <c r="E1401" s="1766"/>
      <c r="F1401" s="1766"/>
      <c r="G1401" s="1766"/>
      <c r="H1401" s="1766"/>
      <c r="I1401" s="1766"/>
      <c r="J1401" s="1766"/>
      <c r="K1401" s="1766"/>
      <c r="L1401" s="1766"/>
      <c r="M1401" s="1766"/>
      <c r="N1401" s="1781"/>
      <c r="O1401" s="1766"/>
      <c r="P1401" s="1766"/>
      <c r="Q1401" s="1766"/>
      <c r="R1401" s="1766"/>
      <c r="S1401" s="1696"/>
      <c r="T1401" s="1696"/>
      <c r="U1401" s="1772"/>
      <c r="V1401" s="1696"/>
      <c r="W1401" s="1772"/>
      <c r="X1401" s="1696"/>
      <c r="Y1401" s="1696"/>
      <c r="Z1401" s="1773"/>
    </row>
    <row r="1402">
      <c r="A1402" s="1765"/>
      <c r="B1402" s="1782"/>
      <c r="C1402" s="1765"/>
      <c r="D1402" s="1765"/>
      <c r="E1402" s="1765"/>
      <c r="F1402" s="1765"/>
      <c r="G1402" s="1765"/>
      <c r="H1402" s="1765"/>
      <c r="I1402" s="1765"/>
      <c r="J1402" s="1765"/>
      <c r="K1402" s="1765"/>
      <c r="L1402" s="1765"/>
      <c r="M1402" s="1765"/>
      <c r="N1402" s="1765"/>
      <c r="O1402" s="1765"/>
      <c r="P1402" s="1765"/>
      <c r="Q1402" s="1766"/>
      <c r="R1402" s="1766"/>
      <c r="S1402" s="1696"/>
      <c r="T1402" s="1696"/>
      <c r="U1402" s="1772"/>
      <c r="V1402" s="1696"/>
      <c r="W1402" s="1772"/>
      <c r="X1402" s="1696"/>
      <c r="Y1402" s="1696"/>
      <c r="Z1402" s="1773"/>
    </row>
    <row r="1403">
      <c r="A1403" s="1771"/>
      <c r="B1403" s="1777"/>
      <c r="C1403" s="1771"/>
      <c r="D1403" s="1771"/>
      <c r="E1403" s="1771"/>
      <c r="F1403" s="1771"/>
      <c r="G1403" s="1770"/>
      <c r="H1403" s="1771"/>
      <c r="I1403" s="1778"/>
      <c r="J1403" s="1771"/>
      <c r="K1403" s="1771"/>
      <c r="L1403" s="1771"/>
      <c r="M1403" s="1771"/>
      <c r="N1403" s="1779"/>
      <c r="O1403" s="1770"/>
      <c r="P1403" s="1771"/>
      <c r="Q1403" s="1766"/>
      <c r="R1403" s="1766"/>
      <c r="S1403" s="1696"/>
      <c r="T1403" s="1696"/>
      <c r="U1403" s="1772"/>
      <c r="V1403" s="1696"/>
      <c r="W1403" s="1772"/>
      <c r="X1403" s="1696"/>
      <c r="Y1403" s="1696"/>
      <c r="Z1403" s="1773"/>
    </row>
    <row r="1404">
      <c r="A1404" s="1766"/>
      <c r="B1404" s="1780"/>
      <c r="C1404" s="1766"/>
      <c r="D1404" s="1766"/>
      <c r="E1404" s="1766"/>
      <c r="F1404" s="1766"/>
      <c r="G1404" s="1766"/>
      <c r="H1404" s="1766"/>
      <c r="I1404" s="1766"/>
      <c r="J1404" s="1766"/>
      <c r="K1404" s="1766"/>
      <c r="L1404" s="1766"/>
      <c r="M1404" s="1766"/>
      <c r="N1404" s="1781"/>
      <c r="O1404" s="1766"/>
      <c r="P1404" s="1766"/>
      <c r="Q1404" s="1766"/>
      <c r="R1404" s="1766"/>
      <c r="S1404" s="1696"/>
      <c r="T1404" s="1696"/>
      <c r="U1404" s="1772"/>
      <c r="V1404" s="1696"/>
      <c r="W1404" s="1772"/>
      <c r="X1404" s="1696"/>
      <c r="Y1404" s="1696"/>
      <c r="Z1404" s="1773"/>
    </row>
    <row r="1405">
      <c r="A1405" s="1765"/>
      <c r="B1405" s="1782"/>
      <c r="C1405" s="1765"/>
      <c r="D1405" s="1765"/>
      <c r="E1405" s="1765"/>
      <c r="F1405" s="1765"/>
      <c r="G1405" s="1765"/>
      <c r="H1405" s="1765"/>
      <c r="I1405" s="1765"/>
      <c r="J1405" s="1765"/>
      <c r="K1405" s="1765"/>
      <c r="L1405" s="1765"/>
      <c r="M1405" s="1765"/>
      <c r="N1405" s="1765"/>
      <c r="O1405" s="1765"/>
      <c r="P1405" s="1765"/>
      <c r="Q1405" s="1766"/>
      <c r="R1405" s="1766"/>
      <c r="S1405" s="1696"/>
      <c r="T1405" s="1696"/>
      <c r="U1405" s="1772"/>
      <c r="V1405" s="1696"/>
      <c r="W1405" s="1772"/>
      <c r="X1405" s="1696"/>
      <c r="Y1405" s="1696"/>
      <c r="Z1405" s="1773"/>
    </row>
    <row r="1406">
      <c r="A1406" s="1771"/>
      <c r="B1406" s="1777"/>
      <c r="C1406" s="1771"/>
      <c r="D1406" s="1771"/>
      <c r="E1406" s="1771"/>
      <c r="F1406" s="1771"/>
      <c r="G1406" s="1770"/>
      <c r="H1406" s="1771"/>
      <c r="I1406" s="1778"/>
      <c r="J1406" s="1771"/>
      <c r="K1406" s="1771"/>
      <c r="L1406" s="1771"/>
      <c r="M1406" s="1771"/>
      <c r="N1406" s="1779"/>
      <c r="O1406" s="1770"/>
      <c r="P1406" s="1771"/>
      <c r="Q1406" s="1766"/>
      <c r="R1406" s="1766"/>
      <c r="S1406" s="1696"/>
      <c r="T1406" s="1696"/>
      <c r="U1406" s="1772"/>
      <c r="V1406" s="1696"/>
      <c r="W1406" s="1772"/>
      <c r="X1406" s="1696"/>
      <c r="Y1406" s="1696"/>
      <c r="Z1406" s="1773"/>
    </row>
    <row r="1407">
      <c r="A1407" s="1766"/>
      <c r="B1407" s="1780"/>
      <c r="C1407" s="1766"/>
      <c r="D1407" s="1766"/>
      <c r="E1407" s="1766"/>
      <c r="F1407" s="1766"/>
      <c r="G1407" s="1766"/>
      <c r="H1407" s="1766"/>
      <c r="I1407" s="1766"/>
      <c r="J1407" s="1766"/>
      <c r="K1407" s="1766"/>
      <c r="L1407" s="1766"/>
      <c r="M1407" s="1766"/>
      <c r="N1407" s="1781"/>
      <c r="O1407" s="1766"/>
      <c r="P1407" s="1766"/>
      <c r="Q1407" s="1766"/>
      <c r="R1407" s="1766"/>
      <c r="S1407" s="1696"/>
      <c r="T1407" s="1696"/>
      <c r="U1407" s="1772"/>
      <c r="V1407" s="1696"/>
      <c r="W1407" s="1772"/>
      <c r="X1407" s="1696"/>
      <c r="Y1407" s="1696"/>
      <c r="Z1407" s="1773"/>
    </row>
    <row r="1408">
      <c r="A1408" s="1765"/>
      <c r="B1408" s="1782"/>
      <c r="C1408" s="1765"/>
      <c r="D1408" s="1765"/>
      <c r="E1408" s="1765"/>
      <c r="F1408" s="1765"/>
      <c r="G1408" s="1765"/>
      <c r="H1408" s="1765"/>
      <c r="I1408" s="1765"/>
      <c r="J1408" s="1765"/>
      <c r="K1408" s="1765"/>
      <c r="L1408" s="1765"/>
      <c r="M1408" s="1765"/>
      <c r="N1408" s="1765"/>
      <c r="O1408" s="1765"/>
      <c r="P1408" s="1765"/>
      <c r="Q1408" s="1766"/>
      <c r="R1408" s="1766"/>
      <c r="S1408" s="1696"/>
      <c r="T1408" s="1696"/>
      <c r="U1408" s="1772"/>
      <c r="V1408" s="1696"/>
      <c r="W1408" s="1772"/>
      <c r="X1408" s="1696"/>
      <c r="Y1408" s="1696"/>
      <c r="Z1408" s="1773"/>
    </row>
    <row r="1409">
      <c r="A1409" s="1771"/>
      <c r="B1409" s="1777"/>
      <c r="C1409" s="1771"/>
      <c r="D1409" s="1771"/>
      <c r="E1409" s="1771"/>
      <c r="F1409" s="1771"/>
      <c r="G1409" s="1771"/>
      <c r="H1409" s="1771"/>
      <c r="I1409" s="1770"/>
      <c r="J1409" s="1771"/>
      <c r="K1409" s="1771"/>
      <c r="L1409" s="1771"/>
      <c r="M1409" s="1771"/>
      <c r="N1409" s="1779"/>
      <c r="O1409" s="1770"/>
      <c r="P1409" s="1771"/>
      <c r="Q1409" s="1766"/>
      <c r="R1409" s="1766"/>
      <c r="S1409" s="1696"/>
      <c r="T1409" s="1696"/>
      <c r="U1409" s="1772"/>
      <c r="V1409" s="1696"/>
      <c r="W1409" s="1772"/>
      <c r="X1409" s="1696"/>
      <c r="Y1409" s="1696"/>
      <c r="Z1409" s="1773"/>
    </row>
    <row r="1410">
      <c r="A1410" s="1766"/>
      <c r="B1410" s="1780"/>
      <c r="C1410" s="1766"/>
      <c r="D1410" s="1766"/>
      <c r="E1410" s="1766"/>
      <c r="F1410" s="1766"/>
      <c r="G1410" s="1766"/>
      <c r="H1410" s="1766"/>
      <c r="I1410" s="1766"/>
      <c r="J1410" s="1766"/>
      <c r="K1410" s="1766"/>
      <c r="L1410" s="1766"/>
      <c r="M1410" s="1766"/>
      <c r="N1410" s="1781"/>
      <c r="O1410" s="1766"/>
      <c r="P1410" s="1766"/>
      <c r="Q1410" s="1766"/>
      <c r="R1410" s="1766"/>
      <c r="S1410" s="1696"/>
      <c r="T1410" s="1696"/>
      <c r="U1410" s="1772"/>
      <c r="V1410" s="1696"/>
      <c r="W1410" s="1772"/>
      <c r="X1410" s="1696"/>
      <c r="Y1410" s="1696"/>
      <c r="Z1410" s="1773"/>
    </row>
    <row r="1411">
      <c r="A1411" s="1765"/>
      <c r="B1411" s="1782"/>
      <c r="C1411" s="1765"/>
      <c r="D1411" s="1765"/>
      <c r="E1411" s="1765"/>
      <c r="F1411" s="1765"/>
      <c r="G1411" s="1765"/>
      <c r="H1411" s="1765"/>
      <c r="I1411" s="1765"/>
      <c r="J1411" s="1765"/>
      <c r="K1411" s="1765"/>
      <c r="L1411" s="1765"/>
      <c r="M1411" s="1765"/>
      <c r="N1411" s="1765"/>
      <c r="O1411" s="1765"/>
      <c r="P1411" s="1765"/>
      <c r="Q1411" s="1766"/>
      <c r="R1411" s="1766"/>
      <c r="S1411" s="1696"/>
      <c r="T1411" s="1696"/>
      <c r="U1411" s="1772"/>
      <c r="V1411" s="1696"/>
      <c r="W1411" s="1772"/>
      <c r="X1411" s="1696"/>
      <c r="Y1411" s="1696"/>
      <c r="Z1411" s="1773"/>
    </row>
    <row r="1412">
      <c r="A1412" s="1771"/>
      <c r="B1412" s="1777"/>
      <c r="C1412" s="1771"/>
      <c r="D1412" s="1771"/>
      <c r="E1412" s="1771"/>
      <c r="F1412" s="1771"/>
      <c r="G1412" s="1771"/>
      <c r="H1412" s="1771"/>
      <c r="I1412" s="1778"/>
      <c r="J1412" s="1771"/>
      <c r="K1412" s="1771"/>
      <c r="L1412" s="1771"/>
      <c r="M1412" s="1771"/>
      <c r="N1412" s="1779"/>
      <c r="O1412" s="1770"/>
      <c r="P1412" s="1771"/>
      <c r="Q1412" s="1766"/>
      <c r="R1412" s="1766"/>
      <c r="S1412" s="1696"/>
      <c r="T1412" s="1696"/>
      <c r="U1412" s="1772"/>
      <c r="V1412" s="1696"/>
      <c r="W1412" s="1772"/>
      <c r="X1412" s="1696"/>
      <c r="Y1412" s="1696"/>
      <c r="Z1412" s="1773"/>
    </row>
    <row r="1413">
      <c r="A1413" s="1766"/>
      <c r="B1413" s="1780"/>
      <c r="C1413" s="1766"/>
      <c r="D1413" s="1766"/>
      <c r="E1413" s="1766"/>
      <c r="F1413" s="1766"/>
      <c r="G1413" s="1766"/>
      <c r="H1413" s="1766"/>
      <c r="I1413" s="1766"/>
      <c r="J1413" s="1766"/>
      <c r="K1413" s="1766"/>
      <c r="L1413" s="1766"/>
      <c r="M1413" s="1766"/>
      <c r="N1413" s="1781"/>
      <c r="O1413" s="1766"/>
      <c r="P1413" s="1766"/>
      <c r="Q1413" s="1766"/>
      <c r="R1413" s="1766"/>
      <c r="S1413" s="1696"/>
      <c r="T1413" s="1696"/>
      <c r="U1413" s="1772"/>
      <c r="V1413" s="1696"/>
      <c r="W1413" s="1772"/>
      <c r="X1413" s="1696"/>
      <c r="Y1413" s="1696"/>
      <c r="Z1413" s="1773"/>
    </row>
    <row r="1414">
      <c r="A1414" s="1765"/>
      <c r="B1414" s="1782"/>
      <c r="C1414" s="1765"/>
      <c r="D1414" s="1765"/>
      <c r="E1414" s="1765"/>
      <c r="F1414" s="1765"/>
      <c r="G1414" s="1765"/>
      <c r="H1414" s="1765"/>
      <c r="I1414" s="1765"/>
      <c r="J1414" s="1765"/>
      <c r="K1414" s="1765"/>
      <c r="L1414" s="1765"/>
      <c r="M1414" s="1765"/>
      <c r="N1414" s="1765"/>
      <c r="O1414" s="1765"/>
      <c r="P1414" s="1765"/>
      <c r="Q1414" s="1766"/>
      <c r="R1414" s="1766"/>
      <c r="S1414" s="1696"/>
      <c r="T1414" s="1696"/>
      <c r="U1414" s="1772"/>
      <c r="V1414" s="1696"/>
      <c r="W1414" s="1772"/>
      <c r="X1414" s="1696"/>
      <c r="Y1414" s="1696"/>
      <c r="Z1414" s="1773"/>
    </row>
    <row r="1415">
      <c r="A1415" s="1771"/>
      <c r="B1415" s="1777"/>
      <c r="C1415" s="1771"/>
      <c r="D1415" s="1771"/>
      <c r="E1415" s="1771"/>
      <c r="F1415" s="1771"/>
      <c r="G1415" s="1770"/>
      <c r="H1415" s="1771"/>
      <c r="I1415" s="1770"/>
      <c r="J1415" s="1771"/>
      <c r="K1415" s="1771"/>
      <c r="L1415" s="1771"/>
      <c r="M1415" s="1771"/>
      <c r="N1415" s="1779"/>
      <c r="O1415" s="1770"/>
      <c r="P1415" s="1771"/>
      <c r="Q1415" s="1766"/>
      <c r="R1415" s="1766"/>
      <c r="S1415" s="1696"/>
      <c r="T1415" s="1696"/>
      <c r="U1415" s="1772"/>
      <c r="V1415" s="1696"/>
      <c r="W1415" s="1772"/>
      <c r="X1415" s="1696"/>
      <c r="Y1415" s="1696"/>
      <c r="Z1415" s="1773"/>
    </row>
    <row r="1416">
      <c r="A1416" s="1766"/>
      <c r="B1416" s="1780"/>
      <c r="C1416" s="1766"/>
      <c r="D1416" s="1766"/>
      <c r="E1416" s="1766"/>
      <c r="F1416" s="1766"/>
      <c r="G1416" s="1766"/>
      <c r="H1416" s="1766"/>
      <c r="I1416" s="1766"/>
      <c r="J1416" s="1766"/>
      <c r="K1416" s="1766"/>
      <c r="L1416" s="1766"/>
      <c r="M1416" s="1766"/>
      <c r="N1416" s="1781"/>
      <c r="O1416" s="1766"/>
      <c r="P1416" s="1766"/>
      <c r="Q1416" s="1766"/>
      <c r="R1416" s="1766"/>
      <c r="S1416" s="1696"/>
      <c r="T1416" s="1696"/>
      <c r="U1416" s="1772"/>
      <c r="V1416" s="1696"/>
      <c r="W1416" s="1772"/>
      <c r="X1416" s="1696"/>
      <c r="Y1416" s="1696"/>
      <c r="Z1416" s="1773"/>
    </row>
    <row r="1417">
      <c r="A1417" s="1765"/>
      <c r="B1417" s="1782"/>
      <c r="C1417" s="1765"/>
      <c r="D1417" s="1765"/>
      <c r="E1417" s="1765"/>
      <c r="F1417" s="1765"/>
      <c r="G1417" s="1765"/>
      <c r="H1417" s="1765"/>
      <c r="I1417" s="1765"/>
      <c r="J1417" s="1765"/>
      <c r="K1417" s="1765"/>
      <c r="L1417" s="1765"/>
      <c r="M1417" s="1765"/>
      <c r="N1417" s="1765"/>
      <c r="O1417" s="1765"/>
      <c r="P1417" s="1765"/>
      <c r="Q1417" s="1766"/>
      <c r="R1417" s="1766"/>
      <c r="S1417" s="1696"/>
      <c r="T1417" s="1696"/>
      <c r="U1417" s="1772"/>
      <c r="V1417" s="1696"/>
      <c r="W1417" s="1772"/>
      <c r="X1417" s="1696"/>
      <c r="Y1417" s="1696"/>
      <c r="Z1417" s="1773"/>
    </row>
    <row r="1418">
      <c r="A1418" s="1771"/>
      <c r="B1418" s="1777"/>
      <c r="C1418" s="1771"/>
      <c r="D1418" s="1771"/>
      <c r="E1418" s="1771"/>
      <c r="F1418" s="1771"/>
      <c r="G1418" s="1770"/>
      <c r="H1418" s="1771"/>
      <c r="I1418" s="1770"/>
      <c r="J1418" s="1771"/>
      <c r="K1418" s="1771"/>
      <c r="L1418" s="1771"/>
      <c r="M1418" s="1771"/>
      <c r="N1418" s="1779"/>
      <c r="O1418" s="1770"/>
      <c r="P1418" s="1771"/>
      <c r="Q1418" s="1766"/>
      <c r="R1418" s="1766"/>
      <c r="S1418" s="1696"/>
      <c r="T1418" s="1696"/>
      <c r="U1418" s="1772"/>
      <c r="V1418" s="1696"/>
      <c r="W1418" s="1772"/>
      <c r="X1418" s="1696"/>
      <c r="Y1418" s="1696"/>
      <c r="Z1418" s="1773"/>
    </row>
    <row r="1419">
      <c r="A1419" s="1766"/>
      <c r="B1419" s="1780"/>
      <c r="C1419" s="1766"/>
      <c r="D1419" s="1766"/>
      <c r="E1419" s="1766"/>
      <c r="F1419" s="1766"/>
      <c r="G1419" s="1766"/>
      <c r="H1419" s="1766"/>
      <c r="I1419" s="1766"/>
      <c r="J1419" s="1766"/>
      <c r="K1419" s="1766"/>
      <c r="L1419" s="1766"/>
      <c r="M1419" s="1766"/>
      <c r="N1419" s="1781"/>
      <c r="O1419" s="1766"/>
      <c r="P1419" s="1766"/>
      <c r="Q1419" s="1766"/>
      <c r="R1419" s="1766"/>
      <c r="S1419" s="1696"/>
      <c r="T1419" s="1696"/>
      <c r="U1419" s="1772"/>
      <c r="V1419" s="1696"/>
      <c r="W1419" s="1772"/>
      <c r="X1419" s="1696"/>
      <c r="Y1419" s="1696"/>
      <c r="Z1419" s="1773"/>
    </row>
    <row r="1420">
      <c r="A1420" s="1765"/>
      <c r="B1420" s="1782"/>
      <c r="C1420" s="1765"/>
      <c r="D1420" s="1765"/>
      <c r="E1420" s="1765"/>
      <c r="F1420" s="1765"/>
      <c r="G1420" s="1765"/>
      <c r="H1420" s="1765"/>
      <c r="I1420" s="1765"/>
      <c r="J1420" s="1765"/>
      <c r="K1420" s="1765"/>
      <c r="L1420" s="1765"/>
      <c r="M1420" s="1765"/>
      <c r="N1420" s="1765"/>
      <c r="O1420" s="1765"/>
      <c r="P1420" s="1765"/>
      <c r="Q1420" s="1766"/>
      <c r="R1420" s="1766"/>
      <c r="S1420" s="1696"/>
      <c r="T1420" s="1696"/>
      <c r="U1420" s="1772"/>
      <c r="V1420" s="1696"/>
      <c r="W1420" s="1772"/>
      <c r="X1420" s="1696"/>
      <c r="Y1420" s="1696"/>
      <c r="Z1420" s="1773"/>
    </row>
    <row r="1421">
      <c r="A1421" s="1771"/>
      <c r="B1421" s="1777"/>
      <c r="C1421" s="1771"/>
      <c r="D1421" s="1771"/>
      <c r="E1421" s="1771"/>
      <c r="F1421" s="1771"/>
      <c r="G1421" s="1770"/>
      <c r="H1421" s="1771"/>
      <c r="I1421" s="1770"/>
      <c r="J1421" s="1771"/>
      <c r="K1421" s="1771"/>
      <c r="L1421" s="1771"/>
      <c r="M1421" s="1771"/>
      <c r="N1421" s="1779"/>
      <c r="O1421" s="1770"/>
      <c r="P1421" s="1771"/>
      <c r="Q1421" s="1766"/>
      <c r="R1421" s="1766"/>
      <c r="S1421" s="1696"/>
      <c r="T1421" s="1696"/>
      <c r="U1421" s="1772"/>
      <c r="V1421" s="1696"/>
      <c r="W1421" s="1772"/>
      <c r="X1421" s="1696"/>
      <c r="Y1421" s="1696"/>
      <c r="Z1421" s="1773"/>
    </row>
    <row r="1422">
      <c r="A1422" s="1766"/>
      <c r="B1422" s="1780"/>
      <c r="C1422" s="1766"/>
      <c r="D1422" s="1766"/>
      <c r="E1422" s="1766"/>
      <c r="F1422" s="1766"/>
      <c r="G1422" s="1766"/>
      <c r="H1422" s="1766"/>
      <c r="I1422" s="1766"/>
      <c r="J1422" s="1766"/>
      <c r="K1422" s="1766"/>
      <c r="L1422" s="1766"/>
      <c r="M1422" s="1766"/>
      <c r="N1422" s="1781"/>
      <c r="O1422" s="1766"/>
      <c r="P1422" s="1766"/>
      <c r="Q1422" s="1766"/>
      <c r="R1422" s="1766"/>
      <c r="S1422" s="1696"/>
      <c r="T1422" s="1696"/>
      <c r="U1422" s="1772"/>
      <c r="V1422" s="1696"/>
      <c r="W1422" s="1772"/>
      <c r="X1422" s="1696"/>
      <c r="Y1422" s="1696"/>
      <c r="Z1422" s="1773"/>
    </row>
    <row r="1423">
      <c r="A1423" s="1765"/>
      <c r="B1423" s="1782"/>
      <c r="C1423" s="1765"/>
      <c r="D1423" s="1765"/>
      <c r="E1423" s="1765"/>
      <c r="F1423" s="1765"/>
      <c r="G1423" s="1765"/>
      <c r="H1423" s="1765"/>
      <c r="I1423" s="1765"/>
      <c r="J1423" s="1765"/>
      <c r="K1423" s="1765"/>
      <c r="L1423" s="1765"/>
      <c r="M1423" s="1765"/>
      <c r="N1423" s="1765"/>
      <c r="O1423" s="1765"/>
      <c r="P1423" s="1765"/>
      <c r="Q1423" s="1766"/>
      <c r="R1423" s="1766"/>
      <c r="S1423" s="1696"/>
      <c r="T1423" s="1696"/>
      <c r="U1423" s="1772"/>
      <c r="V1423" s="1696"/>
      <c r="W1423" s="1772"/>
      <c r="X1423" s="1696"/>
      <c r="Y1423" s="1696"/>
      <c r="Z1423" s="1773"/>
    </row>
    <row r="1424">
      <c r="A1424" s="1771"/>
      <c r="B1424" s="1777"/>
      <c r="C1424" s="1771"/>
      <c r="D1424" s="1771"/>
      <c r="E1424" s="1771"/>
      <c r="F1424" s="1771"/>
      <c r="G1424" s="1770"/>
      <c r="H1424" s="1771"/>
      <c r="I1424" s="1778"/>
      <c r="J1424" s="1771"/>
      <c r="K1424" s="1771"/>
      <c r="L1424" s="1771"/>
      <c r="M1424" s="1771"/>
      <c r="N1424" s="1779"/>
      <c r="O1424" s="1770"/>
      <c r="P1424" s="1771"/>
      <c r="Q1424" s="1766"/>
      <c r="R1424" s="1766"/>
      <c r="S1424" s="1696"/>
      <c r="T1424" s="1696"/>
      <c r="U1424" s="1772"/>
      <c r="V1424" s="1696"/>
      <c r="W1424" s="1772"/>
      <c r="X1424" s="1696"/>
      <c r="Y1424" s="1696"/>
      <c r="Z1424" s="1773"/>
    </row>
    <row r="1425">
      <c r="A1425" s="1766"/>
      <c r="B1425" s="1780"/>
      <c r="C1425" s="1766"/>
      <c r="D1425" s="1766"/>
      <c r="E1425" s="1766"/>
      <c r="F1425" s="1766"/>
      <c r="G1425" s="1766"/>
      <c r="H1425" s="1766"/>
      <c r="I1425" s="1766"/>
      <c r="J1425" s="1766"/>
      <c r="K1425" s="1766"/>
      <c r="L1425" s="1766"/>
      <c r="M1425" s="1766"/>
      <c r="N1425" s="1781"/>
      <c r="O1425" s="1766"/>
      <c r="P1425" s="1766"/>
      <c r="Q1425" s="1766"/>
      <c r="R1425" s="1766"/>
      <c r="S1425" s="1696"/>
      <c r="T1425" s="1696"/>
      <c r="U1425" s="1772"/>
      <c r="V1425" s="1696"/>
      <c r="W1425" s="1772"/>
      <c r="X1425" s="1696"/>
      <c r="Y1425" s="1696"/>
      <c r="Z1425" s="1773"/>
    </row>
    <row r="1426">
      <c r="A1426" s="1765"/>
      <c r="B1426" s="1782"/>
      <c r="C1426" s="1765"/>
      <c r="D1426" s="1765"/>
      <c r="E1426" s="1765"/>
      <c r="F1426" s="1765"/>
      <c r="G1426" s="1765"/>
      <c r="H1426" s="1765"/>
      <c r="I1426" s="1765"/>
      <c r="J1426" s="1765"/>
      <c r="K1426" s="1765"/>
      <c r="L1426" s="1765"/>
      <c r="M1426" s="1765"/>
      <c r="N1426" s="1765"/>
      <c r="O1426" s="1765"/>
      <c r="P1426" s="1765"/>
      <c r="Q1426" s="1766"/>
      <c r="R1426" s="1766"/>
      <c r="S1426" s="1696"/>
      <c r="T1426" s="1696"/>
      <c r="U1426" s="1772"/>
      <c r="V1426" s="1696"/>
      <c r="W1426" s="1772"/>
      <c r="X1426" s="1696"/>
      <c r="Y1426" s="1696"/>
      <c r="Z1426" s="1773"/>
    </row>
    <row r="1427">
      <c r="A1427" s="1771"/>
      <c r="B1427" s="1777"/>
      <c r="C1427" s="1771"/>
      <c r="D1427" s="1771"/>
      <c r="E1427" s="1771"/>
      <c r="F1427" s="1771"/>
      <c r="G1427" s="1770"/>
      <c r="H1427" s="1771"/>
      <c r="I1427" s="1778"/>
      <c r="J1427" s="1771"/>
      <c r="K1427" s="1771"/>
      <c r="L1427" s="1771"/>
      <c r="M1427" s="1771"/>
      <c r="N1427" s="1779"/>
      <c r="O1427" s="1770"/>
      <c r="P1427" s="1771"/>
      <c r="Q1427" s="1766"/>
      <c r="R1427" s="1766"/>
      <c r="S1427" s="1696"/>
      <c r="T1427" s="1696"/>
      <c r="U1427" s="1772"/>
      <c r="V1427" s="1696"/>
      <c r="W1427" s="1772"/>
      <c r="X1427" s="1696"/>
      <c r="Y1427" s="1696"/>
      <c r="Z1427" s="1773"/>
    </row>
    <row r="1428">
      <c r="A1428" s="1766"/>
      <c r="B1428" s="1780"/>
      <c r="C1428" s="1766"/>
      <c r="D1428" s="1766"/>
      <c r="E1428" s="1766"/>
      <c r="F1428" s="1766"/>
      <c r="G1428" s="1766"/>
      <c r="H1428" s="1766"/>
      <c r="I1428" s="1766"/>
      <c r="J1428" s="1766"/>
      <c r="K1428" s="1766"/>
      <c r="L1428" s="1766"/>
      <c r="M1428" s="1766"/>
      <c r="N1428" s="1781"/>
      <c r="O1428" s="1766"/>
      <c r="P1428" s="1766"/>
      <c r="Q1428" s="1766"/>
      <c r="R1428" s="1766"/>
      <c r="S1428" s="1696"/>
      <c r="T1428" s="1696"/>
      <c r="U1428" s="1772"/>
      <c r="V1428" s="1696"/>
      <c r="W1428" s="1772"/>
      <c r="X1428" s="1696"/>
      <c r="Y1428" s="1696"/>
      <c r="Z1428" s="1773"/>
    </row>
    <row r="1429">
      <c r="A1429" s="1765"/>
      <c r="B1429" s="1782"/>
      <c r="C1429" s="1765"/>
      <c r="D1429" s="1765"/>
      <c r="E1429" s="1765"/>
      <c r="F1429" s="1765"/>
      <c r="G1429" s="1765"/>
      <c r="H1429" s="1765"/>
      <c r="I1429" s="1765"/>
      <c r="J1429" s="1765"/>
      <c r="K1429" s="1765"/>
      <c r="L1429" s="1765"/>
      <c r="M1429" s="1765"/>
      <c r="N1429" s="1765"/>
      <c r="O1429" s="1765"/>
      <c r="P1429" s="1765"/>
      <c r="Q1429" s="1766"/>
      <c r="R1429" s="1766"/>
      <c r="S1429" s="1696"/>
      <c r="T1429" s="1696"/>
      <c r="U1429" s="1772"/>
      <c r="V1429" s="1696"/>
      <c r="W1429" s="1772"/>
      <c r="X1429" s="1696"/>
      <c r="Y1429" s="1696"/>
      <c r="Z1429" s="1773"/>
    </row>
    <row r="1430">
      <c r="A1430" s="1771"/>
      <c r="B1430" s="1777"/>
      <c r="C1430" s="1771"/>
      <c r="D1430" s="1771"/>
      <c r="E1430" s="1771"/>
      <c r="F1430" s="1771"/>
      <c r="G1430" s="1770"/>
      <c r="H1430" s="1771"/>
      <c r="I1430" s="1778"/>
      <c r="J1430" s="1771"/>
      <c r="K1430" s="1771"/>
      <c r="L1430" s="1771"/>
      <c r="M1430" s="1771"/>
      <c r="N1430" s="1779"/>
      <c r="O1430" s="1770"/>
      <c r="P1430" s="1771"/>
      <c r="Q1430" s="1766"/>
      <c r="R1430" s="1766"/>
      <c r="S1430" s="1696"/>
      <c r="T1430" s="1696"/>
      <c r="U1430" s="1772"/>
      <c r="V1430" s="1696"/>
      <c r="W1430" s="1772"/>
      <c r="X1430" s="1696"/>
      <c r="Y1430" s="1696"/>
      <c r="Z1430" s="1773"/>
    </row>
    <row r="1431">
      <c r="A1431" s="1766"/>
      <c r="B1431" s="1780"/>
      <c r="C1431" s="1766"/>
      <c r="D1431" s="1766"/>
      <c r="E1431" s="1766"/>
      <c r="F1431" s="1766"/>
      <c r="G1431" s="1766"/>
      <c r="H1431" s="1766"/>
      <c r="I1431" s="1766"/>
      <c r="J1431" s="1766"/>
      <c r="K1431" s="1766"/>
      <c r="L1431" s="1766"/>
      <c r="M1431" s="1766"/>
      <c r="N1431" s="1781"/>
      <c r="O1431" s="1766"/>
      <c r="P1431" s="1766"/>
      <c r="Q1431" s="1766"/>
      <c r="R1431" s="1766"/>
      <c r="S1431" s="1696"/>
      <c r="T1431" s="1696"/>
      <c r="U1431" s="1772"/>
      <c r="V1431" s="1696"/>
      <c r="W1431" s="1772"/>
      <c r="X1431" s="1696"/>
      <c r="Y1431" s="1696"/>
      <c r="Z1431" s="1773"/>
    </row>
    <row r="1432">
      <c r="A1432" s="1765"/>
      <c r="B1432" s="1782"/>
      <c r="C1432" s="1765"/>
      <c r="D1432" s="1765"/>
      <c r="E1432" s="1765"/>
      <c r="F1432" s="1765"/>
      <c r="G1432" s="1765"/>
      <c r="H1432" s="1765"/>
      <c r="I1432" s="1765"/>
      <c r="J1432" s="1765"/>
      <c r="K1432" s="1765"/>
      <c r="L1432" s="1765"/>
      <c r="M1432" s="1765"/>
      <c r="N1432" s="1765"/>
      <c r="O1432" s="1765"/>
      <c r="P1432" s="1765"/>
      <c r="Q1432" s="1766"/>
      <c r="R1432" s="1766"/>
      <c r="S1432" s="1696"/>
      <c r="T1432" s="1696"/>
      <c r="U1432" s="1772"/>
      <c r="V1432" s="1696"/>
      <c r="W1432" s="1772"/>
      <c r="X1432" s="1696"/>
      <c r="Y1432" s="1696"/>
      <c r="Z1432" s="1773"/>
    </row>
    <row r="1433">
      <c r="A1433" s="1771"/>
      <c r="B1433" s="1777"/>
      <c r="C1433" s="1771"/>
      <c r="D1433" s="1771"/>
      <c r="E1433" s="1771"/>
      <c r="F1433" s="1771"/>
      <c r="G1433" s="1770"/>
      <c r="H1433" s="1771"/>
      <c r="I1433" s="1778"/>
      <c r="J1433" s="1771"/>
      <c r="K1433" s="1771"/>
      <c r="L1433" s="1771"/>
      <c r="M1433" s="1771"/>
      <c r="N1433" s="1779"/>
      <c r="O1433" s="1770"/>
      <c r="P1433" s="1771"/>
      <c r="Q1433" s="1766"/>
      <c r="R1433" s="1766"/>
      <c r="S1433" s="1696"/>
      <c r="T1433" s="1696"/>
      <c r="U1433" s="1772"/>
      <c r="V1433" s="1696"/>
      <c r="W1433" s="1772"/>
      <c r="X1433" s="1696"/>
      <c r="Y1433" s="1696"/>
      <c r="Z1433" s="1773"/>
    </row>
    <row r="1434">
      <c r="A1434" s="1766"/>
      <c r="B1434" s="1780"/>
      <c r="C1434" s="1766"/>
      <c r="D1434" s="1766"/>
      <c r="E1434" s="1766"/>
      <c r="F1434" s="1766"/>
      <c r="G1434" s="1766"/>
      <c r="H1434" s="1766"/>
      <c r="I1434" s="1766"/>
      <c r="J1434" s="1766"/>
      <c r="K1434" s="1766"/>
      <c r="L1434" s="1766"/>
      <c r="M1434" s="1766"/>
      <c r="N1434" s="1781"/>
      <c r="O1434" s="1766"/>
      <c r="P1434" s="1766"/>
      <c r="Q1434" s="1766"/>
      <c r="R1434" s="1766"/>
      <c r="S1434" s="1696"/>
      <c r="T1434" s="1696"/>
      <c r="U1434" s="1772"/>
      <c r="V1434" s="1696"/>
      <c r="W1434" s="1772"/>
      <c r="X1434" s="1696"/>
      <c r="Y1434" s="1696"/>
      <c r="Z1434" s="1773"/>
    </row>
    <row r="1435">
      <c r="A1435" s="1765"/>
      <c r="B1435" s="1782"/>
      <c r="C1435" s="1765"/>
      <c r="D1435" s="1765"/>
      <c r="E1435" s="1765"/>
      <c r="F1435" s="1765"/>
      <c r="G1435" s="1765"/>
      <c r="H1435" s="1765"/>
      <c r="I1435" s="1765"/>
      <c r="J1435" s="1765"/>
      <c r="K1435" s="1765"/>
      <c r="L1435" s="1765"/>
      <c r="M1435" s="1765"/>
      <c r="N1435" s="1765"/>
      <c r="O1435" s="1765"/>
      <c r="P1435" s="1765"/>
      <c r="Q1435" s="1766"/>
      <c r="R1435" s="1766"/>
      <c r="S1435" s="1696"/>
      <c r="T1435" s="1696"/>
      <c r="U1435" s="1772"/>
      <c r="V1435" s="1696"/>
      <c r="W1435" s="1772"/>
      <c r="X1435" s="1696"/>
      <c r="Y1435" s="1696"/>
      <c r="Z1435" s="1773"/>
    </row>
    <row r="1436">
      <c r="A1436" s="1771"/>
      <c r="B1436" s="1777"/>
      <c r="C1436" s="1771"/>
      <c r="D1436" s="1771"/>
      <c r="E1436" s="1771"/>
      <c r="F1436" s="1771"/>
      <c r="G1436" s="1770"/>
      <c r="H1436" s="1771"/>
      <c r="I1436" s="1778"/>
      <c r="J1436" s="1771"/>
      <c r="K1436" s="1771"/>
      <c r="L1436" s="1771"/>
      <c r="M1436" s="1771"/>
      <c r="N1436" s="1779"/>
      <c r="O1436" s="1770"/>
      <c r="P1436" s="1771"/>
      <c r="Q1436" s="1766"/>
      <c r="R1436" s="1766"/>
      <c r="S1436" s="1696"/>
      <c r="T1436" s="1696"/>
      <c r="U1436" s="1772"/>
      <c r="V1436" s="1696"/>
      <c r="W1436" s="1772"/>
      <c r="X1436" s="1696"/>
      <c r="Y1436" s="1696"/>
      <c r="Z1436" s="1773"/>
    </row>
    <row r="1437">
      <c r="A1437" s="1766"/>
      <c r="B1437" s="1780"/>
      <c r="C1437" s="1766"/>
      <c r="D1437" s="1766"/>
      <c r="E1437" s="1766"/>
      <c r="F1437" s="1766"/>
      <c r="G1437" s="1766"/>
      <c r="H1437" s="1766"/>
      <c r="I1437" s="1766"/>
      <c r="J1437" s="1766"/>
      <c r="K1437" s="1766"/>
      <c r="L1437" s="1766"/>
      <c r="M1437" s="1766"/>
      <c r="N1437" s="1781"/>
      <c r="O1437" s="1766"/>
      <c r="P1437" s="1766"/>
      <c r="Q1437" s="1766"/>
      <c r="R1437" s="1766"/>
      <c r="S1437" s="1696"/>
      <c r="T1437" s="1696"/>
      <c r="U1437" s="1772"/>
      <c r="V1437" s="1696"/>
      <c r="W1437" s="1772"/>
      <c r="X1437" s="1696"/>
      <c r="Y1437" s="1696"/>
      <c r="Z1437" s="1773"/>
    </row>
    <row r="1438">
      <c r="A1438" s="1765"/>
      <c r="B1438" s="1782"/>
      <c r="C1438" s="1765"/>
      <c r="D1438" s="1765"/>
      <c r="E1438" s="1765"/>
      <c r="F1438" s="1765"/>
      <c r="G1438" s="1765"/>
      <c r="H1438" s="1765"/>
      <c r="I1438" s="1765"/>
      <c r="J1438" s="1765"/>
      <c r="K1438" s="1765"/>
      <c r="L1438" s="1765"/>
      <c r="M1438" s="1765"/>
      <c r="N1438" s="1765"/>
      <c r="O1438" s="1765"/>
      <c r="P1438" s="1765"/>
      <c r="Q1438" s="1766"/>
      <c r="R1438" s="1766"/>
      <c r="S1438" s="1696"/>
      <c r="T1438" s="1696"/>
      <c r="U1438" s="1772"/>
      <c r="V1438" s="1696"/>
      <c r="W1438" s="1772"/>
      <c r="X1438" s="1696"/>
      <c r="Y1438" s="1696"/>
      <c r="Z1438" s="1773"/>
    </row>
    <row r="1439">
      <c r="A1439" s="1771"/>
      <c r="B1439" s="1777"/>
      <c r="C1439" s="1771"/>
      <c r="D1439" s="1771"/>
      <c r="E1439" s="1771"/>
      <c r="F1439" s="1771"/>
      <c r="G1439" s="1770"/>
      <c r="H1439" s="1771"/>
      <c r="I1439" s="1778"/>
      <c r="J1439" s="1771"/>
      <c r="K1439" s="1771"/>
      <c r="L1439" s="1771"/>
      <c r="M1439" s="1771"/>
      <c r="N1439" s="1779"/>
      <c r="O1439" s="1770"/>
      <c r="P1439" s="1771"/>
      <c r="Q1439" s="1766"/>
      <c r="R1439" s="1766"/>
      <c r="S1439" s="1696"/>
      <c r="T1439" s="1696"/>
      <c r="U1439" s="1772"/>
      <c r="V1439" s="1696"/>
      <c r="W1439" s="1772"/>
      <c r="X1439" s="1696"/>
      <c r="Y1439" s="1696"/>
      <c r="Z1439" s="1773"/>
    </row>
    <row r="1440">
      <c r="A1440" s="1766"/>
      <c r="B1440" s="1780"/>
      <c r="C1440" s="1766"/>
      <c r="D1440" s="1766"/>
      <c r="E1440" s="1766"/>
      <c r="F1440" s="1766"/>
      <c r="G1440" s="1766"/>
      <c r="H1440" s="1766"/>
      <c r="I1440" s="1766"/>
      <c r="J1440" s="1766"/>
      <c r="K1440" s="1766"/>
      <c r="L1440" s="1766"/>
      <c r="M1440" s="1766"/>
      <c r="N1440" s="1781"/>
      <c r="O1440" s="1766"/>
      <c r="P1440" s="1766"/>
      <c r="Q1440" s="1766"/>
      <c r="R1440" s="1766"/>
      <c r="S1440" s="1696"/>
      <c r="T1440" s="1696"/>
      <c r="U1440" s="1772"/>
      <c r="V1440" s="1696"/>
      <c r="W1440" s="1772"/>
      <c r="X1440" s="1696"/>
      <c r="Y1440" s="1696"/>
      <c r="Z1440" s="1773"/>
    </row>
    <row r="1441">
      <c r="A1441" s="1765"/>
      <c r="B1441" s="1782"/>
      <c r="C1441" s="1765"/>
      <c r="D1441" s="1765"/>
      <c r="E1441" s="1765"/>
      <c r="F1441" s="1765"/>
      <c r="G1441" s="1765"/>
      <c r="H1441" s="1765"/>
      <c r="I1441" s="1765"/>
      <c r="J1441" s="1765"/>
      <c r="K1441" s="1765"/>
      <c r="L1441" s="1765"/>
      <c r="M1441" s="1765"/>
      <c r="N1441" s="1765"/>
      <c r="O1441" s="1765"/>
      <c r="P1441" s="1765"/>
      <c r="Q1441" s="1766"/>
      <c r="R1441" s="1766"/>
      <c r="S1441" s="1696"/>
      <c r="T1441" s="1696"/>
      <c r="U1441" s="1772"/>
      <c r="V1441" s="1696"/>
      <c r="W1441" s="1772"/>
      <c r="X1441" s="1696"/>
      <c r="Y1441" s="1696"/>
      <c r="Z1441" s="1773"/>
    </row>
    <row r="1442">
      <c r="A1442" s="1771"/>
      <c r="B1442" s="1777"/>
      <c r="C1442" s="1771"/>
      <c r="D1442" s="1771"/>
      <c r="E1442" s="1771"/>
      <c r="F1442" s="1771"/>
      <c r="G1442" s="1770"/>
      <c r="H1442" s="1771"/>
      <c r="I1442" s="1770"/>
      <c r="J1442" s="1771"/>
      <c r="K1442" s="1771"/>
      <c r="L1442" s="1771"/>
      <c r="M1442" s="1771"/>
      <c r="N1442" s="1779"/>
      <c r="O1442" s="1770"/>
      <c r="P1442" s="1771"/>
      <c r="Q1442" s="1766"/>
      <c r="R1442" s="1766"/>
      <c r="S1442" s="1696"/>
      <c r="T1442" s="1696"/>
      <c r="U1442" s="1772"/>
      <c r="V1442" s="1696"/>
      <c r="W1442" s="1772"/>
      <c r="X1442" s="1696"/>
      <c r="Y1442" s="1696"/>
      <c r="Z1442" s="1773"/>
    </row>
    <row r="1443">
      <c r="A1443" s="1766"/>
      <c r="B1443" s="1780"/>
      <c r="C1443" s="1766"/>
      <c r="D1443" s="1766"/>
      <c r="E1443" s="1766"/>
      <c r="F1443" s="1766"/>
      <c r="G1443" s="1766"/>
      <c r="H1443" s="1766"/>
      <c r="I1443" s="1766"/>
      <c r="J1443" s="1766"/>
      <c r="K1443" s="1766"/>
      <c r="L1443" s="1766"/>
      <c r="M1443" s="1766"/>
      <c r="N1443" s="1781"/>
      <c r="O1443" s="1766"/>
      <c r="P1443" s="1766"/>
      <c r="Q1443" s="1766"/>
      <c r="R1443" s="1766"/>
      <c r="S1443" s="1696"/>
      <c r="T1443" s="1696"/>
      <c r="U1443" s="1772"/>
      <c r="V1443" s="1696"/>
      <c r="W1443" s="1772"/>
      <c r="X1443" s="1696"/>
      <c r="Y1443" s="1696"/>
      <c r="Z1443" s="1773"/>
    </row>
    <row r="1444">
      <c r="A1444" s="1765"/>
      <c r="B1444" s="1782"/>
      <c r="C1444" s="1765"/>
      <c r="D1444" s="1765"/>
      <c r="E1444" s="1765"/>
      <c r="F1444" s="1765"/>
      <c r="G1444" s="1765"/>
      <c r="H1444" s="1765"/>
      <c r="I1444" s="1765"/>
      <c r="J1444" s="1765"/>
      <c r="K1444" s="1765"/>
      <c r="L1444" s="1765"/>
      <c r="M1444" s="1765"/>
      <c r="N1444" s="1765"/>
      <c r="O1444" s="1765"/>
      <c r="P1444" s="1765"/>
      <c r="Q1444" s="1766"/>
      <c r="R1444" s="1766"/>
      <c r="S1444" s="1696"/>
      <c r="T1444" s="1696"/>
      <c r="U1444" s="1772"/>
      <c r="V1444" s="1696"/>
      <c r="W1444" s="1772"/>
      <c r="X1444" s="1696"/>
      <c r="Y1444" s="1696"/>
      <c r="Z1444" s="1773"/>
    </row>
    <row r="1445">
      <c r="A1445" s="1771"/>
      <c r="B1445" s="1777"/>
      <c r="C1445" s="1771"/>
      <c r="D1445" s="1771"/>
      <c r="E1445" s="1771"/>
      <c r="F1445" s="1771"/>
      <c r="G1445" s="1770"/>
      <c r="H1445" s="1771"/>
      <c r="I1445" s="1770"/>
      <c r="J1445" s="1771"/>
      <c r="K1445" s="1771"/>
      <c r="L1445" s="1771"/>
      <c r="M1445" s="1771"/>
      <c r="N1445" s="1779"/>
      <c r="O1445" s="1770"/>
      <c r="P1445" s="1771"/>
      <c r="Q1445" s="1766"/>
      <c r="R1445" s="1766"/>
      <c r="S1445" s="1696"/>
      <c r="T1445" s="1696"/>
      <c r="U1445" s="1772"/>
      <c r="V1445" s="1696"/>
      <c r="W1445" s="1772"/>
      <c r="X1445" s="1696"/>
      <c r="Y1445" s="1696"/>
      <c r="Z1445" s="1773"/>
    </row>
    <row r="1446">
      <c r="A1446" s="1766"/>
      <c r="B1446" s="1780"/>
      <c r="C1446" s="1766"/>
      <c r="D1446" s="1766"/>
      <c r="E1446" s="1766"/>
      <c r="F1446" s="1766"/>
      <c r="G1446" s="1766"/>
      <c r="H1446" s="1766"/>
      <c r="I1446" s="1766"/>
      <c r="J1446" s="1766"/>
      <c r="K1446" s="1766"/>
      <c r="L1446" s="1766"/>
      <c r="M1446" s="1766"/>
      <c r="N1446" s="1781"/>
      <c r="O1446" s="1766"/>
      <c r="P1446" s="1766"/>
      <c r="Q1446" s="1766"/>
      <c r="R1446" s="1766"/>
      <c r="S1446" s="1696"/>
      <c r="T1446" s="1696"/>
      <c r="U1446" s="1772"/>
      <c r="V1446" s="1696"/>
      <c r="W1446" s="1772"/>
      <c r="X1446" s="1696"/>
      <c r="Y1446" s="1696"/>
      <c r="Z1446" s="1773"/>
    </row>
    <row r="1447">
      <c r="A1447" s="1765"/>
      <c r="B1447" s="1782"/>
      <c r="C1447" s="1765"/>
      <c r="D1447" s="1765"/>
      <c r="E1447" s="1765"/>
      <c r="F1447" s="1765"/>
      <c r="G1447" s="1765"/>
      <c r="H1447" s="1765"/>
      <c r="I1447" s="1765"/>
      <c r="J1447" s="1765"/>
      <c r="K1447" s="1765"/>
      <c r="L1447" s="1765"/>
      <c r="M1447" s="1765"/>
      <c r="N1447" s="1765"/>
      <c r="O1447" s="1765"/>
      <c r="P1447" s="1765"/>
      <c r="Q1447" s="1766"/>
      <c r="R1447" s="1766"/>
      <c r="S1447" s="1696"/>
      <c r="T1447" s="1696"/>
      <c r="U1447" s="1772"/>
      <c r="V1447" s="1696"/>
      <c r="W1447" s="1772"/>
      <c r="X1447" s="1696"/>
      <c r="Y1447" s="1696"/>
      <c r="Z1447" s="1773"/>
    </row>
    <row r="1448">
      <c r="A1448" s="1771"/>
      <c r="B1448" s="1777"/>
      <c r="C1448" s="1771"/>
      <c r="D1448" s="1771"/>
      <c r="E1448" s="1771"/>
      <c r="F1448" s="1771"/>
      <c r="G1448" s="1771"/>
      <c r="H1448" s="1771"/>
      <c r="I1448" s="1770"/>
      <c r="J1448" s="1771"/>
      <c r="K1448" s="1771"/>
      <c r="L1448" s="1771"/>
      <c r="M1448" s="1771"/>
      <c r="N1448" s="1779"/>
      <c r="O1448" s="1770"/>
      <c r="P1448" s="1771"/>
      <c r="Q1448" s="1766"/>
      <c r="R1448" s="1766"/>
      <c r="S1448" s="1696"/>
      <c r="T1448" s="1696"/>
      <c r="U1448" s="1772"/>
      <c r="V1448" s="1696"/>
      <c r="W1448" s="1772"/>
      <c r="X1448" s="1696"/>
      <c r="Y1448" s="1696"/>
      <c r="Z1448" s="1773"/>
    </row>
    <row r="1449">
      <c r="A1449" s="1766"/>
      <c r="B1449" s="1780"/>
      <c r="C1449" s="1766"/>
      <c r="D1449" s="1766"/>
      <c r="E1449" s="1766"/>
      <c r="F1449" s="1766"/>
      <c r="G1449" s="1766"/>
      <c r="H1449" s="1766"/>
      <c r="I1449" s="1766"/>
      <c r="J1449" s="1766"/>
      <c r="K1449" s="1766"/>
      <c r="L1449" s="1766"/>
      <c r="M1449" s="1766"/>
      <c r="N1449" s="1781"/>
      <c r="O1449" s="1766"/>
      <c r="P1449" s="1766"/>
      <c r="Q1449" s="1766"/>
      <c r="R1449" s="1766"/>
      <c r="S1449" s="1696"/>
      <c r="T1449" s="1696"/>
      <c r="U1449" s="1772"/>
      <c r="V1449" s="1696"/>
      <c r="W1449" s="1772"/>
      <c r="X1449" s="1696"/>
      <c r="Y1449" s="1696"/>
      <c r="Z1449" s="1773"/>
    </row>
    <row r="1450">
      <c r="A1450" s="1765"/>
      <c r="B1450" s="1782"/>
      <c r="C1450" s="1765"/>
      <c r="D1450" s="1765"/>
      <c r="E1450" s="1765"/>
      <c r="F1450" s="1765"/>
      <c r="G1450" s="1765"/>
      <c r="H1450" s="1765"/>
      <c r="I1450" s="1765"/>
      <c r="J1450" s="1765"/>
      <c r="K1450" s="1765"/>
      <c r="L1450" s="1765"/>
      <c r="M1450" s="1765"/>
      <c r="N1450" s="1765"/>
      <c r="O1450" s="1765"/>
      <c r="P1450" s="1765"/>
      <c r="Q1450" s="1766"/>
      <c r="R1450" s="1766"/>
      <c r="S1450" s="1696"/>
      <c r="T1450" s="1696"/>
      <c r="U1450" s="1772"/>
      <c r="V1450" s="1696"/>
      <c r="W1450" s="1772"/>
      <c r="X1450" s="1696"/>
      <c r="Y1450" s="1696"/>
      <c r="Z1450" s="1773"/>
    </row>
    <row r="1451">
      <c r="A1451" s="1771"/>
      <c r="B1451" s="1777"/>
      <c r="C1451" s="1771"/>
      <c r="D1451" s="1771"/>
      <c r="E1451" s="1771"/>
      <c r="F1451" s="1771"/>
      <c r="G1451" s="1771"/>
      <c r="H1451" s="1771"/>
      <c r="I1451" s="1770"/>
      <c r="J1451" s="1771"/>
      <c r="K1451" s="1771"/>
      <c r="L1451" s="1771"/>
      <c r="M1451" s="1771"/>
      <c r="N1451" s="1779"/>
      <c r="O1451" s="1770"/>
      <c r="P1451" s="1771"/>
      <c r="Q1451" s="1766"/>
      <c r="R1451" s="1766"/>
      <c r="S1451" s="1696"/>
      <c r="T1451" s="1696"/>
      <c r="U1451" s="1772"/>
      <c r="V1451" s="1696"/>
      <c r="W1451" s="1772"/>
      <c r="X1451" s="1696"/>
      <c r="Y1451" s="1696"/>
      <c r="Z1451" s="1773"/>
    </row>
    <row r="1452">
      <c r="A1452" s="1766"/>
      <c r="B1452" s="1780"/>
      <c r="C1452" s="1766"/>
      <c r="D1452" s="1766"/>
      <c r="E1452" s="1766"/>
      <c r="F1452" s="1766"/>
      <c r="G1452" s="1766"/>
      <c r="H1452" s="1766"/>
      <c r="I1452" s="1766"/>
      <c r="J1452" s="1766"/>
      <c r="K1452" s="1766"/>
      <c r="L1452" s="1766"/>
      <c r="M1452" s="1766"/>
      <c r="N1452" s="1781"/>
      <c r="O1452" s="1766"/>
      <c r="P1452" s="1766"/>
      <c r="Q1452" s="1766"/>
      <c r="R1452" s="1766"/>
      <c r="S1452" s="1696"/>
      <c r="T1452" s="1696"/>
      <c r="U1452" s="1772"/>
      <c r="V1452" s="1696"/>
      <c r="W1452" s="1772"/>
      <c r="X1452" s="1696"/>
      <c r="Y1452" s="1696"/>
      <c r="Z1452" s="1773"/>
    </row>
    <row r="1453">
      <c r="A1453" s="1765"/>
      <c r="B1453" s="1782"/>
      <c r="C1453" s="1765"/>
      <c r="D1453" s="1765"/>
      <c r="E1453" s="1765"/>
      <c r="F1453" s="1765"/>
      <c r="G1453" s="1765"/>
      <c r="H1453" s="1765"/>
      <c r="I1453" s="1765"/>
      <c r="J1453" s="1765"/>
      <c r="K1453" s="1765"/>
      <c r="L1453" s="1765"/>
      <c r="M1453" s="1765"/>
      <c r="N1453" s="1765"/>
      <c r="O1453" s="1765"/>
      <c r="P1453" s="1765"/>
      <c r="Q1453" s="1766"/>
      <c r="R1453" s="1766"/>
      <c r="S1453" s="1696"/>
      <c r="T1453" s="1696"/>
      <c r="U1453" s="1772"/>
      <c r="V1453" s="1696"/>
      <c r="W1453" s="1772"/>
      <c r="X1453" s="1696"/>
      <c r="Y1453" s="1696"/>
      <c r="Z1453" s="1773"/>
    </row>
    <row r="1454">
      <c r="A1454" s="1771"/>
      <c r="B1454" s="1777"/>
      <c r="C1454" s="1771"/>
      <c r="D1454" s="1771"/>
      <c r="E1454" s="1771"/>
      <c r="F1454" s="1771"/>
      <c r="G1454" s="1771"/>
      <c r="H1454" s="1771"/>
      <c r="I1454" s="1770"/>
      <c r="J1454" s="1771"/>
      <c r="K1454" s="1771"/>
      <c r="L1454" s="1771"/>
      <c r="M1454" s="1771"/>
      <c r="N1454" s="1779"/>
      <c r="O1454" s="1770"/>
      <c r="P1454" s="1771"/>
      <c r="Q1454" s="1766"/>
      <c r="R1454" s="1766"/>
      <c r="S1454" s="1696"/>
      <c r="T1454" s="1696"/>
      <c r="U1454" s="1772"/>
      <c r="V1454" s="1696"/>
      <c r="W1454" s="1772"/>
      <c r="X1454" s="1696"/>
      <c r="Y1454" s="1696"/>
      <c r="Z1454" s="1773"/>
    </row>
    <row r="1455">
      <c r="A1455" s="1766"/>
      <c r="B1455" s="1780"/>
      <c r="C1455" s="1766"/>
      <c r="D1455" s="1766"/>
      <c r="E1455" s="1766"/>
      <c r="F1455" s="1766"/>
      <c r="G1455" s="1766"/>
      <c r="H1455" s="1766"/>
      <c r="I1455" s="1766"/>
      <c r="J1455" s="1766"/>
      <c r="K1455" s="1766"/>
      <c r="L1455" s="1766"/>
      <c r="M1455" s="1766"/>
      <c r="N1455" s="1781"/>
      <c r="O1455" s="1766"/>
      <c r="P1455" s="1766"/>
      <c r="Q1455" s="1766"/>
      <c r="R1455" s="1766"/>
      <c r="S1455" s="1696"/>
      <c r="T1455" s="1696"/>
      <c r="U1455" s="1772"/>
      <c r="V1455" s="1696"/>
      <c r="W1455" s="1772"/>
      <c r="X1455" s="1696"/>
      <c r="Y1455" s="1696"/>
      <c r="Z1455" s="1773"/>
    </row>
    <row r="1456">
      <c r="A1456" s="1765"/>
      <c r="B1456" s="1782"/>
      <c r="C1456" s="1765"/>
      <c r="D1456" s="1765"/>
      <c r="E1456" s="1765"/>
      <c r="F1456" s="1765"/>
      <c r="G1456" s="1765"/>
      <c r="H1456" s="1765"/>
      <c r="I1456" s="1765"/>
      <c r="J1456" s="1765"/>
      <c r="K1456" s="1765"/>
      <c r="L1456" s="1765"/>
      <c r="M1456" s="1765"/>
      <c r="N1456" s="1765"/>
      <c r="O1456" s="1765"/>
      <c r="P1456" s="1765"/>
      <c r="Q1456" s="1766"/>
      <c r="R1456" s="1766"/>
      <c r="S1456" s="1696"/>
      <c r="T1456" s="1696"/>
      <c r="U1456" s="1772"/>
      <c r="V1456" s="1696"/>
      <c r="W1456" s="1772"/>
      <c r="X1456" s="1696"/>
      <c r="Y1456" s="1696"/>
      <c r="Z1456" s="1773"/>
    </row>
    <row r="1457">
      <c r="A1457" s="1771"/>
      <c r="B1457" s="1777"/>
      <c r="C1457" s="1771"/>
      <c r="D1457" s="1771"/>
      <c r="E1457" s="1771"/>
      <c r="F1457" s="1771"/>
      <c r="G1457" s="1770"/>
      <c r="H1457" s="1771"/>
      <c r="I1457" s="1770"/>
      <c r="J1457" s="1771"/>
      <c r="K1457" s="1771"/>
      <c r="L1457" s="1771"/>
      <c r="M1457" s="1771"/>
      <c r="N1457" s="1779"/>
      <c r="O1457" s="1770"/>
      <c r="P1457" s="1771"/>
      <c r="Q1457" s="1766"/>
      <c r="R1457" s="1766"/>
      <c r="S1457" s="1696"/>
      <c r="T1457" s="1696"/>
      <c r="U1457" s="1772"/>
      <c r="V1457" s="1696"/>
      <c r="W1457" s="1772"/>
      <c r="X1457" s="1696"/>
      <c r="Y1457" s="1696"/>
      <c r="Z1457" s="1773"/>
    </row>
    <row r="1458">
      <c r="A1458" s="1766"/>
      <c r="B1458" s="1780"/>
      <c r="C1458" s="1766"/>
      <c r="D1458" s="1766"/>
      <c r="E1458" s="1766"/>
      <c r="F1458" s="1766"/>
      <c r="G1458" s="1766"/>
      <c r="H1458" s="1766"/>
      <c r="I1458" s="1766"/>
      <c r="J1458" s="1766"/>
      <c r="K1458" s="1766"/>
      <c r="L1458" s="1766"/>
      <c r="M1458" s="1766"/>
      <c r="N1458" s="1781"/>
      <c r="O1458" s="1766"/>
      <c r="P1458" s="1766"/>
      <c r="Q1458" s="1766"/>
      <c r="R1458" s="1766"/>
      <c r="S1458" s="1696"/>
      <c r="T1458" s="1696"/>
      <c r="U1458" s="1772"/>
      <c r="V1458" s="1696"/>
      <c r="W1458" s="1772"/>
      <c r="X1458" s="1696"/>
      <c r="Y1458" s="1696"/>
      <c r="Z1458" s="1773"/>
    </row>
    <row r="1459">
      <c r="A1459" s="1765"/>
      <c r="B1459" s="1782"/>
      <c r="C1459" s="1765"/>
      <c r="D1459" s="1765"/>
      <c r="E1459" s="1765"/>
      <c r="F1459" s="1765"/>
      <c r="G1459" s="1765"/>
      <c r="H1459" s="1765"/>
      <c r="I1459" s="1765"/>
      <c r="J1459" s="1765"/>
      <c r="K1459" s="1765"/>
      <c r="L1459" s="1765"/>
      <c r="M1459" s="1765"/>
      <c r="N1459" s="1765"/>
      <c r="O1459" s="1765"/>
      <c r="P1459" s="1765"/>
      <c r="Q1459" s="1766"/>
      <c r="R1459" s="1766"/>
      <c r="S1459" s="1696"/>
      <c r="T1459" s="1696"/>
      <c r="U1459" s="1772"/>
      <c r="V1459" s="1696"/>
      <c r="W1459" s="1772"/>
      <c r="X1459" s="1696"/>
      <c r="Y1459" s="1696"/>
      <c r="Z1459" s="1773"/>
    </row>
    <row r="1460">
      <c r="A1460" s="1771"/>
      <c r="B1460" s="1777"/>
      <c r="C1460" s="1771"/>
      <c r="D1460" s="1771"/>
      <c r="E1460" s="1771"/>
      <c r="F1460" s="1771"/>
      <c r="G1460" s="1770"/>
      <c r="H1460" s="1771"/>
      <c r="I1460" s="1770"/>
      <c r="J1460" s="1771"/>
      <c r="K1460" s="1771"/>
      <c r="L1460" s="1771"/>
      <c r="M1460" s="1771"/>
      <c r="N1460" s="1779"/>
      <c r="O1460" s="1770"/>
      <c r="P1460" s="1771"/>
      <c r="Q1460" s="1766"/>
      <c r="R1460" s="1766"/>
      <c r="S1460" s="1696"/>
      <c r="T1460" s="1696"/>
      <c r="U1460" s="1772"/>
      <c r="V1460" s="1696"/>
      <c r="W1460" s="1772"/>
      <c r="X1460" s="1696"/>
      <c r="Y1460" s="1696"/>
      <c r="Z1460" s="1773"/>
    </row>
    <row r="1461">
      <c r="A1461" s="1766"/>
      <c r="B1461" s="1780"/>
      <c r="C1461" s="1766"/>
      <c r="D1461" s="1766"/>
      <c r="E1461" s="1766"/>
      <c r="F1461" s="1766"/>
      <c r="G1461" s="1766"/>
      <c r="H1461" s="1766"/>
      <c r="I1461" s="1766"/>
      <c r="J1461" s="1766"/>
      <c r="K1461" s="1766"/>
      <c r="L1461" s="1766"/>
      <c r="M1461" s="1766"/>
      <c r="N1461" s="1781"/>
      <c r="O1461" s="1766"/>
      <c r="P1461" s="1766"/>
      <c r="Q1461" s="1766"/>
      <c r="R1461" s="1766"/>
      <c r="S1461" s="1696"/>
      <c r="T1461" s="1696"/>
      <c r="U1461" s="1772"/>
      <c r="V1461" s="1696"/>
      <c r="W1461" s="1772"/>
      <c r="X1461" s="1696"/>
      <c r="Y1461" s="1696"/>
      <c r="Z1461" s="1773"/>
    </row>
    <row r="1462">
      <c r="A1462" s="1765"/>
      <c r="B1462" s="1782"/>
      <c r="C1462" s="1765"/>
      <c r="D1462" s="1765"/>
      <c r="E1462" s="1765"/>
      <c r="F1462" s="1765"/>
      <c r="G1462" s="1765"/>
      <c r="H1462" s="1765"/>
      <c r="I1462" s="1765"/>
      <c r="J1462" s="1765"/>
      <c r="K1462" s="1765"/>
      <c r="L1462" s="1765"/>
      <c r="M1462" s="1765"/>
      <c r="N1462" s="1765"/>
      <c r="O1462" s="1765"/>
      <c r="P1462" s="1765"/>
      <c r="Q1462" s="1766"/>
      <c r="R1462" s="1766"/>
      <c r="S1462" s="1696"/>
      <c r="T1462" s="1696"/>
      <c r="U1462" s="1772"/>
      <c r="V1462" s="1696"/>
      <c r="W1462" s="1772"/>
      <c r="X1462" s="1696"/>
      <c r="Y1462" s="1696"/>
      <c r="Z1462" s="1773"/>
    </row>
    <row r="1463">
      <c r="A1463" s="1771"/>
      <c r="B1463" s="1777"/>
      <c r="C1463" s="1771"/>
      <c r="D1463" s="1771"/>
      <c r="E1463" s="1771"/>
      <c r="F1463" s="1771"/>
      <c r="G1463" s="1777"/>
      <c r="H1463" s="1771"/>
      <c r="I1463" s="1770"/>
      <c r="J1463" s="1771"/>
      <c r="K1463" s="1771"/>
      <c r="L1463" s="1771"/>
      <c r="M1463" s="1771"/>
      <c r="N1463" s="1779"/>
      <c r="O1463" s="1770"/>
      <c r="P1463" s="1771"/>
      <c r="Q1463" s="1766"/>
      <c r="R1463" s="1766"/>
      <c r="S1463" s="1696"/>
      <c r="T1463" s="1696"/>
      <c r="U1463" s="1772"/>
      <c r="V1463" s="1696"/>
      <c r="W1463" s="1772"/>
      <c r="X1463" s="1696"/>
      <c r="Y1463" s="1696"/>
      <c r="Z1463" s="1773"/>
    </row>
    <row r="1464">
      <c r="A1464" s="1766"/>
      <c r="B1464" s="1780"/>
      <c r="C1464" s="1766"/>
      <c r="D1464" s="1766"/>
      <c r="E1464" s="1766"/>
      <c r="F1464" s="1766"/>
      <c r="G1464" s="1766"/>
      <c r="H1464" s="1766"/>
      <c r="I1464" s="1766"/>
      <c r="J1464" s="1766"/>
      <c r="K1464" s="1766"/>
      <c r="L1464" s="1766"/>
      <c r="M1464" s="1766"/>
      <c r="N1464" s="1781"/>
      <c r="O1464" s="1766"/>
      <c r="P1464" s="1766"/>
      <c r="Q1464" s="1766"/>
      <c r="R1464" s="1766"/>
      <c r="S1464" s="1696"/>
      <c r="T1464" s="1696"/>
      <c r="U1464" s="1772"/>
      <c r="V1464" s="1696"/>
      <c r="W1464" s="1772"/>
      <c r="X1464" s="1696"/>
      <c r="Y1464" s="1696"/>
      <c r="Z1464" s="1773"/>
    </row>
    <row r="1465">
      <c r="A1465" s="1765"/>
      <c r="B1465" s="1782"/>
      <c r="C1465" s="1765"/>
      <c r="D1465" s="1765"/>
      <c r="E1465" s="1765"/>
      <c r="F1465" s="1765"/>
      <c r="G1465" s="1765"/>
      <c r="H1465" s="1765"/>
      <c r="I1465" s="1765"/>
      <c r="J1465" s="1765"/>
      <c r="K1465" s="1765"/>
      <c r="L1465" s="1765"/>
      <c r="M1465" s="1765"/>
      <c r="N1465" s="1765"/>
      <c r="O1465" s="1765"/>
      <c r="P1465" s="1765"/>
      <c r="Q1465" s="1766"/>
      <c r="R1465" s="1766"/>
      <c r="S1465" s="1696"/>
      <c r="T1465" s="1696"/>
      <c r="U1465" s="1772"/>
      <c r="V1465" s="1696"/>
      <c r="W1465" s="1772"/>
      <c r="X1465" s="1696"/>
      <c r="Y1465" s="1696"/>
      <c r="Z1465" s="1773"/>
    </row>
    <row r="1466">
      <c r="A1466" s="1771"/>
      <c r="B1466" s="1777"/>
      <c r="C1466" s="1771"/>
      <c r="D1466" s="1771"/>
      <c r="E1466" s="1771"/>
      <c r="F1466" s="1771"/>
      <c r="G1466" s="1770"/>
      <c r="H1466" s="1771"/>
      <c r="I1466" s="1778"/>
      <c r="J1466" s="1771"/>
      <c r="K1466" s="1771"/>
      <c r="L1466" s="1771"/>
      <c r="M1466" s="1771"/>
      <c r="N1466" s="1779"/>
      <c r="O1466" s="1770"/>
      <c r="P1466" s="1771"/>
      <c r="Q1466" s="1766"/>
      <c r="R1466" s="1766"/>
      <c r="S1466" s="1696"/>
      <c r="T1466" s="1696"/>
      <c r="U1466" s="1772"/>
      <c r="V1466" s="1696"/>
      <c r="W1466" s="1772"/>
      <c r="X1466" s="1696"/>
      <c r="Y1466" s="1696"/>
      <c r="Z1466" s="1773"/>
    </row>
    <row r="1467">
      <c r="A1467" s="1766"/>
      <c r="B1467" s="1780"/>
      <c r="C1467" s="1766"/>
      <c r="D1467" s="1766"/>
      <c r="E1467" s="1766"/>
      <c r="F1467" s="1766"/>
      <c r="G1467" s="1766"/>
      <c r="H1467" s="1766"/>
      <c r="I1467" s="1766"/>
      <c r="J1467" s="1766"/>
      <c r="K1467" s="1766"/>
      <c r="L1467" s="1766"/>
      <c r="M1467" s="1766"/>
      <c r="N1467" s="1781"/>
      <c r="O1467" s="1766"/>
      <c r="P1467" s="1766"/>
      <c r="Q1467" s="1766"/>
      <c r="R1467" s="1766"/>
      <c r="S1467" s="1696"/>
      <c r="T1467" s="1696"/>
      <c r="U1467" s="1772"/>
      <c r="V1467" s="1696"/>
      <c r="W1467" s="1772"/>
      <c r="X1467" s="1696"/>
      <c r="Y1467" s="1696"/>
      <c r="Z1467" s="1773"/>
    </row>
    <row r="1468">
      <c r="A1468" s="1765"/>
      <c r="B1468" s="1782"/>
      <c r="C1468" s="1765"/>
      <c r="D1468" s="1765"/>
      <c r="E1468" s="1765"/>
      <c r="F1468" s="1765"/>
      <c r="G1468" s="1765"/>
      <c r="H1468" s="1765"/>
      <c r="I1468" s="1765"/>
      <c r="J1468" s="1765"/>
      <c r="K1468" s="1765"/>
      <c r="L1468" s="1765"/>
      <c r="M1468" s="1765"/>
      <c r="N1468" s="1765"/>
      <c r="O1468" s="1765"/>
      <c r="P1468" s="1765"/>
      <c r="Q1468" s="1766"/>
      <c r="R1468" s="1766"/>
      <c r="S1468" s="1696"/>
      <c r="T1468" s="1696"/>
      <c r="U1468" s="1772"/>
      <c r="V1468" s="1696"/>
      <c r="W1468" s="1772"/>
      <c r="X1468" s="1696"/>
      <c r="Y1468" s="1696"/>
      <c r="Z1468" s="1773"/>
    </row>
    <row r="1469">
      <c r="A1469" s="1771"/>
      <c r="B1469" s="1777"/>
      <c r="C1469" s="1771"/>
      <c r="D1469" s="1771"/>
      <c r="E1469" s="1771"/>
      <c r="F1469" s="1771"/>
      <c r="G1469" s="1770"/>
      <c r="H1469" s="1771"/>
      <c r="I1469" s="1778"/>
      <c r="J1469" s="1771"/>
      <c r="K1469" s="1771"/>
      <c r="L1469" s="1771"/>
      <c r="M1469" s="1771"/>
      <c r="N1469" s="1779"/>
      <c r="O1469" s="1770"/>
      <c r="P1469" s="1771"/>
      <c r="Q1469" s="1766"/>
      <c r="R1469" s="1766"/>
      <c r="S1469" s="1696"/>
      <c r="T1469" s="1696"/>
      <c r="U1469" s="1772"/>
      <c r="V1469" s="1696"/>
      <c r="W1469" s="1772"/>
      <c r="X1469" s="1696"/>
      <c r="Y1469" s="1696"/>
      <c r="Z1469" s="1773"/>
    </row>
    <row r="1470">
      <c r="A1470" s="1766"/>
      <c r="B1470" s="1780"/>
      <c r="C1470" s="1766"/>
      <c r="D1470" s="1766"/>
      <c r="E1470" s="1766"/>
      <c r="F1470" s="1766"/>
      <c r="G1470" s="1766"/>
      <c r="H1470" s="1766"/>
      <c r="I1470" s="1766"/>
      <c r="J1470" s="1766"/>
      <c r="K1470" s="1766"/>
      <c r="L1470" s="1766"/>
      <c r="M1470" s="1766"/>
      <c r="N1470" s="1781"/>
      <c r="O1470" s="1766"/>
      <c r="P1470" s="1766"/>
      <c r="Q1470" s="1766"/>
      <c r="R1470" s="1766"/>
      <c r="S1470" s="1696"/>
      <c r="T1470" s="1696"/>
      <c r="U1470" s="1772"/>
      <c r="V1470" s="1696"/>
      <c r="W1470" s="1772"/>
      <c r="X1470" s="1696"/>
      <c r="Y1470" s="1696"/>
      <c r="Z1470" s="1773"/>
    </row>
    <row r="1471">
      <c r="A1471" s="1765"/>
      <c r="B1471" s="1782"/>
      <c r="C1471" s="1765"/>
      <c r="D1471" s="1765"/>
      <c r="E1471" s="1765"/>
      <c r="F1471" s="1765"/>
      <c r="G1471" s="1765"/>
      <c r="H1471" s="1765"/>
      <c r="I1471" s="1765"/>
      <c r="J1471" s="1765"/>
      <c r="K1471" s="1765"/>
      <c r="L1471" s="1765"/>
      <c r="M1471" s="1765"/>
      <c r="N1471" s="1765"/>
      <c r="O1471" s="1765"/>
      <c r="P1471" s="1765"/>
      <c r="Q1471" s="1766"/>
      <c r="R1471" s="1766"/>
      <c r="S1471" s="1696"/>
      <c r="T1471" s="1696"/>
      <c r="U1471" s="1772"/>
      <c r="V1471" s="1696"/>
      <c r="W1471" s="1772"/>
      <c r="X1471" s="1696"/>
      <c r="Y1471" s="1696"/>
      <c r="Z1471" s="1773"/>
    </row>
    <row r="1472">
      <c r="A1472" s="1771"/>
      <c r="B1472" s="1777"/>
      <c r="C1472" s="1771"/>
      <c r="D1472" s="1771"/>
      <c r="E1472" s="1771"/>
      <c r="F1472" s="1771"/>
      <c r="G1472" s="1770"/>
      <c r="H1472" s="1771"/>
      <c r="I1472" s="1778"/>
      <c r="J1472" s="1771"/>
      <c r="K1472" s="1771"/>
      <c r="L1472" s="1771"/>
      <c r="M1472" s="1771"/>
      <c r="N1472" s="1779"/>
      <c r="O1472" s="1770"/>
      <c r="P1472" s="1771"/>
      <c r="Q1472" s="1766"/>
      <c r="R1472" s="1766"/>
      <c r="S1472" s="1696"/>
      <c r="T1472" s="1696"/>
      <c r="U1472" s="1772"/>
      <c r="V1472" s="1696"/>
      <c r="W1472" s="1772"/>
      <c r="X1472" s="1696"/>
      <c r="Y1472" s="1696"/>
      <c r="Z1472" s="1773"/>
    </row>
    <row r="1473">
      <c r="A1473" s="1766"/>
      <c r="B1473" s="1780"/>
      <c r="C1473" s="1766"/>
      <c r="D1473" s="1766"/>
      <c r="E1473" s="1766"/>
      <c r="F1473" s="1766"/>
      <c r="G1473" s="1766"/>
      <c r="H1473" s="1766"/>
      <c r="I1473" s="1766"/>
      <c r="J1473" s="1766"/>
      <c r="K1473" s="1766"/>
      <c r="L1473" s="1766"/>
      <c r="M1473" s="1766"/>
      <c r="N1473" s="1781"/>
      <c r="O1473" s="1766"/>
      <c r="P1473" s="1766"/>
      <c r="Q1473" s="1766"/>
      <c r="R1473" s="1766"/>
      <c r="S1473" s="1696"/>
      <c r="T1473" s="1696"/>
      <c r="U1473" s="1772"/>
      <c r="V1473" s="1696"/>
      <c r="W1473" s="1772"/>
      <c r="X1473" s="1696"/>
      <c r="Y1473" s="1696"/>
      <c r="Z1473" s="1773"/>
    </row>
    <row r="1474">
      <c r="A1474" s="1765"/>
      <c r="B1474" s="1782"/>
      <c r="C1474" s="1765"/>
      <c r="D1474" s="1765"/>
      <c r="E1474" s="1765"/>
      <c r="F1474" s="1765"/>
      <c r="G1474" s="1765"/>
      <c r="H1474" s="1765"/>
      <c r="I1474" s="1765"/>
      <c r="J1474" s="1765"/>
      <c r="K1474" s="1765"/>
      <c r="L1474" s="1765"/>
      <c r="M1474" s="1765"/>
      <c r="N1474" s="1765"/>
      <c r="O1474" s="1765"/>
      <c r="P1474" s="1765"/>
      <c r="Q1474" s="1766"/>
      <c r="R1474" s="1766"/>
      <c r="S1474" s="1696"/>
      <c r="T1474" s="1696"/>
      <c r="U1474" s="1772"/>
      <c r="V1474" s="1696"/>
      <c r="W1474" s="1772"/>
      <c r="X1474" s="1696"/>
      <c r="Y1474" s="1696"/>
      <c r="Z1474" s="1773"/>
    </row>
    <row r="1475">
      <c r="A1475" s="1771"/>
      <c r="B1475" s="1777"/>
      <c r="C1475" s="1771"/>
      <c r="D1475" s="1771"/>
      <c r="E1475" s="1771"/>
      <c r="F1475" s="1771"/>
      <c r="G1475" s="1771"/>
      <c r="H1475" s="1771"/>
      <c r="I1475" s="1778"/>
      <c r="J1475" s="1771"/>
      <c r="K1475" s="1771"/>
      <c r="L1475" s="1771"/>
      <c r="M1475" s="1771"/>
      <c r="N1475" s="1779"/>
      <c r="O1475" s="1770"/>
      <c r="P1475" s="1771"/>
      <c r="Q1475" s="1766"/>
      <c r="R1475" s="1766"/>
      <c r="S1475" s="1696"/>
      <c r="T1475" s="1696"/>
      <c r="U1475" s="1772"/>
      <c r="V1475" s="1696"/>
      <c r="W1475" s="1772"/>
      <c r="X1475" s="1696"/>
      <c r="Y1475" s="1696"/>
      <c r="Z1475" s="1773"/>
    </row>
    <row r="1476">
      <c r="A1476" s="1766"/>
      <c r="B1476" s="1780"/>
      <c r="C1476" s="1766"/>
      <c r="D1476" s="1766"/>
      <c r="E1476" s="1766"/>
      <c r="F1476" s="1766"/>
      <c r="G1476" s="1766"/>
      <c r="H1476" s="1766"/>
      <c r="I1476" s="1766"/>
      <c r="J1476" s="1766"/>
      <c r="K1476" s="1766"/>
      <c r="L1476" s="1766"/>
      <c r="M1476" s="1766"/>
      <c r="N1476" s="1781"/>
      <c r="O1476" s="1766"/>
      <c r="P1476" s="1766"/>
      <c r="Q1476" s="1766"/>
      <c r="R1476" s="1766"/>
      <c r="S1476" s="1696"/>
      <c r="T1476" s="1696"/>
      <c r="U1476" s="1772"/>
      <c r="V1476" s="1696"/>
      <c r="W1476" s="1772"/>
      <c r="X1476" s="1696"/>
      <c r="Y1476" s="1696"/>
      <c r="Z1476" s="1773"/>
    </row>
    <row r="1477">
      <c r="A1477" s="1765"/>
      <c r="B1477" s="1782"/>
      <c r="C1477" s="1765"/>
      <c r="D1477" s="1765"/>
      <c r="E1477" s="1765"/>
      <c r="F1477" s="1765"/>
      <c r="G1477" s="1765"/>
      <c r="H1477" s="1765"/>
      <c r="I1477" s="1765"/>
      <c r="J1477" s="1765"/>
      <c r="K1477" s="1765"/>
      <c r="L1477" s="1765"/>
      <c r="M1477" s="1765"/>
      <c r="N1477" s="1765"/>
      <c r="O1477" s="1765"/>
      <c r="P1477" s="1765"/>
      <c r="Q1477" s="1766"/>
      <c r="R1477" s="1766"/>
      <c r="S1477" s="1696"/>
      <c r="T1477" s="1696"/>
      <c r="U1477" s="1772"/>
      <c r="V1477" s="1696"/>
      <c r="W1477" s="1772"/>
      <c r="X1477" s="1696"/>
      <c r="Y1477" s="1696"/>
      <c r="Z1477" s="1773"/>
    </row>
    <row r="1478">
      <c r="A1478" s="1771"/>
      <c r="B1478" s="1777"/>
      <c r="C1478" s="1771"/>
      <c r="D1478" s="1771"/>
      <c r="E1478" s="1771"/>
      <c r="F1478" s="1771"/>
      <c r="G1478" s="1771"/>
      <c r="H1478" s="1771"/>
      <c r="I1478" s="1778"/>
      <c r="J1478" s="1771"/>
      <c r="K1478" s="1771"/>
      <c r="L1478" s="1771"/>
      <c r="M1478" s="1771"/>
      <c r="N1478" s="1779"/>
      <c r="O1478" s="1770"/>
      <c r="P1478" s="1771"/>
      <c r="Q1478" s="1766"/>
      <c r="R1478" s="1766"/>
      <c r="S1478" s="1696"/>
      <c r="T1478" s="1696"/>
      <c r="U1478" s="1772"/>
      <c r="V1478" s="1696"/>
      <c r="W1478" s="1772"/>
      <c r="X1478" s="1696"/>
      <c r="Y1478" s="1696"/>
      <c r="Z1478" s="1773"/>
    </row>
    <row r="1479">
      <c r="A1479" s="1766"/>
      <c r="B1479" s="1780"/>
      <c r="C1479" s="1766"/>
      <c r="D1479" s="1766"/>
      <c r="E1479" s="1766"/>
      <c r="F1479" s="1766"/>
      <c r="G1479" s="1766"/>
      <c r="H1479" s="1766"/>
      <c r="I1479" s="1766"/>
      <c r="J1479" s="1766"/>
      <c r="K1479" s="1766"/>
      <c r="L1479" s="1766"/>
      <c r="M1479" s="1766"/>
      <c r="N1479" s="1781"/>
      <c r="O1479" s="1766"/>
      <c r="P1479" s="1766"/>
      <c r="Q1479" s="1766"/>
      <c r="R1479" s="1766"/>
      <c r="S1479" s="1696"/>
      <c r="T1479" s="1696"/>
      <c r="U1479" s="1772"/>
      <c r="V1479" s="1696"/>
      <c r="W1479" s="1772"/>
      <c r="X1479" s="1696"/>
      <c r="Y1479" s="1696"/>
      <c r="Z1479" s="1773"/>
    </row>
    <row r="1480">
      <c r="A1480" s="1765"/>
      <c r="B1480" s="1782"/>
      <c r="C1480" s="1765"/>
      <c r="D1480" s="1765"/>
      <c r="E1480" s="1765"/>
      <c r="F1480" s="1765"/>
      <c r="G1480" s="1765"/>
      <c r="H1480" s="1765"/>
      <c r="I1480" s="1765"/>
      <c r="J1480" s="1765"/>
      <c r="K1480" s="1765"/>
      <c r="L1480" s="1765"/>
      <c r="M1480" s="1765"/>
      <c r="N1480" s="1765"/>
      <c r="O1480" s="1765"/>
      <c r="P1480" s="1765"/>
      <c r="Q1480" s="1766"/>
      <c r="R1480" s="1766"/>
      <c r="S1480" s="1696"/>
      <c r="T1480" s="1696"/>
      <c r="U1480" s="1772"/>
      <c r="V1480" s="1696"/>
      <c r="W1480" s="1772"/>
      <c r="X1480" s="1696"/>
      <c r="Y1480" s="1696"/>
      <c r="Z1480" s="1773"/>
    </row>
    <row r="1481">
      <c r="A1481" s="1771"/>
      <c r="B1481" s="1777"/>
      <c r="C1481" s="1771"/>
      <c r="D1481" s="1771"/>
      <c r="E1481" s="1771"/>
      <c r="F1481" s="1771"/>
      <c r="G1481" s="1770"/>
      <c r="H1481" s="1771"/>
      <c r="I1481" s="1778"/>
      <c r="J1481" s="1771"/>
      <c r="K1481" s="1771"/>
      <c r="L1481" s="1771"/>
      <c r="M1481" s="1771"/>
      <c r="N1481" s="1779"/>
      <c r="O1481" s="1770"/>
      <c r="P1481" s="1771"/>
      <c r="Q1481" s="1766"/>
      <c r="R1481" s="1766"/>
      <c r="S1481" s="1696"/>
      <c r="T1481" s="1696"/>
      <c r="U1481" s="1772"/>
      <c r="V1481" s="1696"/>
      <c r="W1481" s="1772"/>
      <c r="X1481" s="1696"/>
      <c r="Y1481" s="1696"/>
      <c r="Z1481" s="1773"/>
    </row>
    <row r="1482">
      <c r="A1482" s="1766"/>
      <c r="B1482" s="1780"/>
      <c r="C1482" s="1766"/>
      <c r="D1482" s="1766"/>
      <c r="E1482" s="1766"/>
      <c r="F1482" s="1766"/>
      <c r="G1482" s="1766"/>
      <c r="H1482" s="1766"/>
      <c r="I1482" s="1766"/>
      <c r="J1482" s="1766"/>
      <c r="K1482" s="1766"/>
      <c r="L1482" s="1766"/>
      <c r="M1482" s="1766"/>
      <c r="N1482" s="1781"/>
      <c r="O1482" s="1766"/>
      <c r="P1482" s="1766"/>
      <c r="Q1482" s="1766"/>
      <c r="R1482" s="1766"/>
      <c r="S1482" s="1696"/>
      <c r="T1482" s="1696"/>
      <c r="U1482" s="1772"/>
      <c r="V1482" s="1696"/>
      <c r="W1482" s="1772"/>
      <c r="X1482" s="1696"/>
      <c r="Y1482" s="1696"/>
      <c r="Z1482" s="1773"/>
    </row>
    <row r="1483">
      <c r="A1483" s="1765"/>
      <c r="B1483" s="1782"/>
      <c r="C1483" s="1765"/>
      <c r="D1483" s="1765"/>
      <c r="E1483" s="1765"/>
      <c r="F1483" s="1765"/>
      <c r="G1483" s="1765"/>
      <c r="H1483" s="1765"/>
      <c r="I1483" s="1765"/>
      <c r="J1483" s="1765"/>
      <c r="K1483" s="1765"/>
      <c r="L1483" s="1765"/>
      <c r="M1483" s="1765"/>
      <c r="N1483" s="1765"/>
      <c r="O1483" s="1765"/>
      <c r="P1483" s="1765"/>
      <c r="Q1483" s="1766"/>
      <c r="R1483" s="1766"/>
      <c r="S1483" s="1696"/>
      <c r="T1483" s="1696"/>
      <c r="U1483" s="1772"/>
      <c r="V1483" s="1696"/>
      <c r="W1483" s="1772"/>
      <c r="X1483" s="1696"/>
      <c r="Y1483" s="1696"/>
      <c r="Z1483" s="1773"/>
    </row>
    <row r="1484">
      <c r="A1484" s="1771"/>
      <c r="B1484" s="1777"/>
      <c r="C1484" s="1771"/>
      <c r="D1484" s="1771"/>
      <c r="E1484" s="1771"/>
      <c r="F1484" s="1771"/>
      <c r="G1484" s="1770"/>
      <c r="H1484" s="1771"/>
      <c r="I1484" s="1778"/>
      <c r="J1484" s="1771"/>
      <c r="K1484" s="1771"/>
      <c r="L1484" s="1771"/>
      <c r="M1484" s="1771"/>
      <c r="N1484" s="1779"/>
      <c r="O1484" s="1770"/>
      <c r="P1484" s="1771"/>
      <c r="Q1484" s="1766"/>
      <c r="R1484" s="1766"/>
      <c r="S1484" s="1696"/>
      <c r="T1484" s="1696"/>
      <c r="U1484" s="1772"/>
      <c r="V1484" s="1696"/>
      <c r="W1484" s="1772"/>
      <c r="X1484" s="1696"/>
      <c r="Y1484" s="1696"/>
      <c r="Z1484" s="1773"/>
    </row>
    <row r="1485">
      <c r="A1485" s="1766"/>
      <c r="B1485" s="1780"/>
      <c r="C1485" s="1766"/>
      <c r="D1485" s="1766"/>
      <c r="E1485" s="1766"/>
      <c r="F1485" s="1766"/>
      <c r="G1485" s="1766"/>
      <c r="H1485" s="1766"/>
      <c r="I1485" s="1766"/>
      <c r="J1485" s="1766"/>
      <c r="K1485" s="1766"/>
      <c r="L1485" s="1766"/>
      <c r="M1485" s="1766"/>
      <c r="N1485" s="1781"/>
      <c r="O1485" s="1766"/>
      <c r="P1485" s="1766"/>
      <c r="Q1485" s="1766"/>
      <c r="R1485" s="1766"/>
      <c r="S1485" s="1696"/>
      <c r="T1485" s="1696"/>
      <c r="U1485" s="1772"/>
      <c r="V1485" s="1696"/>
      <c r="W1485" s="1772"/>
      <c r="X1485" s="1696"/>
      <c r="Y1485" s="1696"/>
      <c r="Z1485" s="1773"/>
    </row>
    <row r="1486">
      <c r="A1486" s="1765"/>
      <c r="B1486" s="1782"/>
      <c r="C1486" s="1765"/>
      <c r="D1486" s="1765"/>
      <c r="E1486" s="1765"/>
      <c r="F1486" s="1765"/>
      <c r="G1486" s="1765"/>
      <c r="H1486" s="1765"/>
      <c r="I1486" s="1765"/>
      <c r="J1486" s="1765"/>
      <c r="K1486" s="1765"/>
      <c r="L1486" s="1765"/>
      <c r="M1486" s="1765"/>
      <c r="N1486" s="1765"/>
      <c r="O1486" s="1765"/>
      <c r="P1486" s="1765"/>
      <c r="Q1486" s="1766"/>
      <c r="R1486" s="1766"/>
      <c r="S1486" s="1696"/>
      <c r="T1486" s="1696"/>
      <c r="U1486" s="1772"/>
      <c r="V1486" s="1696"/>
      <c r="W1486" s="1772"/>
      <c r="X1486" s="1696"/>
      <c r="Y1486" s="1696"/>
      <c r="Z1486" s="1773"/>
    </row>
    <row r="1487">
      <c r="A1487" s="1771"/>
      <c r="B1487" s="1777"/>
      <c r="C1487" s="1771"/>
      <c r="D1487" s="1771"/>
      <c r="E1487" s="1771"/>
      <c r="F1487" s="1771"/>
      <c r="G1487" s="1771"/>
      <c r="H1487" s="1771"/>
      <c r="I1487" s="1770"/>
      <c r="J1487" s="1771"/>
      <c r="K1487" s="1771"/>
      <c r="L1487" s="1771"/>
      <c r="M1487" s="1771"/>
      <c r="N1487" s="1779"/>
      <c r="O1487" s="1770"/>
      <c r="P1487" s="1771"/>
      <c r="Q1487" s="1766"/>
      <c r="R1487" s="1766"/>
      <c r="S1487" s="1696"/>
      <c r="T1487" s="1696"/>
      <c r="U1487" s="1772"/>
      <c r="V1487" s="1696"/>
      <c r="W1487" s="1772"/>
      <c r="X1487" s="1696"/>
      <c r="Y1487" s="1696"/>
      <c r="Z1487" s="1773"/>
    </row>
    <row r="1488">
      <c r="A1488" s="1766"/>
      <c r="B1488" s="1780"/>
      <c r="C1488" s="1766"/>
      <c r="D1488" s="1766"/>
      <c r="E1488" s="1766"/>
      <c r="F1488" s="1766"/>
      <c r="G1488" s="1766"/>
      <c r="H1488" s="1766"/>
      <c r="I1488" s="1766"/>
      <c r="J1488" s="1766"/>
      <c r="K1488" s="1766"/>
      <c r="L1488" s="1766"/>
      <c r="M1488" s="1766"/>
      <c r="N1488" s="1781"/>
      <c r="O1488" s="1766"/>
      <c r="P1488" s="1766"/>
      <c r="Q1488" s="1766"/>
      <c r="R1488" s="1766"/>
      <c r="S1488" s="1696"/>
      <c r="T1488" s="1696"/>
      <c r="U1488" s="1772"/>
      <c r="V1488" s="1696"/>
      <c r="W1488" s="1772"/>
      <c r="X1488" s="1696"/>
      <c r="Y1488" s="1696"/>
      <c r="Z1488" s="1773"/>
    </row>
    <row r="1489">
      <c r="A1489" s="1765"/>
      <c r="B1489" s="1782"/>
      <c r="C1489" s="1765"/>
      <c r="D1489" s="1765"/>
      <c r="E1489" s="1765"/>
      <c r="F1489" s="1765"/>
      <c r="G1489" s="1765"/>
      <c r="H1489" s="1765"/>
      <c r="I1489" s="1765"/>
      <c r="J1489" s="1765"/>
      <c r="K1489" s="1765"/>
      <c r="L1489" s="1765"/>
      <c r="M1489" s="1765"/>
      <c r="N1489" s="1765"/>
      <c r="O1489" s="1765"/>
      <c r="P1489" s="1765"/>
      <c r="Q1489" s="1766"/>
      <c r="R1489" s="1766"/>
      <c r="S1489" s="1696"/>
      <c r="T1489" s="1696"/>
      <c r="U1489" s="1772"/>
      <c r="V1489" s="1696"/>
      <c r="W1489" s="1772"/>
      <c r="X1489" s="1696"/>
      <c r="Y1489" s="1696"/>
      <c r="Z1489" s="1773"/>
    </row>
    <row r="1490">
      <c r="A1490" s="1771"/>
      <c r="B1490" s="1777"/>
      <c r="C1490" s="1771"/>
      <c r="D1490" s="1771"/>
      <c r="E1490" s="1771"/>
      <c r="F1490" s="1771"/>
      <c r="G1490" s="1770"/>
      <c r="H1490" s="1771"/>
      <c r="I1490" s="1778"/>
      <c r="J1490" s="1771"/>
      <c r="K1490" s="1771"/>
      <c r="L1490" s="1771"/>
      <c r="M1490" s="1771"/>
      <c r="N1490" s="1779"/>
      <c r="O1490" s="1770"/>
      <c r="P1490" s="1771"/>
      <c r="Q1490" s="1766"/>
      <c r="R1490" s="1766"/>
      <c r="S1490" s="1696"/>
      <c r="T1490" s="1696"/>
      <c r="U1490" s="1772"/>
      <c r="V1490" s="1696"/>
      <c r="W1490" s="1772"/>
      <c r="X1490" s="1696"/>
      <c r="Y1490" s="1696"/>
      <c r="Z1490" s="1773"/>
    </row>
    <row r="1491">
      <c r="A1491" s="1766"/>
      <c r="B1491" s="1780"/>
      <c r="C1491" s="1766"/>
      <c r="D1491" s="1766"/>
      <c r="E1491" s="1766"/>
      <c r="F1491" s="1766"/>
      <c r="G1491" s="1766"/>
      <c r="H1491" s="1766"/>
      <c r="I1491" s="1766"/>
      <c r="J1491" s="1766"/>
      <c r="K1491" s="1766"/>
      <c r="L1491" s="1766"/>
      <c r="M1491" s="1766"/>
      <c r="N1491" s="1781"/>
      <c r="O1491" s="1766"/>
      <c r="P1491" s="1766"/>
      <c r="Q1491" s="1766"/>
      <c r="R1491" s="1766"/>
      <c r="S1491" s="1696"/>
      <c r="T1491" s="1696"/>
      <c r="U1491" s="1772"/>
      <c r="V1491" s="1696"/>
      <c r="W1491" s="1772"/>
      <c r="X1491" s="1696"/>
      <c r="Y1491" s="1696"/>
      <c r="Z1491" s="1773"/>
    </row>
    <row r="1492">
      <c r="A1492" s="1765"/>
      <c r="B1492" s="1782"/>
      <c r="C1492" s="1765"/>
      <c r="D1492" s="1765"/>
      <c r="E1492" s="1765"/>
      <c r="F1492" s="1765"/>
      <c r="G1492" s="1765"/>
      <c r="H1492" s="1765"/>
      <c r="I1492" s="1765"/>
      <c r="J1492" s="1765"/>
      <c r="K1492" s="1765"/>
      <c r="L1492" s="1765"/>
      <c r="M1492" s="1765"/>
      <c r="N1492" s="1765"/>
      <c r="O1492" s="1765"/>
      <c r="P1492" s="1765"/>
      <c r="Q1492" s="1766"/>
      <c r="R1492" s="1766"/>
      <c r="S1492" s="1696"/>
      <c r="T1492" s="1696"/>
      <c r="U1492" s="1772"/>
      <c r="V1492" s="1696"/>
      <c r="W1492" s="1772"/>
      <c r="X1492" s="1696"/>
      <c r="Y1492" s="1696"/>
      <c r="Z1492" s="1773"/>
    </row>
    <row r="1493">
      <c r="A1493" s="1771"/>
      <c r="B1493" s="1777"/>
      <c r="C1493" s="1771"/>
      <c r="D1493" s="1771"/>
      <c r="E1493" s="1771"/>
      <c r="F1493" s="1771"/>
      <c r="G1493" s="1770"/>
      <c r="H1493" s="1771"/>
      <c r="I1493" s="1778"/>
      <c r="J1493" s="1771"/>
      <c r="K1493" s="1771"/>
      <c r="L1493" s="1771"/>
      <c r="M1493" s="1771"/>
      <c r="N1493" s="1779"/>
      <c r="O1493" s="1770"/>
      <c r="P1493" s="1771"/>
      <c r="Q1493" s="1766"/>
      <c r="R1493" s="1766"/>
      <c r="S1493" s="1696"/>
      <c r="T1493" s="1696"/>
      <c r="U1493" s="1772"/>
      <c r="V1493" s="1696"/>
      <c r="W1493" s="1772"/>
      <c r="X1493" s="1696"/>
      <c r="Y1493" s="1696"/>
      <c r="Z1493" s="1773"/>
    </row>
    <row r="1494">
      <c r="A1494" s="1766"/>
      <c r="B1494" s="1780"/>
      <c r="C1494" s="1766"/>
      <c r="D1494" s="1766"/>
      <c r="E1494" s="1766"/>
      <c r="F1494" s="1766"/>
      <c r="G1494" s="1766"/>
      <c r="H1494" s="1766"/>
      <c r="I1494" s="1766"/>
      <c r="J1494" s="1766"/>
      <c r="K1494" s="1766"/>
      <c r="L1494" s="1766"/>
      <c r="M1494" s="1766"/>
      <c r="N1494" s="1781"/>
      <c r="O1494" s="1766"/>
      <c r="P1494" s="1766"/>
      <c r="Q1494" s="1766"/>
      <c r="R1494" s="1766"/>
      <c r="S1494" s="1696"/>
      <c r="T1494" s="1696"/>
      <c r="U1494" s="1772"/>
      <c r="V1494" s="1696"/>
      <c r="W1494" s="1772"/>
      <c r="X1494" s="1696"/>
      <c r="Y1494" s="1696"/>
      <c r="Z1494" s="1773"/>
    </row>
    <row r="1495">
      <c r="A1495" s="1765"/>
      <c r="B1495" s="1782"/>
      <c r="C1495" s="1765"/>
      <c r="D1495" s="1765"/>
      <c r="E1495" s="1765"/>
      <c r="F1495" s="1765"/>
      <c r="G1495" s="1765"/>
      <c r="H1495" s="1765"/>
      <c r="I1495" s="1765"/>
      <c r="J1495" s="1765"/>
      <c r="K1495" s="1765"/>
      <c r="L1495" s="1765"/>
      <c r="M1495" s="1765"/>
      <c r="N1495" s="1765"/>
      <c r="O1495" s="1765"/>
      <c r="P1495" s="1765"/>
      <c r="Q1495" s="1766"/>
      <c r="R1495" s="1766"/>
      <c r="S1495" s="1696"/>
      <c r="T1495" s="1696"/>
      <c r="U1495" s="1772"/>
      <c r="V1495" s="1696"/>
      <c r="W1495" s="1772"/>
      <c r="X1495" s="1696"/>
      <c r="Y1495" s="1696"/>
      <c r="Z1495" s="1773"/>
    </row>
    <row r="1496">
      <c r="A1496" s="1771"/>
      <c r="B1496" s="1777"/>
      <c r="C1496" s="1771"/>
      <c r="D1496" s="1771"/>
      <c r="E1496" s="1771"/>
      <c r="F1496" s="1771"/>
      <c r="G1496" s="1771"/>
      <c r="H1496" s="1771"/>
      <c r="I1496" s="1778"/>
      <c r="J1496" s="1771"/>
      <c r="K1496" s="1771"/>
      <c r="L1496" s="1771"/>
      <c r="M1496" s="1771"/>
      <c r="N1496" s="1779"/>
      <c r="O1496" s="1770"/>
      <c r="P1496" s="1771"/>
      <c r="Q1496" s="1766"/>
      <c r="R1496" s="1766"/>
      <c r="S1496" s="1696"/>
      <c r="T1496" s="1696"/>
      <c r="U1496" s="1772"/>
      <c r="V1496" s="1696"/>
      <c r="W1496" s="1772"/>
      <c r="X1496" s="1696"/>
      <c r="Y1496" s="1696"/>
      <c r="Z1496" s="1773"/>
    </row>
    <row r="1497">
      <c r="A1497" s="1766"/>
      <c r="B1497" s="1780"/>
      <c r="C1497" s="1766"/>
      <c r="D1497" s="1766"/>
      <c r="E1497" s="1766"/>
      <c r="F1497" s="1766"/>
      <c r="G1497" s="1766"/>
      <c r="H1497" s="1766"/>
      <c r="I1497" s="1766"/>
      <c r="J1497" s="1766"/>
      <c r="K1497" s="1766"/>
      <c r="L1497" s="1766"/>
      <c r="M1497" s="1766"/>
      <c r="N1497" s="1781"/>
      <c r="O1497" s="1766"/>
      <c r="P1497" s="1766"/>
      <c r="Q1497" s="1766"/>
      <c r="R1497" s="1766"/>
      <c r="S1497" s="1696"/>
      <c r="T1497" s="1696"/>
      <c r="U1497" s="1772"/>
      <c r="V1497" s="1696"/>
      <c r="W1497" s="1772"/>
      <c r="X1497" s="1696"/>
      <c r="Y1497" s="1696"/>
      <c r="Z1497" s="1773"/>
    </row>
    <row r="1498">
      <c r="A1498" s="1765"/>
      <c r="B1498" s="1782"/>
      <c r="C1498" s="1765"/>
      <c r="D1498" s="1765"/>
      <c r="E1498" s="1765"/>
      <c r="F1498" s="1765"/>
      <c r="G1498" s="1765"/>
      <c r="H1498" s="1765"/>
      <c r="I1498" s="1765"/>
      <c r="J1498" s="1765"/>
      <c r="K1498" s="1765"/>
      <c r="L1498" s="1765"/>
      <c r="M1498" s="1765"/>
      <c r="N1498" s="1765"/>
      <c r="O1498" s="1765"/>
      <c r="P1498" s="1765"/>
      <c r="Q1498" s="1766"/>
      <c r="R1498" s="1766"/>
      <c r="S1498" s="1696"/>
      <c r="T1498" s="1696"/>
      <c r="U1498" s="1772"/>
      <c r="V1498" s="1696"/>
      <c r="W1498" s="1772"/>
      <c r="X1498" s="1696"/>
      <c r="Y1498" s="1696"/>
      <c r="Z1498" s="1773"/>
    </row>
    <row r="1499">
      <c r="A1499" s="1771"/>
      <c r="B1499" s="1777"/>
      <c r="C1499" s="1771"/>
      <c r="D1499" s="1771"/>
      <c r="E1499" s="1771"/>
      <c r="F1499" s="1771"/>
      <c r="G1499" s="1771"/>
      <c r="H1499" s="1771"/>
      <c r="I1499" s="1778"/>
      <c r="J1499" s="1771"/>
      <c r="K1499" s="1771"/>
      <c r="L1499" s="1771"/>
      <c r="M1499" s="1771"/>
      <c r="N1499" s="1779"/>
      <c r="O1499" s="1770"/>
      <c r="P1499" s="1771"/>
      <c r="Q1499" s="1766"/>
      <c r="R1499" s="1766"/>
      <c r="S1499" s="1696"/>
      <c r="T1499" s="1696"/>
      <c r="U1499" s="1772"/>
      <c r="V1499" s="1696"/>
      <c r="W1499" s="1772"/>
      <c r="X1499" s="1696"/>
      <c r="Y1499" s="1696"/>
      <c r="Z1499" s="1773"/>
    </row>
    <row r="1500">
      <c r="A1500" s="1766"/>
      <c r="B1500" s="1780"/>
      <c r="C1500" s="1766"/>
      <c r="D1500" s="1766"/>
      <c r="E1500" s="1766"/>
      <c r="F1500" s="1766"/>
      <c r="G1500" s="1766"/>
      <c r="H1500" s="1766"/>
      <c r="I1500" s="1766"/>
      <c r="J1500" s="1766"/>
      <c r="K1500" s="1766"/>
      <c r="L1500" s="1766"/>
      <c r="M1500" s="1766"/>
      <c r="N1500" s="1781"/>
      <c r="O1500" s="1766"/>
      <c r="P1500" s="1766"/>
      <c r="Q1500" s="1766"/>
      <c r="R1500" s="1766"/>
      <c r="S1500" s="1696"/>
      <c r="T1500" s="1696"/>
      <c r="U1500" s="1772"/>
      <c r="V1500" s="1696"/>
      <c r="W1500" s="1772"/>
      <c r="X1500" s="1696"/>
      <c r="Y1500" s="1696"/>
      <c r="Z1500" s="1773"/>
    </row>
    <row r="1501">
      <c r="A1501" s="1765"/>
      <c r="B1501" s="1782"/>
      <c r="C1501" s="1765"/>
      <c r="D1501" s="1765"/>
      <c r="E1501" s="1765"/>
      <c r="F1501" s="1765"/>
      <c r="G1501" s="1765"/>
      <c r="H1501" s="1765"/>
      <c r="I1501" s="1765"/>
      <c r="J1501" s="1765"/>
      <c r="K1501" s="1765"/>
      <c r="L1501" s="1765"/>
      <c r="M1501" s="1765"/>
      <c r="N1501" s="1765"/>
      <c r="O1501" s="1765"/>
      <c r="P1501" s="1765"/>
      <c r="Q1501" s="1766"/>
      <c r="R1501" s="1766"/>
      <c r="S1501" s="1696"/>
      <c r="T1501" s="1696"/>
      <c r="U1501" s="1772"/>
      <c r="V1501" s="1696"/>
      <c r="W1501" s="1772"/>
      <c r="X1501" s="1696"/>
      <c r="Y1501" s="1696"/>
      <c r="Z1501" s="1773"/>
    </row>
    <row r="1502">
      <c r="A1502" s="1771"/>
      <c r="B1502" s="1777"/>
      <c r="C1502" s="1771"/>
      <c r="D1502" s="1771"/>
      <c r="E1502" s="1771"/>
      <c r="F1502" s="1771"/>
      <c r="G1502" s="1770"/>
      <c r="H1502" s="1771"/>
      <c r="I1502" s="1770"/>
      <c r="J1502" s="1771"/>
      <c r="K1502" s="1771"/>
      <c r="L1502" s="1771"/>
      <c r="M1502" s="1771"/>
      <c r="N1502" s="1779"/>
      <c r="O1502" s="1770"/>
      <c r="P1502" s="1771"/>
      <c r="Q1502" s="1766"/>
      <c r="R1502" s="1766"/>
      <c r="S1502" s="1696"/>
      <c r="T1502" s="1696"/>
      <c r="U1502" s="1772"/>
      <c r="V1502" s="1696"/>
      <c r="W1502" s="1772"/>
      <c r="X1502" s="1696"/>
      <c r="Y1502" s="1696"/>
      <c r="Z1502" s="1773"/>
    </row>
    <row r="1503">
      <c r="A1503" s="1766"/>
      <c r="B1503" s="1780"/>
      <c r="C1503" s="1766"/>
      <c r="D1503" s="1766"/>
      <c r="E1503" s="1766"/>
      <c r="F1503" s="1766"/>
      <c r="G1503" s="1766"/>
      <c r="H1503" s="1766"/>
      <c r="I1503" s="1766"/>
      <c r="J1503" s="1766"/>
      <c r="K1503" s="1766"/>
      <c r="L1503" s="1766"/>
      <c r="M1503" s="1766"/>
      <c r="N1503" s="1781"/>
      <c r="O1503" s="1766"/>
      <c r="P1503" s="1766"/>
      <c r="Q1503" s="1766"/>
      <c r="R1503" s="1766"/>
      <c r="S1503" s="1696"/>
      <c r="T1503" s="1696"/>
      <c r="U1503" s="1772"/>
      <c r="V1503" s="1696"/>
      <c r="W1503" s="1772"/>
      <c r="X1503" s="1696"/>
      <c r="Y1503" s="1696"/>
      <c r="Z1503" s="1773"/>
    </row>
    <row r="1504">
      <c r="A1504" s="1765"/>
      <c r="B1504" s="1782"/>
      <c r="C1504" s="1765"/>
      <c r="D1504" s="1765"/>
      <c r="E1504" s="1765"/>
      <c r="F1504" s="1765"/>
      <c r="G1504" s="1765"/>
      <c r="H1504" s="1765"/>
      <c r="I1504" s="1765"/>
      <c r="J1504" s="1765"/>
      <c r="K1504" s="1765"/>
      <c r="L1504" s="1765"/>
      <c r="M1504" s="1765"/>
      <c r="N1504" s="1765"/>
      <c r="O1504" s="1765"/>
      <c r="P1504" s="1765"/>
      <c r="Q1504" s="1766"/>
      <c r="R1504" s="1766"/>
      <c r="S1504" s="1696"/>
      <c r="T1504" s="1696"/>
      <c r="U1504" s="1772"/>
      <c r="V1504" s="1696"/>
      <c r="W1504" s="1772"/>
      <c r="X1504" s="1696"/>
      <c r="Y1504" s="1696"/>
      <c r="Z1504" s="1773"/>
    </row>
    <row r="1505">
      <c r="A1505" s="1771"/>
      <c r="B1505" s="1777"/>
      <c r="C1505" s="1771"/>
      <c r="D1505" s="1771"/>
      <c r="E1505" s="1771"/>
      <c r="F1505" s="1771"/>
      <c r="G1505" s="1771"/>
      <c r="H1505" s="1771"/>
      <c r="I1505" s="1770"/>
      <c r="J1505" s="1771"/>
      <c r="K1505" s="1771"/>
      <c r="L1505" s="1771"/>
      <c r="M1505" s="1771"/>
      <c r="N1505" s="1779"/>
      <c r="O1505" s="1770"/>
      <c r="P1505" s="1771"/>
      <c r="Q1505" s="1766"/>
      <c r="R1505" s="1766"/>
      <c r="S1505" s="1696"/>
      <c r="T1505" s="1696"/>
      <c r="U1505" s="1772"/>
      <c r="V1505" s="1696"/>
      <c r="W1505" s="1772"/>
      <c r="X1505" s="1696"/>
      <c r="Y1505" s="1696"/>
      <c r="Z1505" s="1773"/>
    </row>
    <row r="1506">
      <c r="A1506" s="1766"/>
      <c r="B1506" s="1780"/>
      <c r="C1506" s="1766"/>
      <c r="D1506" s="1766"/>
      <c r="E1506" s="1766"/>
      <c r="F1506" s="1766"/>
      <c r="G1506" s="1766"/>
      <c r="H1506" s="1766"/>
      <c r="I1506" s="1766"/>
      <c r="J1506" s="1766"/>
      <c r="K1506" s="1766"/>
      <c r="L1506" s="1766"/>
      <c r="M1506" s="1766"/>
      <c r="N1506" s="1781"/>
      <c r="O1506" s="1766"/>
      <c r="P1506" s="1766"/>
      <c r="Q1506" s="1766"/>
      <c r="R1506" s="1766"/>
      <c r="S1506" s="1696"/>
      <c r="T1506" s="1696"/>
      <c r="U1506" s="1772"/>
      <c r="V1506" s="1696"/>
      <c r="W1506" s="1772"/>
      <c r="X1506" s="1696"/>
      <c r="Y1506" s="1696"/>
      <c r="Z1506" s="1773"/>
    </row>
    <row r="1507">
      <c r="A1507" s="1765"/>
      <c r="B1507" s="1782"/>
      <c r="C1507" s="1765"/>
      <c r="D1507" s="1765"/>
      <c r="E1507" s="1765"/>
      <c r="F1507" s="1765"/>
      <c r="G1507" s="1765"/>
      <c r="H1507" s="1765"/>
      <c r="I1507" s="1765"/>
      <c r="J1507" s="1765"/>
      <c r="K1507" s="1765"/>
      <c r="L1507" s="1765"/>
      <c r="M1507" s="1765"/>
      <c r="N1507" s="1765"/>
      <c r="O1507" s="1765"/>
      <c r="P1507" s="1765"/>
      <c r="Q1507" s="1766"/>
      <c r="R1507" s="1766"/>
      <c r="S1507" s="1696"/>
      <c r="T1507" s="1696"/>
      <c r="U1507" s="1772"/>
      <c r="V1507" s="1696"/>
      <c r="W1507" s="1772"/>
      <c r="X1507" s="1696"/>
      <c r="Y1507" s="1696"/>
      <c r="Z1507" s="1773"/>
    </row>
    <row r="1508">
      <c r="A1508" s="1771"/>
      <c r="B1508" s="1777"/>
      <c r="C1508" s="1771"/>
      <c r="D1508" s="1771"/>
      <c r="E1508" s="1771"/>
      <c r="F1508" s="1771"/>
      <c r="G1508" s="1770"/>
      <c r="H1508" s="1771"/>
      <c r="I1508" s="1778"/>
      <c r="J1508" s="1771"/>
      <c r="K1508" s="1771"/>
      <c r="L1508" s="1771"/>
      <c r="M1508" s="1771"/>
      <c r="N1508" s="1779"/>
      <c r="O1508" s="1770"/>
      <c r="P1508" s="1771"/>
      <c r="Q1508" s="1766"/>
      <c r="R1508" s="1766"/>
      <c r="S1508" s="1696"/>
      <c r="T1508" s="1696"/>
      <c r="U1508" s="1772"/>
      <c r="V1508" s="1696"/>
      <c r="W1508" s="1772"/>
      <c r="X1508" s="1696"/>
      <c r="Y1508" s="1696"/>
      <c r="Z1508" s="1773"/>
    </row>
    <row r="1509">
      <c r="A1509" s="1766"/>
      <c r="B1509" s="1780"/>
      <c r="C1509" s="1766"/>
      <c r="D1509" s="1766"/>
      <c r="E1509" s="1766"/>
      <c r="F1509" s="1766"/>
      <c r="G1509" s="1766"/>
      <c r="H1509" s="1766"/>
      <c r="I1509" s="1766"/>
      <c r="J1509" s="1766"/>
      <c r="K1509" s="1766"/>
      <c r="L1509" s="1766"/>
      <c r="M1509" s="1766"/>
      <c r="N1509" s="1781"/>
      <c r="O1509" s="1766"/>
      <c r="P1509" s="1766"/>
      <c r="Q1509" s="1766"/>
      <c r="R1509" s="1766"/>
      <c r="S1509" s="1696"/>
      <c r="T1509" s="1696"/>
      <c r="U1509" s="1772"/>
      <c r="V1509" s="1696"/>
      <c r="W1509" s="1772"/>
      <c r="X1509" s="1696"/>
      <c r="Y1509" s="1696"/>
      <c r="Z1509" s="1773"/>
    </row>
    <row r="1510">
      <c r="A1510" s="1765"/>
      <c r="B1510" s="1782"/>
      <c r="C1510" s="1765"/>
      <c r="D1510" s="1765"/>
      <c r="E1510" s="1765"/>
      <c r="F1510" s="1765"/>
      <c r="G1510" s="1765"/>
      <c r="H1510" s="1765"/>
      <c r="I1510" s="1765"/>
      <c r="J1510" s="1765"/>
      <c r="K1510" s="1765"/>
      <c r="L1510" s="1765"/>
      <c r="M1510" s="1765"/>
      <c r="N1510" s="1765"/>
      <c r="O1510" s="1765"/>
      <c r="P1510" s="1765"/>
      <c r="Q1510" s="1766"/>
      <c r="R1510" s="1766"/>
      <c r="S1510" s="1696"/>
      <c r="T1510" s="1696"/>
      <c r="U1510" s="1772"/>
      <c r="V1510" s="1696"/>
      <c r="W1510" s="1772"/>
      <c r="X1510" s="1696"/>
      <c r="Y1510" s="1696"/>
      <c r="Z1510" s="1773"/>
    </row>
    <row r="1511">
      <c r="A1511" s="1771"/>
      <c r="B1511" s="1777"/>
      <c r="C1511" s="1771"/>
      <c r="D1511" s="1771"/>
      <c r="E1511" s="1771"/>
      <c r="F1511" s="1771"/>
      <c r="G1511" s="1771"/>
      <c r="H1511" s="1771"/>
      <c r="I1511" s="1770"/>
      <c r="J1511" s="1771"/>
      <c r="K1511" s="1771"/>
      <c r="L1511" s="1771"/>
      <c r="M1511" s="1771"/>
      <c r="N1511" s="1779"/>
      <c r="O1511" s="1770"/>
      <c r="P1511" s="1771"/>
      <c r="Q1511" s="1766"/>
      <c r="R1511" s="1766"/>
      <c r="S1511" s="1696"/>
      <c r="T1511" s="1696"/>
      <c r="U1511" s="1772"/>
      <c r="V1511" s="1696"/>
      <c r="W1511" s="1772"/>
      <c r="X1511" s="1696"/>
      <c r="Y1511" s="1696"/>
      <c r="Z1511" s="1773"/>
    </row>
    <row r="1512">
      <c r="A1512" s="1766"/>
      <c r="B1512" s="1780"/>
      <c r="C1512" s="1766"/>
      <c r="D1512" s="1766"/>
      <c r="E1512" s="1766"/>
      <c r="F1512" s="1766"/>
      <c r="G1512" s="1766"/>
      <c r="H1512" s="1766"/>
      <c r="I1512" s="1766"/>
      <c r="J1512" s="1766"/>
      <c r="K1512" s="1766"/>
      <c r="L1512" s="1766"/>
      <c r="M1512" s="1766"/>
      <c r="N1512" s="1781"/>
      <c r="O1512" s="1766"/>
      <c r="P1512" s="1766"/>
      <c r="Q1512" s="1766"/>
      <c r="R1512" s="1766"/>
      <c r="S1512" s="1696"/>
      <c r="T1512" s="1696"/>
      <c r="U1512" s="1772"/>
      <c r="V1512" s="1696"/>
      <c r="W1512" s="1772"/>
      <c r="X1512" s="1696"/>
      <c r="Y1512" s="1696"/>
      <c r="Z1512" s="1773"/>
    </row>
    <row r="1513">
      <c r="A1513" s="1765"/>
      <c r="B1513" s="1782"/>
      <c r="C1513" s="1765"/>
      <c r="D1513" s="1765"/>
      <c r="E1513" s="1765"/>
      <c r="F1513" s="1765"/>
      <c r="G1513" s="1765"/>
      <c r="H1513" s="1765"/>
      <c r="I1513" s="1765"/>
      <c r="J1513" s="1765"/>
      <c r="K1513" s="1765"/>
      <c r="L1513" s="1765"/>
      <c r="M1513" s="1765"/>
      <c r="N1513" s="1765"/>
      <c r="O1513" s="1765"/>
      <c r="P1513" s="1765"/>
      <c r="Q1513" s="1766"/>
      <c r="R1513" s="1766"/>
      <c r="S1513" s="1696"/>
      <c r="T1513" s="1696"/>
      <c r="U1513" s="1772"/>
      <c r="V1513" s="1696"/>
      <c r="W1513" s="1772"/>
      <c r="X1513" s="1696"/>
      <c r="Y1513" s="1696"/>
      <c r="Z1513" s="1773"/>
    </row>
    <row r="1514">
      <c r="A1514" s="1771"/>
      <c r="B1514" s="1777"/>
      <c r="C1514" s="1771"/>
      <c r="D1514" s="1771"/>
      <c r="E1514" s="1771"/>
      <c r="F1514" s="1771"/>
      <c r="G1514" s="1770"/>
      <c r="H1514" s="1771"/>
      <c r="I1514" s="1770"/>
      <c r="J1514" s="1771"/>
      <c r="K1514" s="1771"/>
      <c r="L1514" s="1771"/>
      <c r="M1514" s="1771"/>
      <c r="N1514" s="1779"/>
      <c r="O1514" s="1770"/>
      <c r="P1514" s="1771"/>
      <c r="Q1514" s="1766"/>
      <c r="R1514" s="1766"/>
      <c r="S1514" s="1696"/>
      <c r="T1514" s="1696"/>
      <c r="U1514" s="1772"/>
      <c r="V1514" s="1696"/>
      <c r="W1514" s="1772"/>
      <c r="X1514" s="1696"/>
      <c r="Y1514" s="1696"/>
      <c r="Z1514" s="1773"/>
    </row>
    <row r="1515">
      <c r="A1515" s="1766"/>
      <c r="B1515" s="1780"/>
      <c r="C1515" s="1766"/>
      <c r="D1515" s="1766"/>
      <c r="E1515" s="1766"/>
      <c r="F1515" s="1766"/>
      <c r="G1515" s="1766"/>
      <c r="H1515" s="1766"/>
      <c r="I1515" s="1766"/>
      <c r="J1515" s="1766"/>
      <c r="K1515" s="1766"/>
      <c r="L1515" s="1766"/>
      <c r="M1515" s="1766"/>
      <c r="N1515" s="1781"/>
      <c r="O1515" s="1766"/>
      <c r="P1515" s="1766"/>
      <c r="Q1515" s="1766"/>
      <c r="R1515" s="1766"/>
      <c r="S1515" s="1696"/>
      <c r="T1515" s="1696"/>
      <c r="U1515" s="1772"/>
      <c r="V1515" s="1696"/>
      <c r="W1515" s="1772"/>
      <c r="X1515" s="1696"/>
      <c r="Y1515" s="1696"/>
      <c r="Z1515" s="1773"/>
    </row>
    <row r="1516">
      <c r="A1516" s="1765"/>
      <c r="B1516" s="1782"/>
      <c r="C1516" s="1765"/>
      <c r="D1516" s="1765"/>
      <c r="E1516" s="1765"/>
      <c r="F1516" s="1765"/>
      <c r="G1516" s="1765"/>
      <c r="H1516" s="1765"/>
      <c r="I1516" s="1765"/>
      <c r="J1516" s="1765"/>
      <c r="K1516" s="1765"/>
      <c r="L1516" s="1765"/>
      <c r="M1516" s="1765"/>
      <c r="N1516" s="1765"/>
      <c r="O1516" s="1765"/>
      <c r="P1516" s="1765"/>
      <c r="Q1516" s="1766"/>
      <c r="R1516" s="1766"/>
      <c r="S1516" s="1696"/>
      <c r="T1516" s="1696"/>
      <c r="U1516" s="1772"/>
      <c r="V1516" s="1696"/>
      <c r="W1516" s="1772"/>
      <c r="X1516" s="1696"/>
      <c r="Y1516" s="1696"/>
      <c r="Z1516" s="1773"/>
    </row>
    <row r="1517">
      <c r="A1517" s="1771"/>
      <c r="B1517" s="1777"/>
      <c r="C1517" s="1771"/>
      <c r="D1517" s="1771"/>
      <c r="E1517" s="1771"/>
      <c r="F1517" s="1771"/>
      <c r="G1517" s="1770"/>
      <c r="H1517" s="1771"/>
      <c r="I1517" s="1778"/>
      <c r="J1517" s="1771"/>
      <c r="K1517" s="1771"/>
      <c r="L1517" s="1771"/>
      <c r="M1517" s="1771"/>
      <c r="N1517" s="1779"/>
      <c r="O1517" s="1770"/>
      <c r="P1517" s="1771"/>
      <c r="Q1517" s="1766"/>
      <c r="R1517" s="1766"/>
      <c r="S1517" s="1696"/>
      <c r="T1517" s="1696"/>
      <c r="U1517" s="1772"/>
      <c r="V1517" s="1696"/>
      <c r="W1517" s="1772"/>
      <c r="X1517" s="1696"/>
      <c r="Y1517" s="1696"/>
      <c r="Z1517" s="1773"/>
    </row>
    <row r="1518">
      <c r="A1518" s="1766"/>
      <c r="B1518" s="1780"/>
      <c r="C1518" s="1766"/>
      <c r="D1518" s="1766"/>
      <c r="E1518" s="1766"/>
      <c r="F1518" s="1766"/>
      <c r="G1518" s="1766"/>
      <c r="H1518" s="1766"/>
      <c r="I1518" s="1766"/>
      <c r="J1518" s="1766"/>
      <c r="K1518" s="1766"/>
      <c r="L1518" s="1766"/>
      <c r="M1518" s="1766"/>
      <c r="N1518" s="1781"/>
      <c r="O1518" s="1766"/>
      <c r="P1518" s="1766"/>
      <c r="Q1518" s="1766"/>
      <c r="R1518" s="1766"/>
      <c r="S1518" s="1696"/>
      <c r="T1518" s="1696"/>
      <c r="U1518" s="1772"/>
      <c r="V1518" s="1696"/>
      <c r="W1518" s="1772"/>
      <c r="X1518" s="1696"/>
      <c r="Y1518" s="1696"/>
      <c r="Z1518" s="1773"/>
    </row>
    <row r="1519">
      <c r="A1519" s="1765"/>
      <c r="B1519" s="1782"/>
      <c r="C1519" s="1765"/>
      <c r="D1519" s="1765"/>
      <c r="E1519" s="1765"/>
      <c r="F1519" s="1765"/>
      <c r="G1519" s="1765"/>
      <c r="H1519" s="1765"/>
      <c r="I1519" s="1765"/>
      <c r="J1519" s="1765"/>
      <c r="K1519" s="1765"/>
      <c r="L1519" s="1765"/>
      <c r="M1519" s="1765"/>
      <c r="N1519" s="1765"/>
      <c r="O1519" s="1765"/>
      <c r="P1519" s="1765"/>
      <c r="Q1519" s="1766"/>
      <c r="R1519" s="1766"/>
      <c r="S1519" s="1696"/>
      <c r="T1519" s="1696"/>
      <c r="U1519" s="1772"/>
      <c r="V1519" s="1696"/>
      <c r="W1519" s="1772"/>
      <c r="X1519" s="1696"/>
      <c r="Y1519" s="1696"/>
      <c r="Z1519" s="1773"/>
    </row>
    <row r="1520">
      <c r="A1520" s="1771"/>
      <c r="B1520" s="1777"/>
      <c r="C1520" s="1771"/>
      <c r="D1520" s="1771"/>
      <c r="E1520" s="1771"/>
      <c r="F1520" s="1771"/>
      <c r="G1520" s="1770"/>
      <c r="H1520" s="1771"/>
      <c r="I1520" s="1770"/>
      <c r="J1520" s="1771"/>
      <c r="K1520" s="1771"/>
      <c r="L1520" s="1771"/>
      <c r="M1520" s="1771"/>
      <c r="N1520" s="1779"/>
      <c r="O1520" s="1770"/>
      <c r="P1520" s="1771"/>
      <c r="Q1520" s="1766"/>
      <c r="R1520" s="1766"/>
      <c r="S1520" s="1696"/>
      <c r="T1520" s="1696"/>
      <c r="U1520" s="1772"/>
      <c r="V1520" s="1696"/>
      <c r="W1520" s="1772"/>
      <c r="X1520" s="1696"/>
      <c r="Y1520" s="1696"/>
      <c r="Z1520" s="1773"/>
    </row>
    <row r="1521">
      <c r="A1521" s="1766"/>
      <c r="B1521" s="1780"/>
      <c r="C1521" s="1766"/>
      <c r="D1521" s="1766"/>
      <c r="E1521" s="1766"/>
      <c r="F1521" s="1766"/>
      <c r="G1521" s="1766"/>
      <c r="H1521" s="1766"/>
      <c r="I1521" s="1766"/>
      <c r="J1521" s="1766"/>
      <c r="K1521" s="1766"/>
      <c r="L1521" s="1766"/>
      <c r="M1521" s="1766"/>
      <c r="N1521" s="1781"/>
      <c r="O1521" s="1766"/>
      <c r="P1521" s="1766"/>
      <c r="Q1521" s="1766"/>
      <c r="R1521" s="1766"/>
      <c r="S1521" s="1696"/>
      <c r="T1521" s="1696"/>
      <c r="U1521" s="1772"/>
      <c r="V1521" s="1696"/>
      <c r="W1521" s="1772"/>
      <c r="X1521" s="1696"/>
      <c r="Y1521" s="1696"/>
      <c r="Z1521" s="1773"/>
    </row>
    <row r="1522">
      <c r="A1522" s="1765"/>
      <c r="B1522" s="1782"/>
      <c r="C1522" s="1765"/>
      <c r="D1522" s="1765"/>
      <c r="E1522" s="1765"/>
      <c r="F1522" s="1765"/>
      <c r="G1522" s="1765"/>
      <c r="H1522" s="1765"/>
      <c r="I1522" s="1765"/>
      <c r="J1522" s="1765"/>
      <c r="K1522" s="1765"/>
      <c r="L1522" s="1765"/>
      <c r="M1522" s="1765"/>
      <c r="N1522" s="1765"/>
      <c r="O1522" s="1765"/>
      <c r="P1522" s="1765"/>
      <c r="Q1522" s="1766"/>
      <c r="R1522" s="1766"/>
      <c r="S1522" s="1696"/>
      <c r="T1522" s="1696"/>
      <c r="U1522" s="1772"/>
      <c r="V1522" s="1696"/>
      <c r="W1522" s="1772"/>
      <c r="X1522" s="1696"/>
      <c r="Y1522" s="1696"/>
      <c r="Z1522" s="1773"/>
    </row>
    <row r="1523">
      <c r="A1523" s="1771"/>
      <c r="B1523" s="1777"/>
      <c r="C1523" s="1771"/>
      <c r="D1523" s="1771"/>
      <c r="E1523" s="1771"/>
      <c r="F1523" s="1771"/>
      <c r="G1523" s="1770"/>
      <c r="H1523" s="1771"/>
      <c r="I1523" s="1770"/>
      <c r="J1523" s="1771"/>
      <c r="K1523" s="1771"/>
      <c r="L1523" s="1771"/>
      <c r="M1523" s="1771"/>
      <c r="N1523" s="1779"/>
      <c r="O1523" s="1770"/>
      <c r="P1523" s="1771"/>
      <c r="Q1523" s="1766"/>
      <c r="R1523" s="1766"/>
      <c r="S1523" s="1696"/>
      <c r="T1523" s="1696"/>
      <c r="U1523" s="1772"/>
      <c r="V1523" s="1696"/>
      <c r="W1523" s="1772"/>
      <c r="X1523" s="1696"/>
      <c r="Y1523" s="1696"/>
      <c r="Z1523" s="1773"/>
    </row>
    <row r="1524">
      <c r="A1524" s="1766"/>
      <c r="B1524" s="1780"/>
      <c r="C1524" s="1766"/>
      <c r="D1524" s="1766"/>
      <c r="E1524" s="1766"/>
      <c r="F1524" s="1766"/>
      <c r="G1524" s="1766"/>
      <c r="H1524" s="1766"/>
      <c r="I1524" s="1766"/>
      <c r="J1524" s="1766"/>
      <c r="K1524" s="1766"/>
      <c r="L1524" s="1766"/>
      <c r="M1524" s="1766"/>
      <c r="N1524" s="1781"/>
      <c r="O1524" s="1766"/>
      <c r="P1524" s="1766"/>
      <c r="Q1524" s="1766"/>
      <c r="R1524" s="1766"/>
      <c r="S1524" s="1696"/>
      <c r="T1524" s="1696"/>
      <c r="U1524" s="1772"/>
      <c r="V1524" s="1696"/>
      <c r="W1524" s="1772"/>
      <c r="X1524" s="1696"/>
      <c r="Y1524" s="1696"/>
      <c r="Z1524" s="1773"/>
    </row>
    <row r="1525">
      <c r="A1525" s="1765"/>
      <c r="B1525" s="1782"/>
      <c r="C1525" s="1765"/>
      <c r="D1525" s="1765"/>
      <c r="E1525" s="1765"/>
      <c r="F1525" s="1765"/>
      <c r="G1525" s="1765"/>
      <c r="H1525" s="1765"/>
      <c r="I1525" s="1765"/>
      <c r="J1525" s="1765"/>
      <c r="K1525" s="1765"/>
      <c r="L1525" s="1765"/>
      <c r="M1525" s="1765"/>
      <c r="N1525" s="1765"/>
      <c r="O1525" s="1765"/>
      <c r="P1525" s="1765"/>
      <c r="Q1525" s="1766"/>
      <c r="R1525" s="1766"/>
      <c r="S1525" s="1696"/>
      <c r="T1525" s="1696"/>
      <c r="U1525" s="1772"/>
      <c r="V1525" s="1696"/>
      <c r="W1525" s="1772"/>
      <c r="X1525" s="1696"/>
      <c r="Y1525" s="1696"/>
      <c r="Z1525" s="1773"/>
    </row>
    <row r="1526">
      <c r="A1526" s="1771"/>
      <c r="B1526" s="1777"/>
      <c r="C1526" s="1771"/>
      <c r="D1526" s="1771"/>
      <c r="E1526" s="1771"/>
      <c r="F1526" s="1771"/>
      <c r="G1526" s="1770"/>
      <c r="H1526" s="1771"/>
      <c r="I1526" s="1770"/>
      <c r="J1526" s="1771"/>
      <c r="K1526" s="1771"/>
      <c r="L1526" s="1771"/>
      <c r="M1526" s="1771"/>
      <c r="N1526" s="1779"/>
      <c r="O1526" s="1770"/>
      <c r="P1526" s="1771"/>
      <c r="Q1526" s="1766"/>
      <c r="R1526" s="1766"/>
      <c r="S1526" s="1696"/>
      <c r="T1526" s="1696"/>
      <c r="U1526" s="1772"/>
      <c r="V1526" s="1696"/>
      <c r="W1526" s="1772"/>
      <c r="X1526" s="1696"/>
      <c r="Y1526" s="1696"/>
      <c r="Z1526" s="1773"/>
    </row>
    <row r="1527">
      <c r="A1527" s="1766"/>
      <c r="B1527" s="1780"/>
      <c r="C1527" s="1766"/>
      <c r="D1527" s="1766"/>
      <c r="E1527" s="1766"/>
      <c r="F1527" s="1766"/>
      <c r="G1527" s="1766"/>
      <c r="H1527" s="1766"/>
      <c r="I1527" s="1766"/>
      <c r="J1527" s="1766"/>
      <c r="K1527" s="1766"/>
      <c r="L1527" s="1766"/>
      <c r="M1527" s="1766"/>
      <c r="N1527" s="1781"/>
      <c r="O1527" s="1766"/>
      <c r="P1527" s="1766"/>
      <c r="Q1527" s="1766"/>
      <c r="R1527" s="1766"/>
      <c r="S1527" s="1696"/>
      <c r="T1527" s="1696"/>
      <c r="U1527" s="1772"/>
      <c r="V1527" s="1696"/>
      <c r="W1527" s="1772"/>
      <c r="X1527" s="1696"/>
      <c r="Y1527" s="1696"/>
      <c r="Z1527" s="1773"/>
    </row>
    <row r="1528">
      <c r="A1528" s="1765"/>
      <c r="B1528" s="1782"/>
      <c r="C1528" s="1765"/>
      <c r="D1528" s="1765"/>
      <c r="E1528" s="1765"/>
      <c r="F1528" s="1765"/>
      <c r="G1528" s="1765"/>
      <c r="H1528" s="1765"/>
      <c r="I1528" s="1765"/>
      <c r="J1528" s="1765"/>
      <c r="K1528" s="1765"/>
      <c r="L1528" s="1765"/>
      <c r="M1528" s="1765"/>
      <c r="N1528" s="1765"/>
      <c r="O1528" s="1765"/>
      <c r="P1528" s="1765"/>
      <c r="Q1528" s="1766"/>
      <c r="R1528" s="1766"/>
      <c r="S1528" s="1696"/>
      <c r="T1528" s="1696"/>
      <c r="U1528" s="1772"/>
      <c r="V1528" s="1696"/>
      <c r="W1528" s="1772"/>
      <c r="X1528" s="1696"/>
      <c r="Y1528" s="1696"/>
      <c r="Z1528" s="1773"/>
    </row>
    <row r="1529">
      <c r="A1529" s="1771"/>
      <c r="B1529" s="1777"/>
      <c r="C1529" s="1771"/>
      <c r="D1529" s="1771"/>
      <c r="E1529" s="1771"/>
      <c r="F1529" s="1771"/>
      <c r="G1529" s="1770"/>
      <c r="H1529" s="1771"/>
      <c r="I1529" s="1770"/>
      <c r="J1529" s="1771"/>
      <c r="K1529" s="1771"/>
      <c r="L1529" s="1771"/>
      <c r="M1529" s="1771"/>
      <c r="N1529" s="1779"/>
      <c r="O1529" s="1770"/>
      <c r="P1529" s="1771"/>
      <c r="Q1529" s="1766"/>
      <c r="R1529" s="1766"/>
      <c r="S1529" s="1696"/>
      <c r="T1529" s="1696"/>
      <c r="U1529" s="1772"/>
      <c r="V1529" s="1696"/>
      <c r="W1529" s="1772"/>
      <c r="X1529" s="1696"/>
      <c r="Y1529" s="1696"/>
      <c r="Z1529" s="1773"/>
    </row>
    <row r="1530">
      <c r="A1530" s="1766"/>
      <c r="B1530" s="1780"/>
      <c r="C1530" s="1766"/>
      <c r="D1530" s="1766"/>
      <c r="E1530" s="1766"/>
      <c r="F1530" s="1766"/>
      <c r="G1530" s="1766"/>
      <c r="H1530" s="1766"/>
      <c r="I1530" s="1766"/>
      <c r="J1530" s="1766"/>
      <c r="K1530" s="1766"/>
      <c r="L1530" s="1766"/>
      <c r="M1530" s="1766"/>
      <c r="N1530" s="1781"/>
      <c r="O1530" s="1766"/>
      <c r="P1530" s="1766"/>
      <c r="Q1530" s="1766"/>
      <c r="R1530" s="1766"/>
      <c r="S1530" s="1696"/>
      <c r="T1530" s="1696"/>
      <c r="U1530" s="1772"/>
      <c r="V1530" s="1696"/>
      <c r="W1530" s="1772"/>
      <c r="X1530" s="1696"/>
      <c r="Y1530" s="1696"/>
      <c r="Z1530" s="1773"/>
    </row>
    <row r="1531">
      <c r="A1531" s="1765"/>
      <c r="B1531" s="1782"/>
      <c r="C1531" s="1765"/>
      <c r="D1531" s="1765"/>
      <c r="E1531" s="1765"/>
      <c r="F1531" s="1765"/>
      <c r="G1531" s="1765"/>
      <c r="H1531" s="1765"/>
      <c r="I1531" s="1765"/>
      <c r="J1531" s="1765"/>
      <c r="K1531" s="1765"/>
      <c r="L1531" s="1765"/>
      <c r="M1531" s="1765"/>
      <c r="N1531" s="1765"/>
      <c r="O1531" s="1765"/>
      <c r="P1531" s="1765"/>
      <c r="Q1531" s="1766"/>
      <c r="R1531" s="1766"/>
      <c r="S1531" s="1696"/>
      <c r="T1531" s="1696"/>
      <c r="U1531" s="1772"/>
      <c r="V1531" s="1696"/>
      <c r="W1531" s="1772"/>
      <c r="X1531" s="1696"/>
      <c r="Y1531" s="1696"/>
      <c r="Z1531" s="1773"/>
    </row>
    <row r="1532">
      <c r="A1532" s="1771"/>
      <c r="B1532" s="1777"/>
      <c r="C1532" s="1771"/>
      <c r="D1532" s="1771"/>
      <c r="E1532" s="1771"/>
      <c r="F1532" s="1771"/>
      <c r="G1532" s="1770"/>
      <c r="H1532" s="1771"/>
      <c r="I1532" s="1770"/>
      <c r="J1532" s="1771"/>
      <c r="K1532" s="1771"/>
      <c r="L1532" s="1771"/>
      <c r="M1532" s="1771"/>
      <c r="N1532" s="1779"/>
      <c r="O1532" s="1770"/>
      <c r="P1532" s="1771"/>
      <c r="Q1532" s="1766"/>
      <c r="R1532" s="1766"/>
      <c r="S1532" s="1696"/>
      <c r="T1532" s="1696"/>
      <c r="U1532" s="1772"/>
      <c r="V1532" s="1696"/>
      <c r="W1532" s="1772"/>
      <c r="X1532" s="1696"/>
      <c r="Y1532" s="1696"/>
      <c r="Z1532" s="1773"/>
    </row>
    <row r="1533">
      <c r="A1533" s="1766"/>
      <c r="B1533" s="1780"/>
      <c r="C1533" s="1766"/>
      <c r="D1533" s="1766"/>
      <c r="E1533" s="1766"/>
      <c r="F1533" s="1766"/>
      <c r="G1533" s="1766"/>
      <c r="H1533" s="1766"/>
      <c r="I1533" s="1766"/>
      <c r="J1533" s="1766"/>
      <c r="K1533" s="1766"/>
      <c r="L1533" s="1766"/>
      <c r="M1533" s="1766"/>
      <c r="N1533" s="1781"/>
      <c r="O1533" s="1766"/>
      <c r="P1533" s="1766"/>
      <c r="Q1533" s="1766"/>
      <c r="R1533" s="1766"/>
      <c r="S1533" s="1696"/>
      <c r="T1533" s="1696"/>
      <c r="U1533" s="1772"/>
      <c r="V1533" s="1696"/>
      <c r="W1533" s="1772"/>
      <c r="X1533" s="1696"/>
      <c r="Y1533" s="1696"/>
      <c r="Z1533" s="1773"/>
    </row>
    <row r="1534">
      <c r="A1534" s="1765"/>
      <c r="B1534" s="1782"/>
      <c r="C1534" s="1765"/>
      <c r="D1534" s="1765"/>
      <c r="E1534" s="1765"/>
      <c r="F1534" s="1765"/>
      <c r="G1534" s="1765"/>
      <c r="H1534" s="1765"/>
      <c r="I1534" s="1765"/>
      <c r="J1534" s="1765"/>
      <c r="K1534" s="1765"/>
      <c r="L1534" s="1765"/>
      <c r="M1534" s="1765"/>
      <c r="N1534" s="1765"/>
      <c r="O1534" s="1765"/>
      <c r="P1534" s="1765"/>
      <c r="Q1534" s="1766"/>
      <c r="R1534" s="1766"/>
      <c r="S1534" s="1696"/>
      <c r="T1534" s="1696"/>
      <c r="U1534" s="1772"/>
      <c r="V1534" s="1696"/>
      <c r="W1534" s="1772"/>
      <c r="X1534" s="1696"/>
      <c r="Y1534" s="1696"/>
      <c r="Z1534" s="1773"/>
    </row>
    <row r="1535">
      <c r="A1535" s="1771"/>
      <c r="B1535" s="1777"/>
      <c r="C1535" s="1771"/>
      <c r="D1535" s="1771"/>
      <c r="E1535" s="1771"/>
      <c r="F1535" s="1771"/>
      <c r="G1535" s="1777"/>
      <c r="H1535" s="1771"/>
      <c r="I1535" s="1770"/>
      <c r="J1535" s="1771"/>
      <c r="K1535" s="1771"/>
      <c r="L1535" s="1771"/>
      <c r="M1535" s="1771"/>
      <c r="N1535" s="1779"/>
      <c r="O1535" s="1770"/>
      <c r="P1535" s="1771"/>
      <c r="Q1535" s="1766"/>
      <c r="R1535" s="1766"/>
      <c r="S1535" s="1696"/>
      <c r="T1535" s="1696"/>
      <c r="U1535" s="1772"/>
      <c r="V1535" s="1696"/>
      <c r="W1535" s="1772"/>
      <c r="X1535" s="1696"/>
      <c r="Y1535" s="1696"/>
      <c r="Z1535" s="1773"/>
    </row>
    <row r="1536">
      <c r="A1536" s="1766"/>
      <c r="B1536" s="1780"/>
      <c r="C1536" s="1766"/>
      <c r="D1536" s="1766"/>
      <c r="E1536" s="1766"/>
      <c r="F1536" s="1766"/>
      <c r="G1536" s="1766"/>
      <c r="H1536" s="1766"/>
      <c r="I1536" s="1766"/>
      <c r="J1536" s="1766"/>
      <c r="K1536" s="1766"/>
      <c r="L1536" s="1766"/>
      <c r="M1536" s="1766"/>
      <c r="N1536" s="1781"/>
      <c r="O1536" s="1766"/>
      <c r="P1536" s="1766"/>
      <c r="Q1536" s="1766"/>
      <c r="R1536" s="1766"/>
      <c r="S1536" s="1696"/>
      <c r="T1536" s="1696"/>
      <c r="U1536" s="1772"/>
      <c r="V1536" s="1696"/>
      <c r="W1536" s="1772"/>
      <c r="X1536" s="1696"/>
      <c r="Y1536" s="1696"/>
      <c r="Z1536" s="1773"/>
    </row>
    <row r="1537">
      <c r="A1537" s="1765"/>
      <c r="B1537" s="1782"/>
      <c r="C1537" s="1765"/>
      <c r="D1537" s="1765"/>
      <c r="E1537" s="1765"/>
      <c r="F1537" s="1765"/>
      <c r="G1537" s="1765"/>
      <c r="H1537" s="1765"/>
      <c r="I1537" s="1765"/>
      <c r="J1537" s="1765"/>
      <c r="K1537" s="1765"/>
      <c r="L1537" s="1765"/>
      <c r="M1537" s="1765"/>
      <c r="N1537" s="1765"/>
      <c r="O1537" s="1765"/>
      <c r="P1537" s="1765"/>
      <c r="Q1537" s="1766"/>
      <c r="R1537" s="1766"/>
      <c r="S1537" s="1696"/>
      <c r="T1537" s="1696"/>
      <c r="U1537" s="1772"/>
      <c r="V1537" s="1696"/>
      <c r="W1537" s="1772"/>
      <c r="X1537" s="1696"/>
      <c r="Y1537" s="1696"/>
      <c r="Z1537" s="1773"/>
    </row>
    <row r="1538">
      <c r="A1538" s="1771"/>
      <c r="B1538" s="1777"/>
      <c r="C1538" s="1771"/>
      <c r="D1538" s="1771"/>
      <c r="E1538" s="1771"/>
      <c r="F1538" s="1771"/>
      <c r="G1538" s="1770"/>
      <c r="H1538" s="1771"/>
      <c r="I1538" s="1778"/>
      <c r="J1538" s="1771"/>
      <c r="K1538" s="1771"/>
      <c r="L1538" s="1771"/>
      <c r="M1538" s="1771"/>
      <c r="N1538" s="1779"/>
      <c r="O1538" s="1770"/>
      <c r="P1538" s="1771"/>
      <c r="Q1538" s="1766"/>
      <c r="R1538" s="1766"/>
      <c r="S1538" s="1696"/>
      <c r="T1538" s="1696"/>
      <c r="U1538" s="1772"/>
      <c r="V1538" s="1696"/>
      <c r="W1538" s="1772"/>
      <c r="X1538" s="1696"/>
      <c r="Y1538" s="1696"/>
      <c r="Z1538" s="1773"/>
    </row>
    <row r="1539">
      <c r="A1539" s="1766"/>
      <c r="B1539" s="1780"/>
      <c r="C1539" s="1766"/>
      <c r="D1539" s="1766"/>
      <c r="E1539" s="1766"/>
      <c r="F1539" s="1766"/>
      <c r="G1539" s="1766"/>
      <c r="H1539" s="1766"/>
      <c r="I1539" s="1766"/>
      <c r="J1539" s="1766"/>
      <c r="K1539" s="1766"/>
      <c r="L1539" s="1766"/>
      <c r="M1539" s="1766"/>
      <c r="N1539" s="1781"/>
      <c r="O1539" s="1766"/>
      <c r="P1539" s="1766"/>
      <c r="Q1539" s="1766"/>
      <c r="R1539" s="1766"/>
      <c r="S1539" s="1696"/>
      <c r="T1539" s="1696"/>
      <c r="U1539" s="1772"/>
      <c r="V1539" s="1696"/>
      <c r="W1539" s="1772"/>
      <c r="X1539" s="1696"/>
      <c r="Y1539" s="1696"/>
      <c r="Z1539" s="1773"/>
    </row>
    <row r="1540">
      <c r="A1540" s="1765"/>
      <c r="B1540" s="1782"/>
      <c r="C1540" s="1765"/>
      <c r="D1540" s="1765"/>
      <c r="E1540" s="1765"/>
      <c r="F1540" s="1765"/>
      <c r="G1540" s="1765"/>
      <c r="H1540" s="1765"/>
      <c r="I1540" s="1765"/>
      <c r="J1540" s="1765"/>
      <c r="K1540" s="1765"/>
      <c r="L1540" s="1765"/>
      <c r="M1540" s="1765"/>
      <c r="N1540" s="1765"/>
      <c r="O1540" s="1765"/>
      <c r="P1540" s="1765"/>
      <c r="Q1540" s="1766"/>
      <c r="R1540" s="1766"/>
      <c r="S1540" s="1696"/>
      <c r="T1540" s="1696"/>
      <c r="U1540" s="1772"/>
      <c r="V1540" s="1696"/>
      <c r="W1540" s="1772"/>
      <c r="X1540" s="1696"/>
      <c r="Y1540" s="1696"/>
      <c r="Z1540" s="1773"/>
    </row>
    <row r="1541">
      <c r="A1541" s="1771"/>
      <c r="B1541" s="1777"/>
      <c r="C1541" s="1771"/>
      <c r="D1541" s="1771"/>
      <c r="E1541" s="1771"/>
      <c r="F1541" s="1771"/>
      <c r="G1541" s="1770"/>
      <c r="H1541" s="1771"/>
      <c r="I1541" s="1778"/>
      <c r="J1541" s="1771"/>
      <c r="K1541" s="1771"/>
      <c r="L1541" s="1771"/>
      <c r="M1541" s="1771"/>
      <c r="N1541" s="1779"/>
      <c r="O1541" s="1770"/>
      <c r="P1541" s="1771"/>
      <c r="Q1541" s="1766"/>
      <c r="R1541" s="1766"/>
      <c r="S1541" s="1696"/>
      <c r="T1541" s="1696"/>
      <c r="U1541" s="1772"/>
      <c r="V1541" s="1696"/>
      <c r="W1541" s="1772"/>
      <c r="X1541" s="1696"/>
      <c r="Y1541" s="1696"/>
      <c r="Z1541" s="1773"/>
    </row>
    <row r="1542">
      <c r="A1542" s="1766"/>
      <c r="B1542" s="1780"/>
      <c r="C1542" s="1766"/>
      <c r="D1542" s="1766"/>
      <c r="E1542" s="1766"/>
      <c r="F1542" s="1766"/>
      <c r="G1542" s="1766"/>
      <c r="H1542" s="1766"/>
      <c r="I1542" s="1766"/>
      <c r="J1542" s="1766"/>
      <c r="K1542" s="1766"/>
      <c r="L1542" s="1766"/>
      <c r="M1542" s="1766"/>
      <c r="N1542" s="1781"/>
      <c r="O1542" s="1766"/>
      <c r="P1542" s="1766"/>
      <c r="Q1542" s="1766"/>
      <c r="R1542" s="1766"/>
      <c r="S1542" s="1696"/>
      <c r="T1542" s="1696"/>
      <c r="U1542" s="1772"/>
      <c r="V1542" s="1696"/>
      <c r="W1542" s="1772"/>
      <c r="X1542" s="1696"/>
      <c r="Y1542" s="1696"/>
      <c r="Z1542" s="1773"/>
    </row>
    <row r="1543">
      <c r="A1543" s="1765"/>
      <c r="B1543" s="1782"/>
      <c r="C1543" s="1765"/>
      <c r="D1543" s="1765"/>
      <c r="E1543" s="1765"/>
      <c r="F1543" s="1765"/>
      <c r="G1543" s="1765"/>
      <c r="H1543" s="1765"/>
      <c r="I1543" s="1765"/>
      <c r="J1543" s="1765"/>
      <c r="K1543" s="1765"/>
      <c r="L1543" s="1765"/>
      <c r="M1543" s="1765"/>
      <c r="N1543" s="1765"/>
      <c r="O1543" s="1765"/>
      <c r="P1543" s="1765"/>
      <c r="Q1543" s="1766"/>
      <c r="R1543" s="1766"/>
      <c r="S1543" s="1696"/>
      <c r="T1543" s="1696"/>
      <c r="U1543" s="1772"/>
      <c r="V1543" s="1696"/>
      <c r="W1543" s="1772"/>
      <c r="X1543" s="1696"/>
      <c r="Y1543" s="1696"/>
      <c r="Z1543" s="1773"/>
    </row>
    <row r="1544">
      <c r="A1544" s="1771"/>
      <c r="B1544" s="1777"/>
      <c r="C1544" s="1771"/>
      <c r="D1544" s="1771"/>
      <c r="E1544" s="1771"/>
      <c r="F1544" s="1771"/>
      <c r="G1544" s="1770"/>
      <c r="H1544" s="1771"/>
      <c r="I1544" s="1770"/>
      <c r="J1544" s="1771"/>
      <c r="K1544" s="1771"/>
      <c r="L1544" s="1771"/>
      <c r="M1544" s="1771"/>
      <c r="N1544" s="1779"/>
      <c r="O1544" s="1770"/>
      <c r="P1544" s="1771"/>
      <c r="Q1544" s="1766"/>
      <c r="R1544" s="1766"/>
      <c r="S1544" s="1696"/>
      <c r="T1544" s="1696"/>
      <c r="U1544" s="1772"/>
      <c r="V1544" s="1696"/>
      <c r="W1544" s="1772"/>
      <c r="X1544" s="1696"/>
      <c r="Y1544" s="1696"/>
      <c r="Z1544" s="1773"/>
    </row>
    <row r="1545">
      <c r="A1545" s="1766"/>
      <c r="B1545" s="1780"/>
      <c r="C1545" s="1766"/>
      <c r="D1545" s="1766"/>
      <c r="E1545" s="1766"/>
      <c r="F1545" s="1766"/>
      <c r="G1545" s="1766"/>
      <c r="H1545" s="1766"/>
      <c r="I1545" s="1766"/>
      <c r="J1545" s="1766"/>
      <c r="K1545" s="1766"/>
      <c r="L1545" s="1766"/>
      <c r="M1545" s="1766"/>
      <c r="N1545" s="1781"/>
      <c r="O1545" s="1766"/>
      <c r="P1545" s="1766"/>
      <c r="Q1545" s="1766"/>
      <c r="R1545" s="1766"/>
      <c r="S1545" s="1696"/>
      <c r="T1545" s="1696"/>
      <c r="U1545" s="1772"/>
      <c r="V1545" s="1696"/>
      <c r="W1545" s="1772"/>
      <c r="X1545" s="1696"/>
      <c r="Y1545" s="1696"/>
      <c r="Z1545" s="1773"/>
    </row>
    <row r="1546">
      <c r="A1546" s="1765"/>
      <c r="B1546" s="1782"/>
      <c r="C1546" s="1765"/>
      <c r="D1546" s="1765"/>
      <c r="E1546" s="1765"/>
      <c r="F1546" s="1765"/>
      <c r="G1546" s="1765"/>
      <c r="H1546" s="1765"/>
      <c r="I1546" s="1765"/>
      <c r="J1546" s="1765"/>
      <c r="K1546" s="1765"/>
      <c r="L1546" s="1765"/>
      <c r="M1546" s="1765"/>
      <c r="N1546" s="1765"/>
      <c r="O1546" s="1765"/>
      <c r="P1546" s="1765"/>
      <c r="Q1546" s="1766"/>
      <c r="R1546" s="1766"/>
      <c r="S1546" s="1696"/>
      <c r="T1546" s="1696"/>
      <c r="U1546" s="1772"/>
      <c r="V1546" s="1696"/>
      <c r="W1546" s="1772"/>
      <c r="X1546" s="1696"/>
      <c r="Y1546" s="1696"/>
      <c r="Z1546" s="1773"/>
    </row>
    <row r="1547">
      <c r="A1547" s="1771"/>
      <c r="B1547" s="1777"/>
      <c r="C1547" s="1771"/>
      <c r="D1547" s="1771"/>
      <c r="E1547" s="1771"/>
      <c r="F1547" s="1771"/>
      <c r="G1547" s="1771"/>
      <c r="H1547" s="1771"/>
      <c r="I1547" s="1778"/>
      <c r="J1547" s="1771"/>
      <c r="K1547" s="1771"/>
      <c r="L1547" s="1771"/>
      <c r="M1547" s="1771"/>
      <c r="N1547" s="1779"/>
      <c r="O1547" s="1770"/>
      <c r="P1547" s="1771"/>
      <c r="Q1547" s="1766"/>
      <c r="R1547" s="1766"/>
      <c r="S1547" s="1696"/>
      <c r="T1547" s="1696"/>
      <c r="U1547" s="1772"/>
      <c r="V1547" s="1696"/>
      <c r="W1547" s="1772"/>
      <c r="X1547" s="1696"/>
      <c r="Y1547" s="1696"/>
      <c r="Z1547" s="1773"/>
    </row>
    <row r="1548">
      <c r="A1548" s="1766"/>
      <c r="B1548" s="1780"/>
      <c r="C1548" s="1766"/>
      <c r="D1548" s="1766"/>
      <c r="E1548" s="1766"/>
      <c r="F1548" s="1766"/>
      <c r="G1548" s="1766"/>
      <c r="H1548" s="1766"/>
      <c r="I1548" s="1766"/>
      <c r="J1548" s="1766"/>
      <c r="K1548" s="1766"/>
      <c r="L1548" s="1766"/>
      <c r="M1548" s="1766"/>
      <c r="N1548" s="1781"/>
      <c r="O1548" s="1766"/>
      <c r="P1548" s="1766"/>
      <c r="Q1548" s="1766"/>
      <c r="R1548" s="1766"/>
      <c r="S1548" s="1696"/>
      <c r="T1548" s="1696"/>
      <c r="U1548" s="1772"/>
      <c r="V1548" s="1696"/>
      <c r="W1548" s="1772"/>
      <c r="X1548" s="1696"/>
      <c r="Y1548" s="1696"/>
      <c r="Z1548" s="1773"/>
    </row>
    <row r="1549">
      <c r="A1549" s="1765"/>
      <c r="B1549" s="1782"/>
      <c r="C1549" s="1765"/>
      <c r="D1549" s="1765"/>
      <c r="E1549" s="1765"/>
      <c r="F1549" s="1765"/>
      <c r="G1549" s="1765"/>
      <c r="H1549" s="1765"/>
      <c r="I1549" s="1765"/>
      <c r="J1549" s="1765"/>
      <c r="K1549" s="1765"/>
      <c r="L1549" s="1765"/>
      <c r="M1549" s="1765"/>
      <c r="N1549" s="1765"/>
      <c r="O1549" s="1765"/>
      <c r="P1549" s="1765"/>
      <c r="Q1549" s="1766"/>
      <c r="R1549" s="1766"/>
      <c r="S1549" s="1696"/>
      <c r="T1549" s="1696"/>
      <c r="U1549" s="1772"/>
      <c r="V1549" s="1696"/>
      <c r="W1549" s="1772"/>
      <c r="X1549" s="1696"/>
      <c r="Y1549" s="1696"/>
      <c r="Z1549" s="1773"/>
    </row>
    <row r="1550">
      <c r="A1550" s="1771"/>
      <c r="B1550" s="1777"/>
      <c r="C1550" s="1771"/>
      <c r="D1550" s="1771"/>
      <c r="E1550" s="1771"/>
      <c r="F1550" s="1771"/>
      <c r="G1550" s="1770"/>
      <c r="H1550" s="1771"/>
      <c r="I1550" s="1778"/>
      <c r="J1550" s="1771"/>
      <c r="K1550" s="1771"/>
      <c r="L1550" s="1771"/>
      <c r="M1550" s="1771"/>
      <c r="N1550" s="1779"/>
      <c r="O1550" s="1770"/>
      <c r="P1550" s="1771"/>
      <c r="Q1550" s="1766"/>
      <c r="R1550" s="1766"/>
      <c r="S1550" s="1696"/>
      <c r="T1550" s="1696"/>
      <c r="U1550" s="1772"/>
      <c r="V1550" s="1696"/>
      <c r="W1550" s="1772"/>
      <c r="X1550" s="1696"/>
      <c r="Y1550" s="1696"/>
      <c r="Z1550" s="1773"/>
    </row>
    <row r="1551">
      <c r="A1551" s="1766"/>
      <c r="B1551" s="1780"/>
      <c r="C1551" s="1766"/>
      <c r="D1551" s="1766"/>
      <c r="E1551" s="1766"/>
      <c r="F1551" s="1766"/>
      <c r="G1551" s="1766"/>
      <c r="H1551" s="1766"/>
      <c r="I1551" s="1766"/>
      <c r="J1551" s="1766"/>
      <c r="K1551" s="1766"/>
      <c r="L1551" s="1766"/>
      <c r="M1551" s="1766"/>
      <c r="N1551" s="1781"/>
      <c r="O1551" s="1766"/>
      <c r="P1551" s="1766"/>
      <c r="Q1551" s="1766"/>
      <c r="R1551" s="1766"/>
      <c r="S1551" s="1696"/>
      <c r="T1551" s="1696"/>
      <c r="U1551" s="1772"/>
      <c r="V1551" s="1696"/>
      <c r="W1551" s="1772"/>
      <c r="X1551" s="1696"/>
      <c r="Y1551" s="1696"/>
      <c r="Z1551" s="1773"/>
    </row>
    <row r="1552">
      <c r="A1552" s="1765"/>
      <c r="B1552" s="1782"/>
      <c r="C1552" s="1765"/>
      <c r="D1552" s="1765"/>
      <c r="E1552" s="1765"/>
      <c r="F1552" s="1765"/>
      <c r="G1552" s="1765"/>
      <c r="H1552" s="1765"/>
      <c r="I1552" s="1765"/>
      <c r="J1552" s="1765"/>
      <c r="K1552" s="1765"/>
      <c r="L1552" s="1765"/>
      <c r="M1552" s="1765"/>
      <c r="N1552" s="1765"/>
      <c r="O1552" s="1765"/>
      <c r="P1552" s="1765"/>
      <c r="Q1552" s="1766"/>
      <c r="R1552" s="1766"/>
      <c r="S1552" s="1696"/>
      <c r="T1552" s="1696"/>
      <c r="U1552" s="1772"/>
      <c r="V1552" s="1696"/>
      <c r="W1552" s="1772"/>
      <c r="X1552" s="1696"/>
      <c r="Y1552" s="1696"/>
      <c r="Z1552" s="1773"/>
    </row>
    <row r="1553">
      <c r="A1553" s="1771"/>
      <c r="B1553" s="1777"/>
      <c r="C1553" s="1771"/>
      <c r="D1553" s="1771"/>
      <c r="E1553" s="1771"/>
      <c r="F1553" s="1771"/>
      <c r="G1553" s="1770"/>
      <c r="H1553" s="1771"/>
      <c r="I1553" s="1778"/>
      <c r="J1553" s="1771"/>
      <c r="K1553" s="1771"/>
      <c r="L1553" s="1771"/>
      <c r="M1553" s="1771"/>
      <c r="N1553" s="1779"/>
      <c r="O1553" s="1770"/>
      <c r="P1553" s="1771"/>
      <c r="Q1553" s="1766"/>
      <c r="R1553" s="1766"/>
      <c r="S1553" s="1696"/>
      <c r="T1553" s="1696"/>
      <c r="U1553" s="1772"/>
      <c r="V1553" s="1696"/>
      <c r="W1553" s="1772"/>
      <c r="X1553" s="1696"/>
      <c r="Y1553" s="1696"/>
      <c r="Z1553" s="1773"/>
    </row>
    <row r="1554">
      <c r="A1554" s="1766"/>
      <c r="B1554" s="1780"/>
      <c r="C1554" s="1766"/>
      <c r="D1554" s="1766"/>
      <c r="E1554" s="1766"/>
      <c r="F1554" s="1766"/>
      <c r="G1554" s="1766"/>
      <c r="H1554" s="1766"/>
      <c r="I1554" s="1766"/>
      <c r="J1554" s="1766"/>
      <c r="K1554" s="1766"/>
      <c r="L1554" s="1766"/>
      <c r="M1554" s="1766"/>
      <c r="N1554" s="1781"/>
      <c r="O1554" s="1766"/>
      <c r="P1554" s="1766"/>
      <c r="Q1554" s="1766"/>
      <c r="R1554" s="1766"/>
      <c r="S1554" s="1696"/>
      <c r="T1554" s="1696"/>
      <c r="U1554" s="1772"/>
      <c r="V1554" s="1696"/>
      <c r="W1554" s="1772"/>
      <c r="X1554" s="1696"/>
      <c r="Y1554" s="1696"/>
      <c r="Z1554" s="1773"/>
    </row>
    <row r="1555">
      <c r="A1555" s="1765"/>
      <c r="B1555" s="1782"/>
      <c r="C1555" s="1765"/>
      <c r="D1555" s="1765"/>
      <c r="E1555" s="1765"/>
      <c r="F1555" s="1765"/>
      <c r="G1555" s="1765"/>
      <c r="H1555" s="1765"/>
      <c r="I1555" s="1765"/>
      <c r="J1555" s="1765"/>
      <c r="K1555" s="1765"/>
      <c r="L1555" s="1765"/>
      <c r="M1555" s="1765"/>
      <c r="N1555" s="1765"/>
      <c r="O1555" s="1765"/>
      <c r="P1555" s="1765"/>
      <c r="Q1555" s="1766"/>
      <c r="R1555" s="1766"/>
      <c r="S1555" s="1696"/>
      <c r="T1555" s="1696"/>
      <c r="U1555" s="1772"/>
      <c r="V1555" s="1696"/>
      <c r="W1555" s="1772"/>
      <c r="X1555" s="1696"/>
      <c r="Y1555" s="1696"/>
      <c r="Z1555" s="1773"/>
    </row>
    <row r="1556">
      <c r="A1556" s="1771"/>
      <c r="B1556" s="1777"/>
      <c r="C1556" s="1771"/>
      <c r="D1556" s="1771"/>
      <c r="E1556" s="1771"/>
      <c r="F1556" s="1771"/>
      <c r="G1556" s="1770"/>
      <c r="H1556" s="1771"/>
      <c r="I1556" s="1778"/>
      <c r="J1556" s="1771"/>
      <c r="K1556" s="1771"/>
      <c r="L1556" s="1771"/>
      <c r="M1556" s="1771"/>
      <c r="N1556" s="1779"/>
      <c r="O1556" s="1770"/>
      <c r="P1556" s="1771"/>
      <c r="Q1556" s="1766"/>
      <c r="R1556" s="1766"/>
      <c r="S1556" s="1696"/>
      <c r="T1556" s="1696"/>
      <c r="U1556" s="1772"/>
      <c r="V1556" s="1696"/>
      <c r="W1556" s="1772"/>
      <c r="X1556" s="1696"/>
      <c r="Y1556" s="1696"/>
      <c r="Z1556" s="1773"/>
    </row>
    <row r="1557">
      <c r="A1557" s="1766"/>
      <c r="B1557" s="1780"/>
      <c r="C1557" s="1766"/>
      <c r="D1557" s="1766"/>
      <c r="E1557" s="1766"/>
      <c r="F1557" s="1766"/>
      <c r="G1557" s="1766"/>
      <c r="H1557" s="1766"/>
      <c r="I1557" s="1766"/>
      <c r="J1557" s="1766"/>
      <c r="K1557" s="1766"/>
      <c r="L1557" s="1766"/>
      <c r="M1557" s="1766"/>
      <c r="N1557" s="1781"/>
      <c r="O1557" s="1766"/>
      <c r="P1557" s="1766"/>
      <c r="Q1557" s="1766"/>
      <c r="R1557" s="1766"/>
      <c r="S1557" s="1696"/>
      <c r="T1557" s="1696"/>
      <c r="U1557" s="1772"/>
      <c r="V1557" s="1696"/>
      <c r="W1557" s="1772"/>
      <c r="X1557" s="1696"/>
      <c r="Y1557" s="1696"/>
      <c r="Z1557" s="1773"/>
    </row>
    <row r="1558">
      <c r="A1558" s="1765"/>
      <c r="B1558" s="1782"/>
      <c r="C1558" s="1765"/>
      <c r="D1558" s="1765"/>
      <c r="E1558" s="1765"/>
      <c r="F1558" s="1765"/>
      <c r="G1558" s="1765"/>
      <c r="H1558" s="1765"/>
      <c r="I1558" s="1765"/>
      <c r="J1558" s="1765"/>
      <c r="K1558" s="1765"/>
      <c r="L1558" s="1765"/>
      <c r="M1558" s="1765"/>
      <c r="N1558" s="1765"/>
      <c r="O1558" s="1765"/>
      <c r="P1558" s="1765"/>
      <c r="Q1558" s="1766"/>
      <c r="R1558" s="1766"/>
      <c r="S1558" s="1696"/>
      <c r="T1558" s="1696"/>
      <c r="U1558" s="1772"/>
      <c r="V1558" s="1696"/>
      <c r="W1558" s="1772"/>
      <c r="X1558" s="1696"/>
      <c r="Y1558" s="1696"/>
      <c r="Z1558" s="1773"/>
    </row>
    <row r="1559">
      <c r="A1559" s="1771"/>
      <c r="B1559" s="1777"/>
      <c r="C1559" s="1771"/>
      <c r="D1559" s="1771"/>
      <c r="E1559" s="1771"/>
      <c r="F1559" s="1771"/>
      <c r="G1559" s="1770"/>
      <c r="H1559" s="1771"/>
      <c r="I1559" s="1778"/>
      <c r="J1559" s="1771"/>
      <c r="K1559" s="1771"/>
      <c r="L1559" s="1771"/>
      <c r="M1559" s="1771"/>
      <c r="N1559" s="1779"/>
      <c r="O1559" s="1770"/>
      <c r="P1559" s="1771"/>
      <c r="Q1559" s="1766"/>
      <c r="R1559" s="1766"/>
      <c r="S1559" s="1696"/>
      <c r="T1559" s="1696"/>
      <c r="U1559" s="1772"/>
      <c r="V1559" s="1696"/>
      <c r="W1559" s="1772"/>
      <c r="X1559" s="1696"/>
      <c r="Y1559" s="1696"/>
      <c r="Z1559" s="1773"/>
    </row>
    <row r="1560">
      <c r="A1560" s="1766"/>
      <c r="B1560" s="1780"/>
      <c r="C1560" s="1766"/>
      <c r="D1560" s="1766"/>
      <c r="E1560" s="1766"/>
      <c r="F1560" s="1766"/>
      <c r="G1560" s="1766"/>
      <c r="H1560" s="1766"/>
      <c r="I1560" s="1766"/>
      <c r="J1560" s="1766"/>
      <c r="K1560" s="1766"/>
      <c r="L1560" s="1766"/>
      <c r="M1560" s="1766"/>
      <c r="N1560" s="1781"/>
      <c r="O1560" s="1766"/>
      <c r="P1560" s="1766"/>
      <c r="Q1560" s="1766"/>
      <c r="R1560" s="1766"/>
      <c r="S1560" s="1696"/>
      <c r="T1560" s="1696"/>
      <c r="U1560" s="1772"/>
      <c r="V1560" s="1696"/>
      <c r="W1560" s="1772"/>
      <c r="X1560" s="1696"/>
      <c r="Y1560" s="1696"/>
      <c r="Z1560" s="1773"/>
    </row>
    <row r="1561">
      <c r="A1561" s="1765"/>
      <c r="B1561" s="1782"/>
      <c r="C1561" s="1765"/>
      <c r="D1561" s="1765"/>
      <c r="E1561" s="1765"/>
      <c r="F1561" s="1765"/>
      <c r="G1561" s="1765"/>
      <c r="H1561" s="1765"/>
      <c r="I1561" s="1765"/>
      <c r="J1561" s="1765"/>
      <c r="K1561" s="1765"/>
      <c r="L1561" s="1765"/>
      <c r="M1561" s="1765"/>
      <c r="N1561" s="1765"/>
      <c r="O1561" s="1765"/>
      <c r="P1561" s="1765"/>
      <c r="Q1561" s="1766"/>
      <c r="R1561" s="1766"/>
      <c r="S1561" s="1696"/>
      <c r="T1561" s="1696"/>
      <c r="U1561" s="1772"/>
      <c r="V1561" s="1696"/>
      <c r="W1561" s="1772"/>
      <c r="X1561" s="1696"/>
      <c r="Y1561" s="1696"/>
      <c r="Z1561" s="1773"/>
    </row>
    <row r="1562">
      <c r="A1562" s="1771"/>
      <c r="B1562" s="1777"/>
      <c r="C1562" s="1771"/>
      <c r="D1562" s="1771"/>
      <c r="E1562" s="1771"/>
      <c r="F1562" s="1771"/>
      <c r="G1562" s="1777"/>
      <c r="H1562" s="1771"/>
      <c r="I1562" s="1778"/>
      <c r="J1562" s="1771"/>
      <c r="K1562" s="1771"/>
      <c r="L1562" s="1771"/>
      <c r="M1562" s="1771"/>
      <c r="N1562" s="1779"/>
      <c r="O1562" s="1770"/>
      <c r="P1562" s="1771"/>
      <c r="Q1562" s="1766"/>
      <c r="R1562" s="1766"/>
      <c r="S1562" s="1696"/>
      <c r="T1562" s="1696"/>
      <c r="U1562" s="1772"/>
      <c r="V1562" s="1696"/>
      <c r="W1562" s="1772"/>
      <c r="X1562" s="1696"/>
      <c r="Y1562" s="1696"/>
      <c r="Z1562" s="1773"/>
    </row>
    <row r="1563">
      <c r="A1563" s="1766"/>
      <c r="B1563" s="1780"/>
      <c r="C1563" s="1766"/>
      <c r="D1563" s="1766"/>
      <c r="E1563" s="1766"/>
      <c r="F1563" s="1766"/>
      <c r="G1563" s="1766"/>
      <c r="H1563" s="1766"/>
      <c r="I1563" s="1766"/>
      <c r="J1563" s="1766"/>
      <c r="K1563" s="1766"/>
      <c r="L1563" s="1766"/>
      <c r="M1563" s="1766"/>
      <c r="N1563" s="1781"/>
      <c r="O1563" s="1766"/>
      <c r="P1563" s="1766"/>
      <c r="Q1563" s="1766"/>
      <c r="R1563" s="1766"/>
      <c r="S1563" s="1696"/>
      <c r="T1563" s="1696"/>
      <c r="U1563" s="1772"/>
      <c r="V1563" s="1696"/>
      <c r="W1563" s="1772"/>
      <c r="X1563" s="1696"/>
      <c r="Y1563" s="1696"/>
      <c r="Z1563" s="1773"/>
    </row>
    <row r="1564">
      <c r="A1564" s="1765"/>
      <c r="B1564" s="1782"/>
      <c r="C1564" s="1765"/>
      <c r="D1564" s="1765"/>
      <c r="E1564" s="1765"/>
      <c r="F1564" s="1765"/>
      <c r="G1564" s="1765"/>
      <c r="H1564" s="1765"/>
      <c r="I1564" s="1765"/>
      <c r="J1564" s="1765"/>
      <c r="K1564" s="1765"/>
      <c r="L1564" s="1765"/>
      <c r="M1564" s="1765"/>
      <c r="N1564" s="1765"/>
      <c r="O1564" s="1765"/>
      <c r="P1564" s="1765"/>
      <c r="Q1564" s="1766"/>
      <c r="R1564" s="1766"/>
      <c r="S1564" s="1696"/>
      <c r="T1564" s="1696"/>
      <c r="U1564" s="1772"/>
      <c r="V1564" s="1696"/>
      <c r="W1564" s="1772"/>
      <c r="X1564" s="1696"/>
      <c r="Y1564" s="1696"/>
      <c r="Z1564" s="1773"/>
    </row>
    <row r="1565">
      <c r="A1565" s="1771"/>
      <c r="B1565" s="1777"/>
      <c r="C1565" s="1771"/>
      <c r="D1565" s="1771"/>
      <c r="E1565" s="1771"/>
      <c r="F1565" s="1771"/>
      <c r="G1565" s="1770"/>
      <c r="H1565" s="1771"/>
      <c r="I1565" s="1778"/>
      <c r="J1565" s="1771"/>
      <c r="K1565" s="1771"/>
      <c r="L1565" s="1771"/>
      <c r="M1565" s="1771"/>
      <c r="N1565" s="1779"/>
      <c r="O1565" s="1770"/>
      <c r="P1565" s="1771"/>
      <c r="Q1565" s="1766"/>
      <c r="R1565" s="1766"/>
      <c r="S1565" s="1696"/>
      <c r="T1565" s="1696"/>
      <c r="U1565" s="1772"/>
      <c r="V1565" s="1696"/>
      <c r="W1565" s="1772"/>
      <c r="X1565" s="1696"/>
      <c r="Y1565" s="1696"/>
      <c r="Z1565" s="1773"/>
    </row>
    <row r="1566">
      <c r="A1566" s="1766"/>
      <c r="B1566" s="1780"/>
      <c r="C1566" s="1766"/>
      <c r="D1566" s="1766"/>
      <c r="E1566" s="1766"/>
      <c r="F1566" s="1766"/>
      <c r="G1566" s="1766"/>
      <c r="H1566" s="1766"/>
      <c r="I1566" s="1766"/>
      <c r="J1566" s="1766"/>
      <c r="K1566" s="1766"/>
      <c r="L1566" s="1766"/>
      <c r="M1566" s="1766"/>
      <c r="N1566" s="1781"/>
      <c r="O1566" s="1766"/>
      <c r="P1566" s="1766"/>
      <c r="Q1566" s="1766"/>
      <c r="R1566" s="1766"/>
      <c r="S1566" s="1696"/>
      <c r="T1566" s="1696"/>
      <c r="U1566" s="1772"/>
      <c r="V1566" s="1696"/>
      <c r="W1566" s="1772"/>
      <c r="X1566" s="1696"/>
      <c r="Y1566" s="1696"/>
      <c r="Z1566" s="1773"/>
    </row>
    <row r="1567">
      <c r="A1567" s="1765"/>
      <c r="B1567" s="1782"/>
      <c r="C1567" s="1765"/>
      <c r="D1567" s="1765"/>
      <c r="E1567" s="1765"/>
      <c r="F1567" s="1765"/>
      <c r="G1567" s="1765"/>
      <c r="H1567" s="1765"/>
      <c r="I1567" s="1765"/>
      <c r="J1567" s="1765"/>
      <c r="K1567" s="1765"/>
      <c r="L1567" s="1765"/>
      <c r="M1567" s="1765"/>
      <c r="N1567" s="1765"/>
      <c r="O1567" s="1765"/>
      <c r="P1567" s="1765"/>
      <c r="Q1567" s="1766"/>
      <c r="R1567" s="1766"/>
      <c r="S1567" s="1696"/>
      <c r="T1567" s="1696"/>
      <c r="U1567" s="1772"/>
      <c r="V1567" s="1696"/>
      <c r="W1567" s="1772"/>
      <c r="X1567" s="1696"/>
      <c r="Y1567" s="1696"/>
      <c r="Z1567" s="1773"/>
    </row>
    <row r="1568">
      <c r="A1568" s="1771"/>
      <c r="B1568" s="1777"/>
      <c r="C1568" s="1771"/>
      <c r="D1568" s="1771"/>
      <c r="E1568" s="1771"/>
      <c r="F1568" s="1771"/>
      <c r="G1568" s="1771"/>
      <c r="H1568" s="1771"/>
      <c r="I1568" s="1778"/>
      <c r="J1568" s="1771"/>
      <c r="K1568" s="1771"/>
      <c r="L1568" s="1771"/>
      <c r="M1568" s="1771"/>
      <c r="N1568" s="1779"/>
      <c r="O1568" s="1770"/>
      <c r="P1568" s="1771"/>
      <c r="Q1568" s="1766"/>
      <c r="R1568" s="1766"/>
      <c r="S1568" s="1696"/>
      <c r="T1568" s="1696"/>
      <c r="U1568" s="1772"/>
      <c r="V1568" s="1696"/>
      <c r="W1568" s="1772"/>
      <c r="X1568" s="1696"/>
      <c r="Y1568" s="1696"/>
      <c r="Z1568" s="1773"/>
    </row>
    <row r="1569">
      <c r="A1569" s="1766"/>
      <c r="B1569" s="1780"/>
      <c r="C1569" s="1766"/>
      <c r="D1569" s="1766"/>
      <c r="E1569" s="1766"/>
      <c r="F1569" s="1766"/>
      <c r="G1569" s="1766"/>
      <c r="H1569" s="1766"/>
      <c r="I1569" s="1766"/>
      <c r="J1569" s="1766"/>
      <c r="K1569" s="1766"/>
      <c r="L1569" s="1766"/>
      <c r="M1569" s="1766"/>
      <c r="N1569" s="1781"/>
      <c r="O1569" s="1766"/>
      <c r="P1569" s="1766"/>
      <c r="Q1569" s="1766"/>
      <c r="R1569" s="1766"/>
      <c r="S1569" s="1696"/>
      <c r="T1569" s="1696"/>
      <c r="U1569" s="1772"/>
      <c r="V1569" s="1696"/>
      <c r="W1569" s="1772"/>
      <c r="X1569" s="1696"/>
      <c r="Y1569" s="1696"/>
      <c r="Z1569" s="1773"/>
    </row>
    <row r="1570">
      <c r="A1570" s="1765"/>
      <c r="B1570" s="1782"/>
      <c r="C1570" s="1765"/>
      <c r="D1570" s="1765"/>
      <c r="E1570" s="1765"/>
      <c r="F1570" s="1765"/>
      <c r="G1570" s="1765"/>
      <c r="H1570" s="1765"/>
      <c r="I1570" s="1765"/>
      <c r="J1570" s="1765"/>
      <c r="K1570" s="1765"/>
      <c r="L1570" s="1765"/>
      <c r="M1570" s="1765"/>
      <c r="N1570" s="1765"/>
      <c r="O1570" s="1765"/>
      <c r="P1570" s="1765"/>
      <c r="Q1570" s="1766"/>
      <c r="R1570" s="1766"/>
      <c r="S1570" s="1696"/>
      <c r="T1570" s="1696"/>
      <c r="U1570" s="1772"/>
      <c r="V1570" s="1696"/>
      <c r="W1570" s="1772"/>
      <c r="X1570" s="1696"/>
      <c r="Y1570" s="1696"/>
      <c r="Z1570" s="1773"/>
    </row>
    <row r="1571">
      <c r="A1571" s="1771"/>
      <c r="B1571" s="1777"/>
      <c r="C1571" s="1771"/>
      <c r="D1571" s="1771"/>
      <c r="E1571" s="1771"/>
      <c r="F1571" s="1771"/>
      <c r="G1571" s="1771"/>
      <c r="H1571" s="1771"/>
      <c r="I1571" s="1770"/>
      <c r="J1571" s="1771"/>
      <c r="K1571" s="1771"/>
      <c r="L1571" s="1771"/>
      <c r="M1571" s="1771"/>
      <c r="N1571" s="1779"/>
      <c r="O1571" s="1770"/>
      <c r="P1571" s="1771"/>
      <c r="Q1571" s="1766"/>
      <c r="R1571" s="1766"/>
      <c r="S1571" s="1696"/>
      <c r="T1571" s="1696"/>
      <c r="U1571" s="1772"/>
      <c r="V1571" s="1696"/>
      <c r="W1571" s="1772"/>
      <c r="X1571" s="1696"/>
      <c r="Y1571" s="1696"/>
      <c r="Z1571" s="1773"/>
    </row>
    <row r="1572">
      <c r="A1572" s="1766"/>
      <c r="B1572" s="1780"/>
      <c r="C1572" s="1766"/>
      <c r="D1572" s="1766"/>
      <c r="E1572" s="1766"/>
      <c r="F1572" s="1766"/>
      <c r="G1572" s="1766"/>
      <c r="H1572" s="1766"/>
      <c r="I1572" s="1766"/>
      <c r="J1572" s="1766"/>
      <c r="K1572" s="1766"/>
      <c r="L1572" s="1766"/>
      <c r="M1572" s="1766"/>
      <c r="N1572" s="1781"/>
      <c r="O1572" s="1766"/>
      <c r="P1572" s="1766"/>
      <c r="Q1572" s="1766"/>
      <c r="R1572" s="1766"/>
      <c r="S1572" s="1696"/>
      <c r="T1572" s="1696"/>
      <c r="U1572" s="1772"/>
      <c r="V1572" s="1696"/>
      <c r="W1572" s="1772"/>
      <c r="X1572" s="1696"/>
      <c r="Y1572" s="1696"/>
      <c r="Z1572" s="1773"/>
    </row>
    <row r="1573">
      <c r="A1573" s="1765"/>
      <c r="B1573" s="1782"/>
      <c r="C1573" s="1765"/>
      <c r="D1573" s="1765"/>
      <c r="E1573" s="1765"/>
      <c r="F1573" s="1765"/>
      <c r="G1573" s="1765"/>
      <c r="H1573" s="1765"/>
      <c r="I1573" s="1765"/>
      <c r="J1573" s="1765"/>
      <c r="K1573" s="1765"/>
      <c r="L1573" s="1765"/>
      <c r="M1573" s="1765"/>
      <c r="N1573" s="1765"/>
      <c r="O1573" s="1765"/>
      <c r="P1573" s="1765"/>
      <c r="Q1573" s="1766"/>
      <c r="R1573" s="1766"/>
      <c r="S1573" s="1696"/>
      <c r="T1573" s="1696"/>
      <c r="U1573" s="1772"/>
      <c r="V1573" s="1696"/>
      <c r="W1573" s="1772"/>
      <c r="X1573" s="1696"/>
      <c r="Y1573" s="1696"/>
      <c r="Z1573" s="1773"/>
    </row>
    <row r="1574">
      <c r="A1574" s="1771"/>
      <c r="B1574" s="1777"/>
      <c r="C1574" s="1771"/>
      <c r="D1574" s="1771"/>
      <c r="E1574" s="1771"/>
      <c r="F1574" s="1771"/>
      <c r="G1574" s="1770"/>
      <c r="H1574" s="1771"/>
      <c r="I1574" s="1778"/>
      <c r="J1574" s="1771"/>
      <c r="K1574" s="1771"/>
      <c r="L1574" s="1771"/>
      <c r="M1574" s="1771"/>
      <c r="N1574" s="1779"/>
      <c r="O1574" s="1770"/>
      <c r="P1574" s="1771"/>
      <c r="Q1574" s="1766"/>
      <c r="R1574" s="1766"/>
      <c r="S1574" s="1696"/>
      <c r="T1574" s="1696"/>
      <c r="U1574" s="1772"/>
      <c r="V1574" s="1696"/>
      <c r="W1574" s="1772"/>
      <c r="X1574" s="1696"/>
      <c r="Y1574" s="1696"/>
      <c r="Z1574" s="1773"/>
    </row>
    <row r="1575">
      <c r="A1575" s="1766"/>
      <c r="B1575" s="1780"/>
      <c r="C1575" s="1766"/>
      <c r="D1575" s="1766"/>
      <c r="E1575" s="1766"/>
      <c r="F1575" s="1766"/>
      <c r="G1575" s="1766"/>
      <c r="H1575" s="1766"/>
      <c r="I1575" s="1766"/>
      <c r="J1575" s="1766"/>
      <c r="K1575" s="1766"/>
      <c r="L1575" s="1766"/>
      <c r="M1575" s="1766"/>
      <c r="N1575" s="1781"/>
      <c r="O1575" s="1766"/>
      <c r="P1575" s="1766"/>
      <c r="Q1575" s="1766"/>
      <c r="R1575" s="1766"/>
      <c r="S1575" s="1696"/>
      <c r="T1575" s="1696"/>
      <c r="U1575" s="1772"/>
      <c r="V1575" s="1696"/>
      <c r="W1575" s="1772"/>
      <c r="X1575" s="1696"/>
      <c r="Y1575" s="1696"/>
      <c r="Z1575" s="1773"/>
    </row>
    <row r="1576">
      <c r="A1576" s="1765"/>
      <c r="B1576" s="1782"/>
      <c r="C1576" s="1765"/>
      <c r="D1576" s="1765"/>
      <c r="E1576" s="1765"/>
      <c r="F1576" s="1765"/>
      <c r="G1576" s="1765"/>
      <c r="H1576" s="1765"/>
      <c r="I1576" s="1765"/>
      <c r="J1576" s="1765"/>
      <c r="K1576" s="1765"/>
      <c r="L1576" s="1765"/>
      <c r="M1576" s="1765"/>
      <c r="N1576" s="1765"/>
      <c r="O1576" s="1765"/>
      <c r="P1576" s="1765"/>
      <c r="Q1576" s="1766"/>
      <c r="R1576" s="1766"/>
      <c r="S1576" s="1696"/>
      <c r="T1576" s="1696"/>
      <c r="U1576" s="1772"/>
      <c r="V1576" s="1696"/>
      <c r="W1576" s="1772"/>
      <c r="X1576" s="1696"/>
      <c r="Y1576" s="1696"/>
      <c r="Z1576" s="1773"/>
    </row>
    <row r="1577">
      <c r="A1577" s="1771"/>
      <c r="B1577" s="1777"/>
      <c r="C1577" s="1771"/>
      <c r="D1577" s="1771"/>
      <c r="E1577" s="1771"/>
      <c r="F1577" s="1771"/>
      <c r="G1577" s="1777"/>
      <c r="H1577" s="1771"/>
      <c r="I1577" s="1770"/>
      <c r="J1577" s="1771"/>
      <c r="K1577" s="1771"/>
      <c r="L1577" s="1771"/>
      <c r="M1577" s="1771"/>
      <c r="N1577" s="1779"/>
      <c r="O1577" s="1770"/>
      <c r="P1577" s="1771"/>
      <c r="Q1577" s="1766"/>
      <c r="R1577" s="1766"/>
      <c r="S1577" s="1696"/>
      <c r="T1577" s="1696"/>
      <c r="U1577" s="1772"/>
      <c r="V1577" s="1696"/>
      <c r="W1577" s="1772"/>
      <c r="X1577" s="1696"/>
      <c r="Y1577" s="1696"/>
      <c r="Z1577" s="1773"/>
    </row>
    <row r="1578">
      <c r="A1578" s="1766"/>
      <c r="B1578" s="1780"/>
      <c r="C1578" s="1766"/>
      <c r="D1578" s="1766"/>
      <c r="E1578" s="1766"/>
      <c r="F1578" s="1766"/>
      <c r="G1578" s="1766"/>
      <c r="H1578" s="1766"/>
      <c r="I1578" s="1766"/>
      <c r="J1578" s="1766"/>
      <c r="K1578" s="1766"/>
      <c r="L1578" s="1766"/>
      <c r="M1578" s="1766"/>
      <c r="N1578" s="1781"/>
      <c r="O1578" s="1766"/>
      <c r="P1578" s="1766"/>
      <c r="Q1578" s="1766"/>
      <c r="R1578" s="1766"/>
      <c r="S1578" s="1696"/>
      <c r="T1578" s="1696"/>
      <c r="U1578" s="1772"/>
      <c r="V1578" s="1696"/>
      <c r="W1578" s="1772"/>
      <c r="X1578" s="1696"/>
      <c r="Y1578" s="1696"/>
      <c r="Z1578" s="1773"/>
    </row>
    <row r="1579">
      <c r="A1579" s="1765"/>
      <c r="B1579" s="1782"/>
      <c r="C1579" s="1765"/>
      <c r="D1579" s="1765"/>
      <c r="E1579" s="1765"/>
      <c r="F1579" s="1765"/>
      <c r="G1579" s="1765"/>
      <c r="H1579" s="1765"/>
      <c r="I1579" s="1765"/>
      <c r="J1579" s="1765"/>
      <c r="K1579" s="1765"/>
      <c r="L1579" s="1765"/>
      <c r="M1579" s="1765"/>
      <c r="N1579" s="1765"/>
      <c r="O1579" s="1765"/>
      <c r="P1579" s="1765"/>
      <c r="Q1579" s="1766"/>
      <c r="R1579" s="1766"/>
      <c r="S1579" s="1696"/>
      <c r="T1579" s="1696"/>
      <c r="U1579" s="1772"/>
      <c r="V1579" s="1696"/>
      <c r="W1579" s="1772"/>
      <c r="X1579" s="1696"/>
      <c r="Y1579" s="1696"/>
      <c r="Z1579" s="1773"/>
    </row>
    <row r="1580">
      <c r="A1580" s="1771"/>
      <c r="B1580" s="1777"/>
      <c r="C1580" s="1771"/>
      <c r="D1580" s="1771"/>
      <c r="E1580" s="1771"/>
      <c r="F1580" s="1771"/>
      <c r="G1580" s="1777"/>
      <c r="H1580" s="1771"/>
      <c r="I1580" s="1770"/>
      <c r="J1580" s="1771"/>
      <c r="K1580" s="1771"/>
      <c r="L1580" s="1771"/>
      <c r="M1580" s="1771"/>
      <c r="N1580" s="1779"/>
      <c r="O1580" s="1770"/>
      <c r="P1580" s="1771"/>
      <c r="Q1580" s="1766"/>
      <c r="R1580" s="1766"/>
      <c r="S1580" s="1696"/>
      <c r="T1580" s="1696"/>
      <c r="U1580" s="1772"/>
      <c r="V1580" s="1696"/>
      <c r="W1580" s="1772"/>
      <c r="X1580" s="1696"/>
      <c r="Y1580" s="1696"/>
      <c r="Z1580" s="1773"/>
    </row>
    <row r="1581">
      <c r="A1581" s="1766"/>
      <c r="B1581" s="1780"/>
      <c r="C1581" s="1766"/>
      <c r="D1581" s="1766"/>
      <c r="E1581" s="1766"/>
      <c r="F1581" s="1766"/>
      <c r="G1581" s="1766"/>
      <c r="H1581" s="1766"/>
      <c r="I1581" s="1766"/>
      <c r="J1581" s="1766"/>
      <c r="K1581" s="1766"/>
      <c r="L1581" s="1766"/>
      <c r="M1581" s="1766"/>
      <c r="N1581" s="1781"/>
      <c r="O1581" s="1766"/>
      <c r="P1581" s="1766"/>
      <c r="Q1581" s="1766"/>
      <c r="R1581" s="1766"/>
      <c r="S1581" s="1696"/>
      <c r="T1581" s="1696"/>
      <c r="U1581" s="1772"/>
      <c r="V1581" s="1696"/>
      <c r="W1581" s="1772"/>
      <c r="X1581" s="1696"/>
      <c r="Y1581" s="1696"/>
      <c r="Z1581" s="1773"/>
    </row>
    <row r="1582">
      <c r="A1582" s="1765"/>
      <c r="B1582" s="1782"/>
      <c r="C1582" s="1765"/>
      <c r="D1582" s="1765"/>
      <c r="E1582" s="1765"/>
      <c r="F1582" s="1765"/>
      <c r="G1582" s="1765"/>
      <c r="H1582" s="1765"/>
      <c r="I1582" s="1765"/>
      <c r="J1582" s="1765"/>
      <c r="K1582" s="1765"/>
      <c r="L1582" s="1765"/>
      <c r="M1582" s="1765"/>
      <c r="N1582" s="1765"/>
      <c r="O1582" s="1765"/>
      <c r="P1582" s="1765"/>
      <c r="Q1582" s="1766"/>
      <c r="R1582" s="1766"/>
      <c r="S1582" s="1696"/>
      <c r="T1582" s="1696"/>
      <c r="U1582" s="1772"/>
      <c r="V1582" s="1696"/>
      <c r="W1582" s="1772"/>
      <c r="X1582" s="1696"/>
      <c r="Y1582" s="1696"/>
      <c r="Z1582" s="1773"/>
    </row>
    <row r="1583">
      <c r="A1583" s="1771"/>
      <c r="B1583" s="1777"/>
      <c r="C1583" s="1771"/>
      <c r="D1583" s="1771"/>
      <c r="E1583" s="1771"/>
      <c r="F1583" s="1771"/>
      <c r="G1583" s="1777"/>
      <c r="H1583" s="1771"/>
      <c r="I1583" s="1770"/>
      <c r="J1583" s="1771"/>
      <c r="K1583" s="1771"/>
      <c r="L1583" s="1771"/>
      <c r="M1583" s="1771"/>
      <c r="N1583" s="1779"/>
      <c r="O1583" s="1770"/>
      <c r="P1583" s="1771"/>
      <c r="Q1583" s="1766"/>
      <c r="R1583" s="1766"/>
      <c r="S1583" s="1696"/>
      <c r="T1583" s="1696"/>
      <c r="U1583" s="1772"/>
      <c r="V1583" s="1696"/>
      <c r="W1583" s="1772"/>
      <c r="X1583" s="1696"/>
      <c r="Y1583" s="1696"/>
      <c r="Z1583" s="1773"/>
    </row>
    <row r="1584">
      <c r="A1584" s="1766"/>
      <c r="B1584" s="1780"/>
      <c r="C1584" s="1766"/>
      <c r="D1584" s="1766"/>
      <c r="E1584" s="1766"/>
      <c r="F1584" s="1766"/>
      <c r="G1584" s="1766"/>
      <c r="H1584" s="1766"/>
      <c r="I1584" s="1766"/>
      <c r="J1584" s="1766"/>
      <c r="K1584" s="1766"/>
      <c r="L1584" s="1766"/>
      <c r="M1584" s="1766"/>
      <c r="N1584" s="1781"/>
      <c r="O1584" s="1766"/>
      <c r="P1584" s="1766"/>
      <c r="Q1584" s="1766"/>
      <c r="R1584" s="1766"/>
      <c r="S1584" s="1696"/>
      <c r="T1584" s="1696"/>
      <c r="U1584" s="1772"/>
      <c r="V1584" s="1696"/>
      <c r="W1584" s="1772"/>
      <c r="X1584" s="1696"/>
      <c r="Y1584" s="1696"/>
      <c r="Z1584" s="1773"/>
    </row>
    <row r="1585">
      <c r="A1585" s="1765"/>
      <c r="B1585" s="1782"/>
      <c r="C1585" s="1765"/>
      <c r="D1585" s="1765"/>
      <c r="E1585" s="1765"/>
      <c r="F1585" s="1765"/>
      <c r="G1585" s="1765"/>
      <c r="H1585" s="1765"/>
      <c r="I1585" s="1765"/>
      <c r="J1585" s="1765"/>
      <c r="K1585" s="1765"/>
      <c r="L1585" s="1765"/>
      <c r="M1585" s="1765"/>
      <c r="N1585" s="1765"/>
      <c r="O1585" s="1765"/>
      <c r="P1585" s="1765"/>
      <c r="Q1585" s="1766"/>
      <c r="R1585" s="1766"/>
      <c r="S1585" s="1696"/>
      <c r="T1585" s="1696"/>
      <c r="U1585" s="1772"/>
      <c r="V1585" s="1696"/>
      <c r="W1585" s="1772"/>
      <c r="X1585" s="1696"/>
      <c r="Y1585" s="1696"/>
      <c r="Z1585" s="1773"/>
    </row>
    <row r="1586">
      <c r="A1586" s="1771"/>
      <c r="B1586" s="1777"/>
      <c r="C1586" s="1771"/>
      <c r="D1586" s="1771"/>
      <c r="E1586" s="1771"/>
      <c r="F1586" s="1771"/>
      <c r="G1586" s="1777"/>
      <c r="H1586" s="1771"/>
      <c r="I1586" s="1770"/>
      <c r="J1586" s="1771"/>
      <c r="K1586" s="1771"/>
      <c r="L1586" s="1771"/>
      <c r="M1586" s="1771"/>
      <c r="N1586" s="1779"/>
      <c r="O1586" s="1770"/>
      <c r="P1586" s="1771"/>
      <c r="Q1586" s="1766"/>
      <c r="R1586" s="1766"/>
      <c r="S1586" s="1696"/>
      <c r="T1586" s="1696"/>
      <c r="U1586" s="1772"/>
      <c r="V1586" s="1696"/>
      <c r="W1586" s="1772"/>
      <c r="X1586" s="1696"/>
      <c r="Y1586" s="1696"/>
      <c r="Z1586" s="1773"/>
    </row>
    <row r="1587">
      <c r="A1587" s="1766"/>
      <c r="B1587" s="1780"/>
      <c r="C1587" s="1766"/>
      <c r="D1587" s="1766"/>
      <c r="E1587" s="1766"/>
      <c r="F1587" s="1766"/>
      <c r="G1587" s="1766"/>
      <c r="H1587" s="1766"/>
      <c r="I1587" s="1766"/>
      <c r="J1587" s="1766"/>
      <c r="K1587" s="1766"/>
      <c r="L1587" s="1766"/>
      <c r="M1587" s="1766"/>
      <c r="N1587" s="1781"/>
      <c r="O1587" s="1766"/>
      <c r="P1587" s="1766"/>
      <c r="Q1587" s="1766"/>
      <c r="R1587" s="1766"/>
      <c r="S1587" s="1696"/>
      <c r="T1587" s="1696"/>
      <c r="U1587" s="1772"/>
      <c r="V1587" s="1696"/>
      <c r="W1587" s="1772"/>
      <c r="X1587" s="1696"/>
      <c r="Y1587" s="1696"/>
      <c r="Z1587" s="1773"/>
    </row>
    <row r="1588">
      <c r="A1588" s="1765"/>
      <c r="B1588" s="1782"/>
      <c r="C1588" s="1765"/>
      <c r="D1588" s="1765"/>
      <c r="E1588" s="1765"/>
      <c r="F1588" s="1765"/>
      <c r="G1588" s="1765"/>
      <c r="H1588" s="1765"/>
      <c r="I1588" s="1765"/>
      <c r="J1588" s="1765"/>
      <c r="K1588" s="1765"/>
      <c r="L1588" s="1765"/>
      <c r="M1588" s="1765"/>
      <c r="N1588" s="1765"/>
      <c r="O1588" s="1765"/>
      <c r="P1588" s="1765"/>
      <c r="Q1588" s="1766"/>
      <c r="R1588" s="1766"/>
      <c r="S1588" s="1696"/>
      <c r="T1588" s="1696"/>
      <c r="U1588" s="1772"/>
      <c r="V1588" s="1696"/>
      <c r="W1588" s="1772"/>
      <c r="X1588" s="1696"/>
      <c r="Y1588" s="1696"/>
      <c r="Z1588" s="1773"/>
    </row>
    <row r="1589">
      <c r="A1589" s="1771"/>
      <c r="B1589" s="1777"/>
      <c r="C1589" s="1771"/>
      <c r="D1589" s="1771"/>
      <c r="E1589" s="1771"/>
      <c r="F1589" s="1771"/>
      <c r="G1589" s="1777"/>
      <c r="H1589" s="1771"/>
      <c r="I1589" s="1770"/>
      <c r="J1589" s="1771"/>
      <c r="K1589" s="1771"/>
      <c r="L1589" s="1771"/>
      <c r="M1589" s="1771"/>
      <c r="N1589" s="1779"/>
      <c r="O1589" s="1770"/>
      <c r="P1589" s="1771"/>
      <c r="Q1589" s="1766"/>
      <c r="R1589" s="1766"/>
      <c r="S1589" s="1696"/>
      <c r="T1589" s="1696"/>
      <c r="U1589" s="1772"/>
      <c r="V1589" s="1696"/>
      <c r="W1589" s="1772"/>
      <c r="X1589" s="1696"/>
      <c r="Y1589" s="1696"/>
      <c r="Z1589" s="1773"/>
    </row>
    <row r="1590">
      <c r="A1590" s="1766"/>
      <c r="B1590" s="1780"/>
      <c r="C1590" s="1766"/>
      <c r="D1590" s="1766"/>
      <c r="E1590" s="1766"/>
      <c r="F1590" s="1766"/>
      <c r="G1590" s="1766"/>
      <c r="H1590" s="1766"/>
      <c r="I1590" s="1766"/>
      <c r="J1590" s="1766"/>
      <c r="K1590" s="1766"/>
      <c r="L1590" s="1766"/>
      <c r="M1590" s="1766"/>
      <c r="N1590" s="1781"/>
      <c r="O1590" s="1766"/>
      <c r="P1590" s="1766"/>
      <c r="Q1590" s="1766"/>
      <c r="R1590" s="1766"/>
      <c r="S1590" s="1696"/>
      <c r="T1590" s="1696"/>
      <c r="U1590" s="1772"/>
      <c r="V1590" s="1696"/>
      <c r="W1590" s="1772"/>
      <c r="X1590" s="1696"/>
      <c r="Y1590" s="1696"/>
      <c r="Z1590" s="1773"/>
    </row>
    <row r="1591">
      <c r="A1591" s="1765"/>
      <c r="B1591" s="1782"/>
      <c r="C1591" s="1765"/>
      <c r="D1591" s="1765"/>
      <c r="E1591" s="1765"/>
      <c r="F1591" s="1765"/>
      <c r="G1591" s="1765"/>
      <c r="H1591" s="1765"/>
      <c r="I1591" s="1765"/>
      <c r="J1591" s="1765"/>
      <c r="K1591" s="1765"/>
      <c r="L1591" s="1765"/>
      <c r="M1591" s="1765"/>
      <c r="N1591" s="1765"/>
      <c r="O1591" s="1765"/>
      <c r="P1591" s="1765"/>
      <c r="Q1591" s="1766"/>
      <c r="R1591" s="1766"/>
      <c r="S1591" s="1696"/>
      <c r="T1591" s="1696"/>
      <c r="U1591" s="1772"/>
      <c r="V1591" s="1696"/>
      <c r="W1591" s="1772"/>
      <c r="X1591" s="1696"/>
      <c r="Y1591" s="1696"/>
      <c r="Z1591" s="1773"/>
    </row>
    <row r="1592">
      <c r="A1592" s="1771"/>
      <c r="B1592" s="1777"/>
      <c r="C1592" s="1771"/>
      <c r="D1592" s="1771"/>
      <c r="E1592" s="1771"/>
      <c r="F1592" s="1771"/>
      <c r="G1592" s="1777"/>
      <c r="H1592" s="1771"/>
      <c r="I1592" s="1770"/>
      <c r="J1592" s="1771"/>
      <c r="K1592" s="1771"/>
      <c r="L1592" s="1771"/>
      <c r="M1592" s="1771"/>
      <c r="N1592" s="1779"/>
      <c r="O1592" s="1770"/>
      <c r="P1592" s="1771"/>
      <c r="Q1592" s="1766"/>
      <c r="R1592" s="1766"/>
      <c r="S1592" s="1696"/>
      <c r="T1592" s="1696"/>
      <c r="U1592" s="1772"/>
      <c r="V1592" s="1696"/>
      <c r="W1592" s="1772"/>
      <c r="X1592" s="1696"/>
      <c r="Y1592" s="1696"/>
      <c r="Z1592" s="1773"/>
    </row>
    <row r="1593">
      <c r="A1593" s="1766"/>
      <c r="B1593" s="1780"/>
      <c r="C1593" s="1766"/>
      <c r="D1593" s="1766"/>
      <c r="E1593" s="1766"/>
      <c r="F1593" s="1766"/>
      <c r="G1593" s="1766"/>
      <c r="H1593" s="1766"/>
      <c r="I1593" s="1766"/>
      <c r="J1593" s="1766"/>
      <c r="K1593" s="1766"/>
      <c r="L1593" s="1766"/>
      <c r="M1593" s="1766"/>
      <c r="N1593" s="1781"/>
      <c r="O1593" s="1766"/>
      <c r="P1593" s="1766"/>
      <c r="Q1593" s="1766"/>
      <c r="R1593" s="1766"/>
      <c r="S1593" s="1696"/>
      <c r="T1593" s="1696"/>
      <c r="U1593" s="1772"/>
      <c r="V1593" s="1696"/>
      <c r="W1593" s="1772"/>
      <c r="X1593" s="1696"/>
      <c r="Y1593" s="1696"/>
      <c r="Z1593" s="1773"/>
    </row>
    <row r="1594">
      <c r="A1594" s="1765"/>
      <c r="B1594" s="1782"/>
      <c r="C1594" s="1765"/>
      <c r="D1594" s="1765"/>
      <c r="E1594" s="1765"/>
      <c r="F1594" s="1765"/>
      <c r="G1594" s="1765"/>
      <c r="H1594" s="1765"/>
      <c r="I1594" s="1765"/>
      <c r="J1594" s="1765"/>
      <c r="K1594" s="1765"/>
      <c r="L1594" s="1765"/>
      <c r="M1594" s="1765"/>
      <c r="N1594" s="1765"/>
      <c r="O1594" s="1765"/>
      <c r="P1594" s="1765"/>
      <c r="Q1594" s="1766"/>
      <c r="R1594" s="1766"/>
      <c r="S1594" s="1696"/>
      <c r="T1594" s="1696"/>
      <c r="U1594" s="1772"/>
      <c r="V1594" s="1696"/>
      <c r="W1594" s="1772"/>
      <c r="X1594" s="1696"/>
      <c r="Y1594" s="1696"/>
      <c r="Z1594" s="1773"/>
    </row>
    <row r="1595">
      <c r="A1595" s="1771"/>
      <c r="B1595" s="1777"/>
      <c r="C1595" s="1771"/>
      <c r="D1595" s="1771"/>
      <c r="E1595" s="1771"/>
      <c r="F1595" s="1771"/>
      <c r="G1595" s="1777"/>
      <c r="H1595" s="1771"/>
      <c r="I1595" s="1770"/>
      <c r="J1595" s="1771"/>
      <c r="K1595" s="1771"/>
      <c r="L1595" s="1771"/>
      <c r="M1595" s="1771"/>
      <c r="N1595" s="1779"/>
      <c r="O1595" s="1770"/>
      <c r="P1595" s="1771"/>
      <c r="Q1595" s="1766"/>
      <c r="R1595" s="1766"/>
      <c r="S1595" s="1696"/>
      <c r="T1595" s="1696"/>
      <c r="U1595" s="1772"/>
      <c r="V1595" s="1696"/>
      <c r="W1595" s="1772"/>
      <c r="X1595" s="1696"/>
      <c r="Y1595" s="1696"/>
      <c r="Z1595" s="1773"/>
    </row>
    <row r="1596">
      <c r="A1596" s="1766"/>
      <c r="B1596" s="1780"/>
      <c r="C1596" s="1766"/>
      <c r="D1596" s="1766"/>
      <c r="E1596" s="1766"/>
      <c r="F1596" s="1766"/>
      <c r="G1596" s="1766"/>
      <c r="H1596" s="1766"/>
      <c r="I1596" s="1766"/>
      <c r="J1596" s="1766"/>
      <c r="K1596" s="1766"/>
      <c r="L1596" s="1766"/>
      <c r="M1596" s="1766"/>
      <c r="N1596" s="1781"/>
      <c r="O1596" s="1766"/>
      <c r="P1596" s="1766"/>
      <c r="Q1596" s="1766"/>
      <c r="R1596" s="1766"/>
      <c r="S1596" s="1696"/>
      <c r="T1596" s="1696"/>
      <c r="U1596" s="1772"/>
      <c r="V1596" s="1696"/>
      <c r="W1596" s="1772"/>
      <c r="X1596" s="1696"/>
      <c r="Y1596" s="1696"/>
      <c r="Z1596" s="1773"/>
    </row>
    <row r="1597">
      <c r="A1597" s="1765"/>
      <c r="B1597" s="1782"/>
      <c r="C1597" s="1765"/>
      <c r="D1597" s="1765"/>
      <c r="E1597" s="1765"/>
      <c r="F1597" s="1765"/>
      <c r="G1597" s="1765"/>
      <c r="H1597" s="1765"/>
      <c r="I1597" s="1765"/>
      <c r="J1597" s="1765"/>
      <c r="K1597" s="1765"/>
      <c r="L1597" s="1765"/>
      <c r="M1597" s="1765"/>
      <c r="N1597" s="1765"/>
      <c r="O1597" s="1765"/>
      <c r="P1597" s="1765"/>
      <c r="Q1597" s="1766"/>
      <c r="R1597" s="1766"/>
      <c r="S1597" s="1696"/>
      <c r="T1597" s="1696"/>
      <c r="U1597" s="1772"/>
      <c r="V1597" s="1696"/>
      <c r="W1597" s="1772"/>
      <c r="X1597" s="1696"/>
      <c r="Y1597" s="1696"/>
      <c r="Z1597" s="1773"/>
    </row>
    <row r="1598">
      <c r="A1598" s="1771"/>
      <c r="B1598" s="1777"/>
      <c r="C1598" s="1771"/>
      <c r="D1598" s="1771"/>
      <c r="E1598" s="1771"/>
      <c r="F1598" s="1771"/>
      <c r="G1598" s="1777"/>
      <c r="H1598" s="1771"/>
      <c r="I1598" s="1770"/>
      <c r="J1598" s="1771"/>
      <c r="K1598" s="1771"/>
      <c r="L1598" s="1771"/>
      <c r="M1598" s="1771"/>
      <c r="N1598" s="1779"/>
      <c r="O1598" s="1770"/>
      <c r="P1598" s="1771"/>
      <c r="Q1598" s="1766"/>
      <c r="R1598" s="1766"/>
      <c r="S1598" s="1696"/>
      <c r="T1598" s="1696"/>
      <c r="U1598" s="1772"/>
      <c r="V1598" s="1696"/>
      <c r="W1598" s="1772"/>
      <c r="X1598" s="1696"/>
      <c r="Y1598" s="1696"/>
      <c r="Z1598" s="1773"/>
    </row>
    <row r="1599">
      <c r="A1599" s="1766"/>
      <c r="B1599" s="1780"/>
      <c r="C1599" s="1766"/>
      <c r="D1599" s="1766"/>
      <c r="E1599" s="1766"/>
      <c r="F1599" s="1766"/>
      <c r="G1599" s="1766"/>
      <c r="H1599" s="1766"/>
      <c r="I1599" s="1766"/>
      <c r="J1599" s="1766"/>
      <c r="K1599" s="1766"/>
      <c r="L1599" s="1766"/>
      <c r="M1599" s="1766"/>
      <c r="N1599" s="1781"/>
      <c r="O1599" s="1766"/>
      <c r="P1599" s="1766"/>
      <c r="Q1599" s="1766"/>
      <c r="R1599" s="1766"/>
      <c r="S1599" s="1696"/>
      <c r="T1599" s="1696"/>
      <c r="U1599" s="1772"/>
      <c r="V1599" s="1696"/>
      <c r="W1599" s="1772"/>
      <c r="X1599" s="1696"/>
      <c r="Y1599" s="1696"/>
      <c r="Z1599" s="1773"/>
    </row>
    <row r="1600">
      <c r="A1600" s="1765"/>
      <c r="B1600" s="1782"/>
      <c r="C1600" s="1765"/>
      <c r="D1600" s="1765"/>
      <c r="E1600" s="1765"/>
      <c r="F1600" s="1765"/>
      <c r="G1600" s="1765"/>
      <c r="H1600" s="1765"/>
      <c r="I1600" s="1765"/>
      <c r="J1600" s="1765"/>
      <c r="K1600" s="1765"/>
      <c r="L1600" s="1765"/>
      <c r="M1600" s="1765"/>
      <c r="N1600" s="1765"/>
      <c r="O1600" s="1765"/>
      <c r="P1600" s="1765"/>
      <c r="Q1600" s="1766"/>
      <c r="R1600" s="1766"/>
      <c r="S1600" s="1696"/>
      <c r="T1600" s="1696"/>
      <c r="U1600" s="1772"/>
      <c r="V1600" s="1696"/>
      <c r="W1600" s="1772"/>
      <c r="X1600" s="1696"/>
      <c r="Y1600" s="1696"/>
      <c r="Z1600" s="1773"/>
    </row>
    <row r="1601">
      <c r="A1601" s="1771"/>
      <c r="B1601" s="1777"/>
      <c r="C1601" s="1771"/>
      <c r="D1601" s="1771"/>
      <c r="E1601" s="1771"/>
      <c r="F1601" s="1771"/>
      <c r="G1601" s="1777"/>
      <c r="H1601" s="1771"/>
      <c r="I1601" s="1770"/>
      <c r="J1601" s="1771"/>
      <c r="K1601" s="1771"/>
      <c r="L1601" s="1771"/>
      <c r="M1601" s="1771"/>
      <c r="N1601" s="1779"/>
      <c r="O1601" s="1770"/>
      <c r="P1601" s="1771"/>
      <c r="Q1601" s="1766"/>
      <c r="R1601" s="1766"/>
      <c r="S1601" s="1696"/>
      <c r="T1601" s="1696"/>
      <c r="U1601" s="1772"/>
      <c r="V1601" s="1696"/>
      <c r="W1601" s="1772"/>
      <c r="X1601" s="1696"/>
      <c r="Y1601" s="1696"/>
      <c r="Z1601" s="1773"/>
    </row>
    <row r="1602">
      <c r="A1602" s="1766"/>
      <c r="B1602" s="1780"/>
      <c r="C1602" s="1766"/>
      <c r="D1602" s="1766"/>
      <c r="E1602" s="1766"/>
      <c r="F1602" s="1766"/>
      <c r="G1602" s="1766"/>
      <c r="H1602" s="1766"/>
      <c r="I1602" s="1766"/>
      <c r="J1602" s="1766"/>
      <c r="K1602" s="1766"/>
      <c r="L1602" s="1766"/>
      <c r="M1602" s="1766"/>
      <c r="N1602" s="1781"/>
      <c r="O1602" s="1766"/>
      <c r="P1602" s="1766"/>
      <c r="Q1602" s="1766"/>
      <c r="R1602" s="1766"/>
      <c r="S1602" s="1696"/>
      <c r="T1602" s="1696"/>
      <c r="U1602" s="1772"/>
      <c r="V1602" s="1696"/>
      <c r="W1602" s="1772"/>
      <c r="X1602" s="1696"/>
      <c r="Y1602" s="1696"/>
      <c r="Z1602" s="1773"/>
    </row>
    <row r="1603">
      <c r="A1603" s="1765"/>
      <c r="B1603" s="1782"/>
      <c r="C1603" s="1765"/>
      <c r="D1603" s="1765"/>
      <c r="E1603" s="1765"/>
      <c r="F1603" s="1765"/>
      <c r="G1603" s="1765"/>
      <c r="H1603" s="1765"/>
      <c r="I1603" s="1765"/>
      <c r="J1603" s="1765"/>
      <c r="K1603" s="1765"/>
      <c r="L1603" s="1765"/>
      <c r="M1603" s="1765"/>
      <c r="N1603" s="1765"/>
      <c r="O1603" s="1765"/>
      <c r="P1603" s="1765"/>
      <c r="Q1603" s="1766"/>
      <c r="R1603" s="1766"/>
      <c r="S1603" s="1696"/>
      <c r="T1603" s="1696"/>
      <c r="U1603" s="1772"/>
      <c r="V1603" s="1696"/>
      <c r="W1603" s="1772"/>
      <c r="X1603" s="1696"/>
      <c r="Y1603" s="1696"/>
      <c r="Z1603" s="1773"/>
    </row>
    <row r="1604">
      <c r="A1604" s="1771"/>
      <c r="B1604" s="1777"/>
      <c r="C1604" s="1771"/>
      <c r="D1604" s="1771"/>
      <c r="E1604" s="1771"/>
      <c r="F1604" s="1771"/>
      <c r="G1604" s="1771"/>
      <c r="H1604" s="1771"/>
      <c r="I1604" s="1770"/>
      <c r="J1604" s="1771"/>
      <c r="K1604" s="1771"/>
      <c r="L1604" s="1771"/>
      <c r="M1604" s="1771"/>
      <c r="N1604" s="1779"/>
      <c r="O1604" s="1770"/>
      <c r="P1604" s="1771"/>
      <c r="Q1604" s="1766"/>
      <c r="R1604" s="1766"/>
      <c r="S1604" s="1696"/>
      <c r="T1604" s="1696"/>
      <c r="U1604" s="1772"/>
      <c r="V1604" s="1696"/>
      <c r="W1604" s="1772"/>
      <c r="X1604" s="1696"/>
      <c r="Y1604" s="1696"/>
      <c r="Z1604" s="1773"/>
    </row>
    <row r="1605">
      <c r="A1605" s="1766"/>
      <c r="B1605" s="1780"/>
      <c r="C1605" s="1766"/>
      <c r="D1605" s="1766"/>
      <c r="E1605" s="1766"/>
      <c r="F1605" s="1766"/>
      <c r="G1605" s="1766"/>
      <c r="H1605" s="1766"/>
      <c r="I1605" s="1766"/>
      <c r="J1605" s="1766"/>
      <c r="K1605" s="1766"/>
      <c r="L1605" s="1766"/>
      <c r="M1605" s="1766"/>
      <c r="N1605" s="1781"/>
      <c r="O1605" s="1766"/>
      <c r="P1605" s="1766"/>
      <c r="Q1605" s="1766"/>
      <c r="R1605" s="1766"/>
      <c r="S1605" s="1696"/>
      <c r="T1605" s="1696"/>
      <c r="U1605" s="1772"/>
      <c r="V1605" s="1696"/>
      <c r="W1605" s="1772"/>
      <c r="X1605" s="1696"/>
      <c r="Y1605" s="1696"/>
      <c r="Z1605" s="1773"/>
    </row>
    <row r="1606">
      <c r="A1606" s="1765"/>
      <c r="B1606" s="1782"/>
      <c r="C1606" s="1765"/>
      <c r="D1606" s="1765"/>
      <c r="E1606" s="1765"/>
      <c r="F1606" s="1765"/>
      <c r="G1606" s="1765"/>
      <c r="H1606" s="1765"/>
      <c r="I1606" s="1765"/>
      <c r="J1606" s="1765"/>
      <c r="K1606" s="1765"/>
      <c r="L1606" s="1765"/>
      <c r="M1606" s="1765"/>
      <c r="N1606" s="1765"/>
      <c r="O1606" s="1765"/>
      <c r="P1606" s="1765"/>
      <c r="Q1606" s="1766"/>
      <c r="R1606" s="1766"/>
      <c r="S1606" s="1696"/>
      <c r="T1606" s="1696"/>
      <c r="U1606" s="1772"/>
      <c r="V1606" s="1696"/>
      <c r="W1606" s="1772"/>
      <c r="X1606" s="1696"/>
      <c r="Y1606" s="1696"/>
      <c r="Z1606" s="1773"/>
    </row>
    <row r="1607">
      <c r="A1607" s="1771"/>
      <c r="B1607" s="1777"/>
      <c r="C1607" s="1771"/>
      <c r="D1607" s="1771"/>
      <c r="E1607" s="1771"/>
      <c r="F1607" s="1771"/>
      <c r="G1607" s="1777"/>
      <c r="H1607" s="1771"/>
      <c r="I1607" s="1770"/>
      <c r="J1607" s="1771"/>
      <c r="K1607" s="1771"/>
      <c r="L1607" s="1771"/>
      <c r="M1607" s="1771"/>
      <c r="N1607" s="1779"/>
      <c r="O1607" s="1770"/>
      <c r="P1607" s="1771"/>
      <c r="Q1607" s="1766"/>
      <c r="R1607" s="1766"/>
      <c r="S1607" s="1696"/>
      <c r="T1607" s="1696"/>
      <c r="U1607" s="1772"/>
      <c r="V1607" s="1696"/>
      <c r="W1607" s="1772"/>
      <c r="X1607" s="1696"/>
      <c r="Y1607" s="1696"/>
      <c r="Z1607" s="1773"/>
    </row>
    <row r="1608">
      <c r="A1608" s="1766"/>
      <c r="B1608" s="1780"/>
      <c r="C1608" s="1766"/>
      <c r="D1608" s="1766"/>
      <c r="E1608" s="1766"/>
      <c r="F1608" s="1766"/>
      <c r="G1608" s="1766"/>
      <c r="H1608" s="1766"/>
      <c r="I1608" s="1766"/>
      <c r="J1608" s="1766"/>
      <c r="K1608" s="1766"/>
      <c r="L1608" s="1766"/>
      <c r="M1608" s="1766"/>
      <c r="N1608" s="1781"/>
      <c r="O1608" s="1766"/>
      <c r="P1608" s="1766"/>
      <c r="Q1608" s="1766"/>
      <c r="R1608" s="1766"/>
      <c r="S1608" s="1696"/>
      <c r="T1608" s="1696"/>
      <c r="U1608" s="1772"/>
      <c r="V1608" s="1696"/>
      <c r="W1608" s="1772"/>
      <c r="X1608" s="1696"/>
      <c r="Y1608" s="1696"/>
      <c r="Z1608" s="1773"/>
    </row>
    <row r="1609">
      <c r="A1609" s="1765"/>
      <c r="B1609" s="1782"/>
      <c r="C1609" s="1765"/>
      <c r="D1609" s="1765"/>
      <c r="E1609" s="1765"/>
      <c r="F1609" s="1765"/>
      <c r="G1609" s="1765"/>
      <c r="H1609" s="1765"/>
      <c r="I1609" s="1765"/>
      <c r="J1609" s="1765"/>
      <c r="K1609" s="1765"/>
      <c r="L1609" s="1765"/>
      <c r="M1609" s="1765"/>
      <c r="N1609" s="1765"/>
      <c r="O1609" s="1765"/>
      <c r="P1609" s="1765"/>
      <c r="Q1609" s="1766"/>
      <c r="R1609" s="1766"/>
      <c r="S1609" s="1696"/>
      <c r="T1609" s="1696"/>
      <c r="U1609" s="1772"/>
      <c r="V1609" s="1696"/>
      <c r="W1609" s="1772"/>
      <c r="X1609" s="1696"/>
      <c r="Y1609" s="1696"/>
      <c r="Z1609" s="1773"/>
    </row>
    <row r="1610">
      <c r="A1610" s="1771"/>
      <c r="B1610" s="1777"/>
      <c r="C1610" s="1771"/>
      <c r="D1610" s="1771"/>
      <c r="E1610" s="1771"/>
      <c r="F1610" s="1771"/>
      <c r="G1610" s="1777"/>
      <c r="H1610" s="1771"/>
      <c r="I1610" s="1770"/>
      <c r="J1610" s="1771"/>
      <c r="K1610" s="1771"/>
      <c r="L1610" s="1771"/>
      <c r="M1610" s="1771"/>
      <c r="N1610" s="1779"/>
      <c r="O1610" s="1770"/>
      <c r="P1610" s="1771"/>
      <c r="Q1610" s="1766"/>
      <c r="R1610" s="1766"/>
      <c r="S1610" s="1696"/>
      <c r="T1610" s="1696"/>
      <c r="U1610" s="1772"/>
      <c r="V1610" s="1696"/>
      <c r="W1610" s="1772"/>
      <c r="X1610" s="1696"/>
      <c r="Y1610" s="1696"/>
      <c r="Z1610" s="1773"/>
    </row>
    <row r="1611">
      <c r="A1611" s="1766"/>
      <c r="B1611" s="1780"/>
      <c r="C1611" s="1766"/>
      <c r="D1611" s="1766"/>
      <c r="E1611" s="1766"/>
      <c r="F1611" s="1766"/>
      <c r="G1611" s="1766"/>
      <c r="H1611" s="1766"/>
      <c r="I1611" s="1766"/>
      <c r="J1611" s="1766"/>
      <c r="K1611" s="1766"/>
      <c r="L1611" s="1766"/>
      <c r="M1611" s="1766"/>
      <c r="N1611" s="1781"/>
      <c r="O1611" s="1766"/>
      <c r="P1611" s="1766"/>
      <c r="Q1611" s="1766"/>
      <c r="R1611" s="1766"/>
      <c r="S1611" s="1696"/>
      <c r="T1611" s="1696"/>
      <c r="U1611" s="1772"/>
      <c r="V1611" s="1696"/>
      <c r="W1611" s="1772"/>
      <c r="X1611" s="1696"/>
      <c r="Y1611" s="1696"/>
      <c r="Z1611" s="1773"/>
    </row>
    <row r="1612">
      <c r="A1612" s="1765"/>
      <c r="B1612" s="1782"/>
      <c r="C1612" s="1765"/>
      <c r="D1612" s="1765"/>
      <c r="E1612" s="1765"/>
      <c r="F1612" s="1765"/>
      <c r="G1612" s="1765"/>
      <c r="H1612" s="1765"/>
      <c r="I1612" s="1765"/>
      <c r="J1612" s="1765"/>
      <c r="K1612" s="1765"/>
      <c r="L1612" s="1765"/>
      <c r="M1612" s="1765"/>
      <c r="N1612" s="1765"/>
      <c r="O1612" s="1765"/>
      <c r="P1612" s="1765"/>
      <c r="Q1612" s="1766"/>
      <c r="R1612" s="1766"/>
      <c r="S1612" s="1696"/>
      <c r="T1612" s="1696"/>
      <c r="U1612" s="1772"/>
      <c r="V1612" s="1696"/>
      <c r="W1612" s="1772"/>
      <c r="X1612" s="1696"/>
      <c r="Y1612" s="1696"/>
      <c r="Z1612" s="1773"/>
    </row>
    <row r="1613">
      <c r="A1613" s="1771"/>
      <c r="B1613" s="1777"/>
      <c r="C1613" s="1771"/>
      <c r="D1613" s="1771"/>
      <c r="E1613" s="1771"/>
      <c r="F1613" s="1771"/>
      <c r="G1613" s="1771"/>
      <c r="H1613" s="1771"/>
      <c r="I1613" s="1770"/>
      <c r="J1613" s="1771"/>
      <c r="K1613" s="1771"/>
      <c r="L1613" s="1771"/>
      <c r="M1613" s="1771"/>
      <c r="N1613" s="1779"/>
      <c r="O1613" s="1770"/>
      <c r="P1613" s="1771"/>
      <c r="Q1613" s="1766"/>
      <c r="R1613" s="1766"/>
      <c r="S1613" s="1696"/>
      <c r="T1613" s="1696"/>
      <c r="U1613" s="1772"/>
      <c r="V1613" s="1696"/>
      <c r="W1613" s="1772"/>
      <c r="X1613" s="1696"/>
      <c r="Y1613" s="1696"/>
      <c r="Z1613" s="1773"/>
    </row>
    <row r="1614">
      <c r="A1614" s="1766"/>
      <c r="B1614" s="1780"/>
      <c r="C1614" s="1766"/>
      <c r="D1614" s="1766"/>
      <c r="E1614" s="1766"/>
      <c r="F1614" s="1766"/>
      <c r="G1614" s="1766"/>
      <c r="H1614" s="1766"/>
      <c r="I1614" s="1766"/>
      <c r="J1614" s="1766"/>
      <c r="K1614" s="1766"/>
      <c r="L1614" s="1766"/>
      <c r="M1614" s="1766"/>
      <c r="N1614" s="1781"/>
      <c r="O1614" s="1766"/>
      <c r="P1614" s="1766"/>
      <c r="Q1614" s="1766"/>
      <c r="R1614" s="1766"/>
      <c r="S1614" s="1696"/>
      <c r="T1614" s="1696"/>
      <c r="U1614" s="1772"/>
      <c r="V1614" s="1696"/>
      <c r="W1614" s="1772"/>
      <c r="X1614" s="1696"/>
      <c r="Y1614" s="1696"/>
      <c r="Z1614" s="1773"/>
    </row>
    <row r="1615">
      <c r="A1615" s="1765"/>
      <c r="B1615" s="1782"/>
      <c r="C1615" s="1765"/>
      <c r="D1615" s="1765"/>
      <c r="E1615" s="1765"/>
      <c r="F1615" s="1765"/>
      <c r="G1615" s="1765"/>
      <c r="H1615" s="1765"/>
      <c r="I1615" s="1765"/>
      <c r="J1615" s="1765"/>
      <c r="K1615" s="1765"/>
      <c r="L1615" s="1765"/>
      <c r="M1615" s="1765"/>
      <c r="N1615" s="1765"/>
      <c r="O1615" s="1765"/>
      <c r="P1615" s="1765"/>
      <c r="Q1615" s="1766"/>
      <c r="R1615" s="1766"/>
      <c r="S1615" s="1696"/>
      <c r="T1615" s="1696"/>
      <c r="U1615" s="1772"/>
      <c r="V1615" s="1696"/>
      <c r="W1615" s="1772"/>
      <c r="X1615" s="1696"/>
      <c r="Y1615" s="1696"/>
      <c r="Z1615" s="1773"/>
    </row>
    <row r="1616">
      <c r="A1616" s="1771"/>
      <c r="B1616" s="1777"/>
      <c r="C1616" s="1771"/>
      <c r="D1616" s="1771"/>
      <c r="E1616" s="1771"/>
      <c r="F1616" s="1771"/>
      <c r="G1616" s="1777"/>
      <c r="H1616" s="1771"/>
      <c r="I1616" s="1770"/>
      <c r="J1616" s="1771"/>
      <c r="K1616" s="1771"/>
      <c r="L1616" s="1771"/>
      <c r="M1616" s="1771"/>
      <c r="N1616" s="1779"/>
      <c r="O1616" s="1770"/>
      <c r="P1616" s="1771"/>
      <c r="Q1616" s="1766"/>
      <c r="R1616" s="1766"/>
      <c r="S1616" s="1696"/>
      <c r="T1616" s="1696"/>
      <c r="U1616" s="1772"/>
      <c r="V1616" s="1696"/>
      <c r="W1616" s="1772"/>
      <c r="X1616" s="1696"/>
      <c r="Y1616" s="1696"/>
      <c r="Z1616" s="1773"/>
    </row>
    <row r="1617">
      <c r="A1617" s="1766"/>
      <c r="B1617" s="1780"/>
      <c r="C1617" s="1766"/>
      <c r="D1617" s="1766"/>
      <c r="E1617" s="1766"/>
      <c r="F1617" s="1766"/>
      <c r="G1617" s="1766"/>
      <c r="H1617" s="1766"/>
      <c r="I1617" s="1766"/>
      <c r="J1617" s="1766"/>
      <c r="K1617" s="1766"/>
      <c r="L1617" s="1766"/>
      <c r="M1617" s="1766"/>
      <c r="N1617" s="1781"/>
      <c r="O1617" s="1766"/>
      <c r="P1617" s="1766"/>
      <c r="Q1617" s="1766"/>
      <c r="R1617" s="1766"/>
      <c r="S1617" s="1696"/>
      <c r="T1617" s="1696"/>
      <c r="U1617" s="1772"/>
      <c r="V1617" s="1696"/>
      <c r="W1617" s="1772"/>
      <c r="X1617" s="1696"/>
      <c r="Y1617" s="1696"/>
      <c r="Z1617" s="1773"/>
    </row>
    <row r="1618">
      <c r="A1618" s="1765"/>
      <c r="B1618" s="1782"/>
      <c r="C1618" s="1765"/>
      <c r="D1618" s="1765"/>
      <c r="E1618" s="1765"/>
      <c r="F1618" s="1765"/>
      <c r="G1618" s="1765"/>
      <c r="H1618" s="1765"/>
      <c r="I1618" s="1765"/>
      <c r="J1618" s="1765"/>
      <c r="K1618" s="1765"/>
      <c r="L1618" s="1765"/>
      <c r="M1618" s="1765"/>
      <c r="N1618" s="1765"/>
      <c r="O1618" s="1765"/>
      <c r="P1618" s="1765"/>
      <c r="Q1618" s="1766"/>
      <c r="R1618" s="1766"/>
      <c r="S1618" s="1696"/>
      <c r="T1618" s="1696"/>
      <c r="U1618" s="1772"/>
      <c r="V1618" s="1696"/>
      <c r="W1618" s="1772"/>
      <c r="X1618" s="1696"/>
      <c r="Y1618" s="1696"/>
      <c r="Z1618" s="1773"/>
    </row>
    <row r="1619">
      <c r="A1619" s="1771"/>
      <c r="B1619" s="1777"/>
      <c r="C1619" s="1771"/>
      <c r="D1619" s="1771"/>
      <c r="E1619" s="1771"/>
      <c r="F1619" s="1771"/>
      <c r="G1619" s="1777"/>
      <c r="H1619" s="1771"/>
      <c r="I1619" s="1770"/>
      <c r="J1619" s="1771"/>
      <c r="K1619" s="1771"/>
      <c r="L1619" s="1771"/>
      <c r="M1619" s="1771"/>
      <c r="N1619" s="1779"/>
      <c r="O1619" s="1770"/>
      <c r="P1619" s="1771"/>
      <c r="Q1619" s="1766"/>
      <c r="R1619" s="1766"/>
      <c r="S1619" s="1696"/>
      <c r="T1619" s="1696"/>
      <c r="U1619" s="1772"/>
      <c r="V1619" s="1696"/>
      <c r="W1619" s="1772"/>
      <c r="X1619" s="1696"/>
      <c r="Y1619" s="1696"/>
      <c r="Z1619" s="1773"/>
    </row>
    <row r="1620">
      <c r="A1620" s="1766"/>
      <c r="B1620" s="1780"/>
      <c r="C1620" s="1766"/>
      <c r="D1620" s="1766"/>
      <c r="E1620" s="1766"/>
      <c r="F1620" s="1766"/>
      <c r="G1620" s="1766"/>
      <c r="H1620" s="1766"/>
      <c r="I1620" s="1766"/>
      <c r="J1620" s="1766"/>
      <c r="K1620" s="1766"/>
      <c r="L1620" s="1766"/>
      <c r="M1620" s="1766"/>
      <c r="N1620" s="1781"/>
      <c r="O1620" s="1766"/>
      <c r="P1620" s="1766"/>
      <c r="Q1620" s="1766"/>
      <c r="R1620" s="1766"/>
      <c r="S1620" s="1696"/>
      <c r="T1620" s="1696"/>
      <c r="U1620" s="1772"/>
      <c r="V1620" s="1696"/>
      <c r="W1620" s="1772"/>
      <c r="X1620" s="1696"/>
      <c r="Y1620" s="1696"/>
      <c r="Z1620" s="1773"/>
    </row>
    <row r="1621">
      <c r="A1621" s="1765"/>
      <c r="B1621" s="1782"/>
      <c r="C1621" s="1765"/>
      <c r="D1621" s="1765"/>
      <c r="E1621" s="1765"/>
      <c r="F1621" s="1765"/>
      <c r="G1621" s="1765"/>
      <c r="H1621" s="1765"/>
      <c r="I1621" s="1765"/>
      <c r="J1621" s="1765"/>
      <c r="K1621" s="1765"/>
      <c r="L1621" s="1765"/>
      <c r="M1621" s="1765"/>
      <c r="N1621" s="1765"/>
      <c r="O1621" s="1765"/>
      <c r="P1621" s="1765"/>
      <c r="Q1621" s="1766"/>
      <c r="R1621" s="1766"/>
      <c r="S1621" s="1696"/>
      <c r="T1621" s="1696"/>
      <c r="U1621" s="1772"/>
      <c r="V1621" s="1696"/>
      <c r="W1621" s="1772"/>
      <c r="X1621" s="1696"/>
      <c r="Y1621" s="1696"/>
      <c r="Z1621" s="1773"/>
    </row>
    <row r="1622">
      <c r="A1622" s="1771"/>
      <c r="B1622" s="1777"/>
      <c r="C1622" s="1771"/>
      <c r="D1622" s="1771"/>
      <c r="E1622" s="1771"/>
      <c r="F1622" s="1771"/>
      <c r="G1622" s="1777"/>
      <c r="H1622" s="1771"/>
      <c r="I1622" s="1770"/>
      <c r="J1622" s="1771"/>
      <c r="K1622" s="1771"/>
      <c r="L1622" s="1771"/>
      <c r="M1622" s="1771"/>
      <c r="N1622" s="1779"/>
      <c r="O1622" s="1770"/>
      <c r="P1622" s="1771"/>
      <c r="Q1622" s="1766"/>
      <c r="R1622" s="1766"/>
      <c r="S1622" s="1696"/>
      <c r="T1622" s="1696"/>
      <c r="U1622" s="1772"/>
      <c r="V1622" s="1696"/>
      <c r="W1622" s="1772"/>
      <c r="X1622" s="1696"/>
      <c r="Y1622" s="1696"/>
      <c r="Z1622" s="1773"/>
    </row>
    <row r="1623">
      <c r="A1623" s="1766"/>
      <c r="B1623" s="1780"/>
      <c r="C1623" s="1766"/>
      <c r="D1623" s="1766"/>
      <c r="E1623" s="1766"/>
      <c r="F1623" s="1766"/>
      <c r="G1623" s="1766"/>
      <c r="H1623" s="1766"/>
      <c r="I1623" s="1766"/>
      <c r="J1623" s="1766"/>
      <c r="K1623" s="1766"/>
      <c r="L1623" s="1766"/>
      <c r="M1623" s="1766"/>
      <c r="N1623" s="1781"/>
      <c r="O1623" s="1766"/>
      <c r="P1623" s="1766"/>
      <c r="Q1623" s="1766"/>
      <c r="R1623" s="1766"/>
      <c r="S1623" s="1696"/>
      <c r="T1623" s="1696"/>
      <c r="U1623" s="1772"/>
      <c r="V1623" s="1696"/>
      <c r="W1623" s="1772"/>
      <c r="X1623" s="1696"/>
      <c r="Y1623" s="1696"/>
      <c r="Z1623" s="1773"/>
    </row>
    <row r="1624">
      <c r="A1624" s="1765"/>
      <c r="B1624" s="1782"/>
      <c r="C1624" s="1765"/>
      <c r="D1624" s="1765"/>
      <c r="E1624" s="1765"/>
      <c r="F1624" s="1765"/>
      <c r="G1624" s="1765"/>
      <c r="H1624" s="1765"/>
      <c r="I1624" s="1765"/>
      <c r="J1624" s="1765"/>
      <c r="K1624" s="1765"/>
      <c r="L1624" s="1765"/>
      <c r="M1624" s="1765"/>
      <c r="N1624" s="1765"/>
      <c r="O1624" s="1765"/>
      <c r="P1624" s="1765"/>
      <c r="Q1624" s="1766"/>
      <c r="R1624" s="1766"/>
      <c r="S1624" s="1696"/>
      <c r="T1624" s="1696"/>
      <c r="U1624" s="1772"/>
      <c r="V1624" s="1696"/>
      <c r="W1624" s="1772"/>
      <c r="X1624" s="1696"/>
      <c r="Y1624" s="1696"/>
      <c r="Z1624" s="1773"/>
    </row>
    <row r="1625">
      <c r="A1625" s="1771"/>
      <c r="B1625" s="1777"/>
      <c r="C1625" s="1771"/>
      <c r="D1625" s="1771"/>
      <c r="E1625" s="1771"/>
      <c r="F1625" s="1771"/>
      <c r="G1625" s="1777"/>
      <c r="H1625" s="1771"/>
      <c r="I1625" s="1770"/>
      <c r="J1625" s="1771"/>
      <c r="K1625" s="1771"/>
      <c r="L1625" s="1771"/>
      <c r="M1625" s="1771"/>
      <c r="N1625" s="1779"/>
      <c r="O1625" s="1770"/>
      <c r="P1625" s="1771"/>
      <c r="Q1625" s="1766"/>
      <c r="R1625" s="1766"/>
      <c r="S1625" s="1696"/>
      <c r="T1625" s="1696"/>
      <c r="U1625" s="1772"/>
      <c r="V1625" s="1696"/>
      <c r="W1625" s="1772"/>
      <c r="X1625" s="1696"/>
      <c r="Y1625" s="1696"/>
      <c r="Z1625" s="1773"/>
    </row>
    <row r="1626">
      <c r="A1626" s="1766"/>
      <c r="B1626" s="1780"/>
      <c r="C1626" s="1766"/>
      <c r="D1626" s="1766"/>
      <c r="E1626" s="1766"/>
      <c r="F1626" s="1766"/>
      <c r="G1626" s="1766"/>
      <c r="H1626" s="1766"/>
      <c r="I1626" s="1766"/>
      <c r="J1626" s="1766"/>
      <c r="K1626" s="1766"/>
      <c r="L1626" s="1766"/>
      <c r="M1626" s="1766"/>
      <c r="N1626" s="1781"/>
      <c r="O1626" s="1766"/>
      <c r="P1626" s="1766"/>
      <c r="Q1626" s="1766"/>
      <c r="R1626" s="1766"/>
      <c r="S1626" s="1696"/>
      <c r="T1626" s="1696"/>
      <c r="U1626" s="1772"/>
      <c r="V1626" s="1696"/>
      <c r="W1626" s="1772"/>
      <c r="X1626" s="1696"/>
      <c r="Y1626" s="1696"/>
      <c r="Z1626" s="1773"/>
    </row>
    <row r="1627">
      <c r="A1627" s="1765"/>
      <c r="B1627" s="1782"/>
      <c r="C1627" s="1765"/>
      <c r="D1627" s="1765"/>
      <c r="E1627" s="1765"/>
      <c r="F1627" s="1765"/>
      <c r="G1627" s="1765"/>
      <c r="H1627" s="1765"/>
      <c r="I1627" s="1765"/>
      <c r="J1627" s="1765"/>
      <c r="K1627" s="1765"/>
      <c r="L1627" s="1765"/>
      <c r="M1627" s="1765"/>
      <c r="N1627" s="1765"/>
      <c r="O1627" s="1765"/>
      <c r="P1627" s="1765"/>
      <c r="Q1627" s="1766"/>
      <c r="R1627" s="1766"/>
      <c r="S1627" s="1696"/>
      <c r="T1627" s="1696"/>
      <c r="U1627" s="1772"/>
      <c r="V1627" s="1696"/>
      <c r="W1627" s="1772"/>
      <c r="X1627" s="1696"/>
      <c r="Y1627" s="1696"/>
      <c r="Z1627" s="1773"/>
    </row>
    <row r="1628">
      <c r="A1628" s="1771"/>
      <c r="B1628" s="1777"/>
      <c r="C1628" s="1771"/>
      <c r="D1628" s="1771"/>
      <c r="E1628" s="1771"/>
      <c r="F1628" s="1771"/>
      <c r="G1628" s="1777"/>
      <c r="H1628" s="1771"/>
      <c r="I1628" s="1770"/>
      <c r="J1628" s="1771"/>
      <c r="K1628" s="1771"/>
      <c r="L1628" s="1771"/>
      <c r="M1628" s="1771"/>
      <c r="N1628" s="1779"/>
      <c r="O1628" s="1770"/>
      <c r="P1628" s="1771"/>
      <c r="Q1628" s="1766"/>
      <c r="R1628" s="1766"/>
      <c r="S1628" s="1696"/>
      <c r="T1628" s="1696"/>
      <c r="U1628" s="1772"/>
      <c r="V1628" s="1696"/>
      <c r="W1628" s="1772"/>
      <c r="X1628" s="1696"/>
      <c r="Y1628" s="1696"/>
      <c r="Z1628" s="1773"/>
    </row>
    <row r="1629">
      <c r="A1629" s="1766"/>
      <c r="B1629" s="1780"/>
      <c r="C1629" s="1766"/>
      <c r="D1629" s="1766"/>
      <c r="E1629" s="1766"/>
      <c r="F1629" s="1766"/>
      <c r="G1629" s="1766"/>
      <c r="H1629" s="1766"/>
      <c r="I1629" s="1766"/>
      <c r="J1629" s="1766"/>
      <c r="K1629" s="1766"/>
      <c r="L1629" s="1766"/>
      <c r="M1629" s="1766"/>
      <c r="N1629" s="1781"/>
      <c r="O1629" s="1766"/>
      <c r="P1629" s="1766"/>
      <c r="Q1629" s="1766"/>
      <c r="R1629" s="1766"/>
      <c r="S1629" s="1696"/>
      <c r="T1629" s="1696"/>
      <c r="U1629" s="1772"/>
      <c r="V1629" s="1696"/>
      <c r="W1629" s="1772"/>
      <c r="X1629" s="1696"/>
      <c r="Y1629" s="1696"/>
      <c r="Z1629" s="1773"/>
    </row>
    <row r="1630">
      <c r="A1630" s="1765"/>
      <c r="B1630" s="1782"/>
      <c r="C1630" s="1765"/>
      <c r="D1630" s="1765"/>
      <c r="E1630" s="1765"/>
      <c r="F1630" s="1765"/>
      <c r="G1630" s="1765"/>
      <c r="H1630" s="1765"/>
      <c r="I1630" s="1765"/>
      <c r="J1630" s="1765"/>
      <c r="K1630" s="1765"/>
      <c r="L1630" s="1765"/>
      <c r="M1630" s="1765"/>
      <c r="N1630" s="1765"/>
      <c r="O1630" s="1765"/>
      <c r="P1630" s="1765"/>
      <c r="Q1630" s="1766"/>
      <c r="R1630" s="1766"/>
      <c r="S1630" s="1696"/>
      <c r="T1630" s="1696"/>
      <c r="U1630" s="1772"/>
      <c r="V1630" s="1696"/>
      <c r="W1630" s="1772"/>
      <c r="X1630" s="1696"/>
      <c r="Y1630" s="1696"/>
      <c r="Z1630" s="1773"/>
    </row>
    <row r="1631">
      <c r="A1631" s="1771"/>
      <c r="B1631" s="1777"/>
      <c r="C1631" s="1771"/>
      <c r="D1631" s="1771"/>
      <c r="E1631" s="1771"/>
      <c r="F1631" s="1771"/>
      <c r="G1631" s="1777"/>
      <c r="H1631" s="1771"/>
      <c r="I1631" s="1770"/>
      <c r="J1631" s="1771"/>
      <c r="K1631" s="1771"/>
      <c r="L1631" s="1771"/>
      <c r="M1631" s="1771"/>
      <c r="N1631" s="1779"/>
      <c r="O1631" s="1770"/>
      <c r="P1631" s="1771"/>
      <c r="Q1631" s="1766"/>
      <c r="R1631" s="1766"/>
      <c r="S1631" s="1696"/>
      <c r="T1631" s="1696"/>
      <c r="U1631" s="1772"/>
      <c r="V1631" s="1696"/>
      <c r="W1631" s="1772"/>
      <c r="X1631" s="1696"/>
      <c r="Y1631" s="1696"/>
      <c r="Z1631" s="1773"/>
    </row>
    <row r="1632">
      <c r="A1632" s="1766"/>
      <c r="B1632" s="1780"/>
      <c r="C1632" s="1766"/>
      <c r="D1632" s="1766"/>
      <c r="E1632" s="1766"/>
      <c r="F1632" s="1766"/>
      <c r="G1632" s="1766"/>
      <c r="H1632" s="1766"/>
      <c r="I1632" s="1766"/>
      <c r="J1632" s="1766"/>
      <c r="K1632" s="1766"/>
      <c r="L1632" s="1766"/>
      <c r="M1632" s="1766"/>
      <c r="N1632" s="1781"/>
      <c r="O1632" s="1766"/>
      <c r="P1632" s="1766"/>
      <c r="Q1632" s="1766"/>
      <c r="R1632" s="1766"/>
      <c r="S1632" s="1696"/>
      <c r="T1632" s="1696"/>
      <c r="U1632" s="1772"/>
      <c r="V1632" s="1696"/>
      <c r="W1632" s="1772"/>
      <c r="X1632" s="1696"/>
      <c r="Y1632" s="1696"/>
      <c r="Z1632" s="1773"/>
    </row>
    <row r="1633">
      <c r="A1633" s="1765"/>
      <c r="B1633" s="1782"/>
      <c r="C1633" s="1765"/>
      <c r="D1633" s="1765"/>
      <c r="E1633" s="1765"/>
      <c r="F1633" s="1765"/>
      <c r="G1633" s="1765"/>
      <c r="H1633" s="1765"/>
      <c r="I1633" s="1765"/>
      <c r="J1633" s="1765"/>
      <c r="K1633" s="1765"/>
      <c r="L1633" s="1765"/>
      <c r="M1633" s="1765"/>
      <c r="N1633" s="1765"/>
      <c r="O1633" s="1765"/>
      <c r="P1633" s="1765"/>
      <c r="Q1633" s="1766"/>
      <c r="R1633" s="1766"/>
      <c r="S1633" s="1696"/>
      <c r="T1633" s="1696"/>
      <c r="U1633" s="1772"/>
      <c r="V1633" s="1696"/>
      <c r="W1633" s="1772"/>
      <c r="X1633" s="1696"/>
      <c r="Y1633" s="1696"/>
      <c r="Z1633" s="1773"/>
    </row>
    <row r="1634">
      <c r="A1634" s="1771"/>
      <c r="B1634" s="1777"/>
      <c r="C1634" s="1771"/>
      <c r="D1634" s="1771"/>
      <c r="E1634" s="1771"/>
      <c r="F1634" s="1771"/>
      <c r="G1634" s="1771"/>
      <c r="H1634" s="1771"/>
      <c r="I1634" s="1770"/>
      <c r="J1634" s="1771"/>
      <c r="K1634" s="1771"/>
      <c r="L1634" s="1771"/>
      <c r="M1634" s="1771"/>
      <c r="N1634" s="1779"/>
      <c r="O1634" s="1770"/>
      <c r="P1634" s="1771"/>
      <c r="Q1634" s="1766"/>
      <c r="R1634" s="1766"/>
      <c r="S1634" s="1696"/>
      <c r="T1634" s="1696"/>
      <c r="U1634" s="1772"/>
      <c r="V1634" s="1696"/>
      <c r="W1634" s="1772"/>
      <c r="X1634" s="1696"/>
      <c r="Y1634" s="1696"/>
      <c r="Z1634" s="1773"/>
    </row>
    <row r="1635">
      <c r="A1635" s="1766"/>
      <c r="B1635" s="1780"/>
      <c r="C1635" s="1766"/>
      <c r="D1635" s="1766"/>
      <c r="E1635" s="1766"/>
      <c r="F1635" s="1766"/>
      <c r="G1635" s="1766"/>
      <c r="H1635" s="1766"/>
      <c r="I1635" s="1766"/>
      <c r="J1635" s="1766"/>
      <c r="K1635" s="1766"/>
      <c r="L1635" s="1766"/>
      <c r="M1635" s="1766"/>
      <c r="N1635" s="1781"/>
      <c r="O1635" s="1766"/>
      <c r="P1635" s="1766"/>
      <c r="Q1635" s="1766"/>
      <c r="R1635" s="1766"/>
      <c r="S1635" s="1696"/>
      <c r="T1635" s="1696"/>
      <c r="U1635" s="1772"/>
      <c r="V1635" s="1696"/>
      <c r="W1635" s="1772"/>
      <c r="X1635" s="1696"/>
      <c r="Y1635" s="1696"/>
      <c r="Z1635" s="1773"/>
    </row>
    <row r="1636">
      <c r="A1636" s="1765"/>
      <c r="B1636" s="1782"/>
      <c r="C1636" s="1765"/>
      <c r="D1636" s="1765"/>
      <c r="E1636" s="1765"/>
      <c r="F1636" s="1765"/>
      <c r="G1636" s="1765"/>
      <c r="H1636" s="1765"/>
      <c r="I1636" s="1765"/>
      <c r="J1636" s="1765"/>
      <c r="K1636" s="1765"/>
      <c r="L1636" s="1765"/>
      <c r="M1636" s="1765"/>
      <c r="N1636" s="1765"/>
      <c r="O1636" s="1765"/>
      <c r="P1636" s="1765"/>
      <c r="Q1636" s="1766"/>
      <c r="R1636" s="1766"/>
      <c r="S1636" s="1696"/>
      <c r="T1636" s="1696"/>
      <c r="U1636" s="1772"/>
      <c r="V1636" s="1696"/>
      <c r="W1636" s="1772"/>
      <c r="X1636" s="1696"/>
      <c r="Y1636" s="1696"/>
      <c r="Z1636" s="1773"/>
    </row>
    <row r="1637">
      <c r="A1637" s="1771"/>
      <c r="B1637" s="1777"/>
      <c r="C1637" s="1771"/>
      <c r="D1637" s="1771"/>
      <c r="E1637" s="1771"/>
      <c r="F1637" s="1771"/>
      <c r="G1637" s="1771"/>
      <c r="H1637" s="1771"/>
      <c r="I1637" s="1770"/>
      <c r="J1637" s="1771"/>
      <c r="K1637" s="1771"/>
      <c r="L1637" s="1771"/>
      <c r="M1637" s="1771"/>
      <c r="N1637" s="1779"/>
      <c r="O1637" s="1770"/>
      <c r="P1637" s="1771"/>
      <c r="Q1637" s="1766"/>
      <c r="R1637" s="1766"/>
      <c r="S1637" s="1696"/>
      <c r="T1637" s="1696"/>
      <c r="U1637" s="1772"/>
      <c r="V1637" s="1696"/>
      <c r="W1637" s="1772"/>
      <c r="X1637" s="1696"/>
      <c r="Y1637" s="1696"/>
      <c r="Z1637" s="1773"/>
    </row>
    <row r="1638">
      <c r="A1638" s="1766"/>
      <c r="B1638" s="1780"/>
      <c r="C1638" s="1766"/>
      <c r="D1638" s="1766"/>
      <c r="E1638" s="1766"/>
      <c r="F1638" s="1766"/>
      <c r="G1638" s="1766"/>
      <c r="H1638" s="1766"/>
      <c r="I1638" s="1766"/>
      <c r="J1638" s="1766"/>
      <c r="K1638" s="1766"/>
      <c r="L1638" s="1766"/>
      <c r="M1638" s="1766"/>
      <c r="N1638" s="1781"/>
      <c r="O1638" s="1766"/>
      <c r="P1638" s="1766"/>
      <c r="Q1638" s="1766"/>
      <c r="R1638" s="1766"/>
      <c r="S1638" s="1696"/>
      <c r="T1638" s="1696"/>
      <c r="U1638" s="1772"/>
      <c r="V1638" s="1696"/>
      <c r="W1638" s="1772"/>
      <c r="X1638" s="1696"/>
      <c r="Y1638" s="1696"/>
      <c r="Z1638" s="1773"/>
    </row>
    <row r="1639">
      <c r="A1639" s="1765"/>
      <c r="B1639" s="1782"/>
      <c r="C1639" s="1765"/>
      <c r="D1639" s="1765"/>
      <c r="E1639" s="1765"/>
      <c r="F1639" s="1765"/>
      <c r="G1639" s="1765"/>
      <c r="H1639" s="1765"/>
      <c r="I1639" s="1765"/>
      <c r="J1639" s="1765"/>
      <c r="K1639" s="1765"/>
      <c r="L1639" s="1765"/>
      <c r="M1639" s="1765"/>
      <c r="N1639" s="1765"/>
      <c r="O1639" s="1765"/>
      <c r="P1639" s="1765"/>
      <c r="Q1639" s="1766"/>
      <c r="R1639" s="1766"/>
      <c r="S1639" s="1696"/>
      <c r="T1639" s="1696"/>
      <c r="U1639" s="1772"/>
      <c r="V1639" s="1696"/>
      <c r="W1639" s="1772"/>
      <c r="X1639" s="1696"/>
      <c r="Y1639" s="1696"/>
      <c r="Z1639" s="1773"/>
    </row>
    <row r="1640">
      <c r="A1640" s="1771"/>
      <c r="B1640" s="1777"/>
      <c r="C1640" s="1771"/>
      <c r="D1640" s="1771"/>
      <c r="E1640" s="1771"/>
      <c r="F1640" s="1771"/>
      <c r="G1640" s="1777"/>
      <c r="H1640" s="1771"/>
      <c r="I1640" s="1770"/>
      <c r="J1640" s="1771"/>
      <c r="K1640" s="1771"/>
      <c r="L1640" s="1771"/>
      <c r="M1640" s="1771"/>
      <c r="N1640" s="1779"/>
      <c r="O1640" s="1770"/>
      <c r="P1640" s="1771"/>
      <c r="Q1640" s="1766"/>
      <c r="R1640" s="1766"/>
      <c r="S1640" s="1696"/>
      <c r="T1640" s="1696"/>
      <c r="U1640" s="1772"/>
      <c r="V1640" s="1696"/>
      <c r="W1640" s="1772"/>
      <c r="X1640" s="1696"/>
      <c r="Y1640" s="1696"/>
      <c r="Z1640" s="1773"/>
    </row>
    <row r="1641">
      <c r="A1641" s="1766"/>
      <c r="B1641" s="1780"/>
      <c r="C1641" s="1766"/>
      <c r="D1641" s="1766"/>
      <c r="E1641" s="1766"/>
      <c r="F1641" s="1766"/>
      <c r="G1641" s="1766"/>
      <c r="H1641" s="1766"/>
      <c r="I1641" s="1766"/>
      <c r="J1641" s="1766"/>
      <c r="K1641" s="1766"/>
      <c r="L1641" s="1766"/>
      <c r="M1641" s="1766"/>
      <c r="N1641" s="1781"/>
      <c r="O1641" s="1766"/>
      <c r="P1641" s="1766"/>
      <c r="Q1641" s="1766"/>
      <c r="R1641" s="1766"/>
      <c r="S1641" s="1696"/>
      <c r="T1641" s="1696"/>
      <c r="U1641" s="1772"/>
      <c r="V1641" s="1696"/>
      <c r="W1641" s="1772"/>
      <c r="X1641" s="1696"/>
      <c r="Y1641" s="1696"/>
      <c r="Z1641" s="1773"/>
    </row>
    <row r="1642">
      <c r="A1642" s="1765"/>
      <c r="B1642" s="1782"/>
      <c r="C1642" s="1765"/>
      <c r="D1642" s="1765"/>
      <c r="E1642" s="1765"/>
      <c r="F1642" s="1765"/>
      <c r="G1642" s="1765"/>
      <c r="H1642" s="1765"/>
      <c r="I1642" s="1765"/>
      <c r="J1642" s="1765"/>
      <c r="K1642" s="1765"/>
      <c r="L1642" s="1765"/>
      <c r="M1642" s="1765"/>
      <c r="N1642" s="1765"/>
      <c r="O1642" s="1765"/>
      <c r="P1642" s="1765"/>
      <c r="Q1642" s="1766"/>
      <c r="R1642" s="1766"/>
      <c r="S1642" s="1696"/>
      <c r="T1642" s="1696"/>
      <c r="U1642" s="1772"/>
      <c r="V1642" s="1696"/>
      <c r="W1642" s="1772"/>
      <c r="X1642" s="1696"/>
      <c r="Y1642" s="1696"/>
      <c r="Z1642" s="1773"/>
    </row>
    <row r="1643">
      <c r="A1643" s="1771"/>
      <c r="B1643" s="1777"/>
      <c r="C1643" s="1771"/>
      <c r="D1643" s="1771"/>
      <c r="E1643" s="1771"/>
      <c r="F1643" s="1771"/>
      <c r="G1643" s="1777"/>
      <c r="H1643" s="1771"/>
      <c r="I1643" s="1778"/>
      <c r="J1643" s="1771"/>
      <c r="K1643" s="1771"/>
      <c r="L1643" s="1771"/>
      <c r="M1643" s="1771"/>
      <c r="N1643" s="1779"/>
      <c r="O1643" s="1770"/>
      <c r="P1643" s="1771"/>
      <c r="Q1643" s="1766"/>
      <c r="R1643" s="1766"/>
      <c r="S1643" s="1696"/>
      <c r="T1643" s="1696"/>
      <c r="U1643" s="1772"/>
      <c r="V1643" s="1696"/>
      <c r="W1643" s="1772"/>
      <c r="X1643" s="1696"/>
      <c r="Y1643" s="1696"/>
      <c r="Z1643" s="1773"/>
    </row>
    <row r="1644">
      <c r="A1644" s="1766"/>
      <c r="B1644" s="1780"/>
      <c r="C1644" s="1766"/>
      <c r="D1644" s="1766"/>
      <c r="E1644" s="1766"/>
      <c r="F1644" s="1766"/>
      <c r="G1644" s="1766"/>
      <c r="H1644" s="1766"/>
      <c r="I1644" s="1766"/>
      <c r="J1644" s="1766"/>
      <c r="K1644" s="1766"/>
      <c r="L1644" s="1766"/>
      <c r="M1644" s="1766"/>
      <c r="N1644" s="1781"/>
      <c r="O1644" s="1766"/>
      <c r="P1644" s="1766"/>
      <c r="Q1644" s="1766"/>
      <c r="R1644" s="1766"/>
      <c r="S1644" s="1696"/>
      <c r="T1644" s="1696"/>
      <c r="U1644" s="1772"/>
      <c r="V1644" s="1696"/>
      <c r="W1644" s="1772"/>
      <c r="X1644" s="1696"/>
      <c r="Y1644" s="1696"/>
      <c r="Z1644" s="1773"/>
    </row>
    <row r="1645">
      <c r="A1645" s="1765"/>
      <c r="B1645" s="1782"/>
      <c r="C1645" s="1765"/>
      <c r="D1645" s="1765"/>
      <c r="E1645" s="1765"/>
      <c r="F1645" s="1765"/>
      <c r="G1645" s="1765"/>
      <c r="H1645" s="1765"/>
      <c r="I1645" s="1765"/>
      <c r="J1645" s="1765"/>
      <c r="K1645" s="1765"/>
      <c r="L1645" s="1765"/>
      <c r="M1645" s="1765"/>
      <c r="N1645" s="1765"/>
      <c r="O1645" s="1765"/>
      <c r="P1645" s="1765"/>
      <c r="Q1645" s="1766"/>
      <c r="R1645" s="1766"/>
      <c r="S1645" s="1696"/>
      <c r="T1645" s="1696"/>
      <c r="U1645" s="1772"/>
      <c r="V1645" s="1696"/>
      <c r="W1645" s="1772"/>
      <c r="X1645" s="1696"/>
      <c r="Y1645" s="1696"/>
      <c r="Z1645" s="1773"/>
    </row>
    <row r="1646">
      <c r="A1646" s="1771"/>
      <c r="B1646" s="1777"/>
      <c r="C1646" s="1771"/>
      <c r="D1646" s="1771"/>
      <c r="E1646" s="1771"/>
      <c r="F1646" s="1771"/>
      <c r="G1646" s="1777"/>
      <c r="H1646" s="1771"/>
      <c r="I1646" s="1770"/>
      <c r="J1646" s="1771"/>
      <c r="K1646" s="1771"/>
      <c r="L1646" s="1771"/>
      <c r="M1646" s="1771"/>
      <c r="N1646" s="1779"/>
      <c r="O1646" s="1770"/>
      <c r="P1646" s="1771"/>
      <c r="Q1646" s="1766"/>
      <c r="R1646" s="1766"/>
      <c r="S1646" s="1696"/>
      <c r="T1646" s="1696"/>
      <c r="U1646" s="1772"/>
      <c r="V1646" s="1696"/>
      <c r="W1646" s="1772"/>
      <c r="X1646" s="1696"/>
      <c r="Y1646" s="1696"/>
      <c r="Z1646" s="1773"/>
    </row>
    <row r="1647">
      <c r="A1647" s="1766"/>
      <c r="B1647" s="1780"/>
      <c r="C1647" s="1766"/>
      <c r="D1647" s="1766"/>
      <c r="E1647" s="1766"/>
      <c r="F1647" s="1766"/>
      <c r="G1647" s="1766"/>
      <c r="H1647" s="1766"/>
      <c r="I1647" s="1766"/>
      <c r="J1647" s="1766"/>
      <c r="K1647" s="1766"/>
      <c r="L1647" s="1766"/>
      <c r="M1647" s="1766"/>
      <c r="N1647" s="1781"/>
      <c r="O1647" s="1766"/>
      <c r="P1647" s="1766"/>
      <c r="Q1647" s="1766"/>
      <c r="R1647" s="1766"/>
      <c r="S1647" s="1696"/>
      <c r="T1647" s="1696"/>
      <c r="U1647" s="1772"/>
      <c r="V1647" s="1696"/>
      <c r="W1647" s="1772"/>
      <c r="X1647" s="1696"/>
      <c r="Y1647" s="1696"/>
      <c r="Z1647" s="1773"/>
    </row>
    <row r="1648">
      <c r="A1648" s="1765"/>
      <c r="B1648" s="1782"/>
      <c r="C1648" s="1765"/>
      <c r="D1648" s="1765"/>
      <c r="E1648" s="1765"/>
      <c r="F1648" s="1765"/>
      <c r="G1648" s="1765"/>
      <c r="H1648" s="1765"/>
      <c r="I1648" s="1765"/>
      <c r="J1648" s="1765"/>
      <c r="K1648" s="1765"/>
      <c r="L1648" s="1765"/>
      <c r="M1648" s="1765"/>
      <c r="N1648" s="1765"/>
      <c r="O1648" s="1765"/>
      <c r="P1648" s="1765"/>
      <c r="Q1648" s="1766"/>
      <c r="R1648" s="1766"/>
      <c r="S1648" s="1696"/>
      <c r="T1648" s="1696"/>
      <c r="U1648" s="1772"/>
      <c r="V1648" s="1696"/>
      <c r="W1648" s="1772"/>
      <c r="X1648" s="1696"/>
      <c r="Y1648" s="1696"/>
      <c r="Z1648" s="1773"/>
    </row>
    <row r="1649">
      <c r="A1649" s="1771"/>
      <c r="B1649" s="1777"/>
      <c r="C1649" s="1771"/>
      <c r="D1649" s="1771"/>
      <c r="E1649" s="1771"/>
      <c r="F1649" s="1771"/>
      <c r="G1649" s="1777"/>
      <c r="H1649" s="1771"/>
      <c r="I1649" s="1770"/>
      <c r="J1649" s="1771"/>
      <c r="K1649" s="1771"/>
      <c r="L1649" s="1771"/>
      <c r="M1649" s="1771"/>
      <c r="N1649" s="1779"/>
      <c r="O1649" s="1770"/>
      <c r="P1649" s="1771"/>
      <c r="Q1649" s="1766"/>
      <c r="R1649" s="1766"/>
      <c r="S1649" s="1696"/>
      <c r="T1649" s="1696"/>
      <c r="U1649" s="1772"/>
      <c r="V1649" s="1696"/>
      <c r="W1649" s="1772"/>
      <c r="X1649" s="1696"/>
      <c r="Y1649" s="1696"/>
      <c r="Z1649" s="1773"/>
    </row>
    <row r="1650">
      <c r="A1650" s="1766"/>
      <c r="B1650" s="1780"/>
      <c r="C1650" s="1766"/>
      <c r="D1650" s="1766"/>
      <c r="E1650" s="1766"/>
      <c r="F1650" s="1766"/>
      <c r="G1650" s="1766"/>
      <c r="H1650" s="1766"/>
      <c r="I1650" s="1766"/>
      <c r="J1650" s="1766"/>
      <c r="K1650" s="1766"/>
      <c r="L1650" s="1766"/>
      <c r="M1650" s="1766"/>
      <c r="N1650" s="1781"/>
      <c r="O1650" s="1766"/>
      <c r="P1650" s="1766"/>
      <c r="Q1650" s="1766"/>
      <c r="R1650" s="1766"/>
      <c r="S1650" s="1696"/>
      <c r="T1650" s="1696"/>
      <c r="U1650" s="1772"/>
      <c r="V1650" s="1696"/>
      <c r="W1650" s="1772"/>
      <c r="X1650" s="1696"/>
      <c r="Y1650" s="1696"/>
      <c r="Z1650" s="1773"/>
    </row>
    <row r="1651">
      <c r="A1651" s="1765"/>
      <c r="B1651" s="1782"/>
      <c r="C1651" s="1765"/>
      <c r="D1651" s="1765"/>
      <c r="E1651" s="1765"/>
      <c r="F1651" s="1765"/>
      <c r="G1651" s="1765"/>
      <c r="H1651" s="1765"/>
      <c r="I1651" s="1765"/>
      <c r="J1651" s="1765"/>
      <c r="K1651" s="1765"/>
      <c r="L1651" s="1765"/>
      <c r="M1651" s="1765"/>
      <c r="N1651" s="1765"/>
      <c r="O1651" s="1765"/>
      <c r="P1651" s="1765"/>
      <c r="Q1651" s="1766"/>
      <c r="R1651" s="1766"/>
      <c r="S1651" s="1696"/>
      <c r="T1651" s="1696"/>
      <c r="U1651" s="1772"/>
      <c r="V1651" s="1696"/>
      <c r="W1651" s="1772"/>
      <c r="X1651" s="1696"/>
      <c r="Y1651" s="1696"/>
      <c r="Z1651" s="1773"/>
    </row>
    <row r="1652">
      <c r="A1652" s="1771"/>
      <c r="B1652" s="1777"/>
      <c r="C1652" s="1771"/>
      <c r="D1652" s="1771"/>
      <c r="E1652" s="1771"/>
      <c r="F1652" s="1771"/>
      <c r="G1652" s="1777"/>
      <c r="H1652" s="1771"/>
      <c r="I1652" s="1778"/>
      <c r="J1652" s="1771"/>
      <c r="K1652" s="1771"/>
      <c r="L1652" s="1771"/>
      <c r="M1652" s="1771"/>
      <c r="N1652" s="1779"/>
      <c r="O1652" s="1770"/>
      <c r="P1652" s="1771"/>
      <c r="Q1652" s="1766"/>
      <c r="R1652" s="1766"/>
      <c r="S1652" s="1696"/>
      <c r="T1652" s="1696"/>
      <c r="U1652" s="1772"/>
      <c r="V1652" s="1696"/>
      <c r="W1652" s="1772"/>
      <c r="X1652" s="1696"/>
      <c r="Y1652" s="1696"/>
      <c r="Z1652" s="1773"/>
    </row>
    <row r="1653">
      <c r="A1653" s="1766"/>
      <c r="B1653" s="1780"/>
      <c r="C1653" s="1766"/>
      <c r="D1653" s="1766"/>
      <c r="E1653" s="1766"/>
      <c r="F1653" s="1766"/>
      <c r="G1653" s="1766"/>
      <c r="H1653" s="1766"/>
      <c r="I1653" s="1766"/>
      <c r="J1653" s="1766"/>
      <c r="K1653" s="1766"/>
      <c r="L1653" s="1766"/>
      <c r="M1653" s="1766"/>
      <c r="N1653" s="1781"/>
      <c r="O1653" s="1766"/>
      <c r="P1653" s="1766"/>
      <c r="Q1653" s="1766"/>
      <c r="R1653" s="1766"/>
      <c r="S1653" s="1696"/>
      <c r="T1653" s="1696"/>
      <c r="U1653" s="1772"/>
      <c r="V1653" s="1696"/>
      <c r="W1653" s="1772"/>
      <c r="X1653" s="1696"/>
      <c r="Y1653" s="1696"/>
      <c r="Z1653" s="1773"/>
    </row>
    <row r="1654">
      <c r="A1654" s="1765"/>
      <c r="B1654" s="1782"/>
      <c r="C1654" s="1765"/>
      <c r="D1654" s="1765"/>
      <c r="E1654" s="1765"/>
      <c r="F1654" s="1765"/>
      <c r="G1654" s="1765"/>
      <c r="H1654" s="1765"/>
      <c r="I1654" s="1765"/>
      <c r="J1654" s="1765"/>
      <c r="K1654" s="1765"/>
      <c r="L1654" s="1765"/>
      <c r="M1654" s="1765"/>
      <c r="N1654" s="1765"/>
      <c r="O1654" s="1765"/>
      <c r="P1654" s="1765"/>
      <c r="Q1654" s="1766"/>
      <c r="R1654" s="1766"/>
      <c r="S1654" s="1696"/>
      <c r="T1654" s="1696"/>
      <c r="U1654" s="1772"/>
      <c r="V1654" s="1696"/>
      <c r="W1654" s="1772"/>
      <c r="X1654" s="1696"/>
      <c r="Y1654" s="1696"/>
      <c r="Z1654" s="1773"/>
    </row>
    <row r="1655">
      <c r="A1655" s="1771"/>
      <c r="B1655" s="1777"/>
      <c r="C1655" s="1771"/>
      <c r="D1655" s="1771"/>
      <c r="E1655" s="1771"/>
      <c r="F1655" s="1771"/>
      <c r="G1655" s="1771"/>
      <c r="H1655" s="1771"/>
      <c r="I1655" s="1778"/>
      <c r="J1655" s="1771"/>
      <c r="K1655" s="1771"/>
      <c r="L1655" s="1771"/>
      <c r="M1655" s="1771"/>
      <c r="N1655" s="1779"/>
      <c r="O1655" s="1770"/>
      <c r="P1655" s="1771"/>
      <c r="Q1655" s="1766"/>
      <c r="R1655" s="1766"/>
      <c r="S1655" s="1696"/>
      <c r="T1655" s="1696"/>
      <c r="U1655" s="1772"/>
      <c r="V1655" s="1696"/>
      <c r="W1655" s="1772"/>
      <c r="X1655" s="1696"/>
      <c r="Y1655" s="1696"/>
      <c r="Z1655" s="1773"/>
    </row>
    <row r="1656">
      <c r="A1656" s="1766"/>
      <c r="B1656" s="1780"/>
      <c r="C1656" s="1766"/>
      <c r="D1656" s="1766"/>
      <c r="E1656" s="1766"/>
      <c r="F1656" s="1766"/>
      <c r="G1656" s="1766"/>
      <c r="H1656" s="1766"/>
      <c r="I1656" s="1766"/>
      <c r="J1656" s="1766"/>
      <c r="K1656" s="1766"/>
      <c r="L1656" s="1766"/>
      <c r="M1656" s="1766"/>
      <c r="N1656" s="1781"/>
      <c r="O1656" s="1766"/>
      <c r="P1656" s="1766"/>
      <c r="Q1656" s="1766"/>
      <c r="R1656" s="1766"/>
      <c r="S1656" s="1696"/>
      <c r="T1656" s="1696"/>
      <c r="U1656" s="1772"/>
      <c r="V1656" s="1696"/>
      <c r="W1656" s="1772"/>
      <c r="X1656" s="1696"/>
      <c r="Y1656" s="1696"/>
      <c r="Z1656" s="1773"/>
    </row>
    <row r="1657">
      <c r="A1657" s="1765"/>
      <c r="B1657" s="1782"/>
      <c r="C1657" s="1765"/>
      <c r="D1657" s="1765"/>
      <c r="E1657" s="1765"/>
      <c r="F1657" s="1765"/>
      <c r="G1657" s="1765"/>
      <c r="H1657" s="1765"/>
      <c r="I1657" s="1765"/>
      <c r="J1657" s="1765"/>
      <c r="K1657" s="1765"/>
      <c r="L1657" s="1765"/>
      <c r="M1657" s="1765"/>
      <c r="N1657" s="1765"/>
      <c r="O1657" s="1765"/>
      <c r="P1657" s="1765"/>
      <c r="Q1657" s="1766"/>
      <c r="R1657" s="1766"/>
      <c r="S1657" s="1696"/>
      <c r="T1657" s="1696"/>
      <c r="U1657" s="1772"/>
      <c r="V1657" s="1696"/>
      <c r="W1657" s="1772"/>
      <c r="X1657" s="1696"/>
      <c r="Y1657" s="1696"/>
      <c r="Z1657" s="1773"/>
    </row>
    <row r="1658">
      <c r="A1658" s="1771"/>
      <c r="B1658" s="1777"/>
      <c r="C1658" s="1771"/>
      <c r="D1658" s="1771"/>
      <c r="E1658" s="1771"/>
      <c r="F1658" s="1771"/>
      <c r="G1658" s="1771"/>
      <c r="H1658" s="1771"/>
      <c r="I1658" s="1778"/>
      <c r="J1658" s="1771"/>
      <c r="K1658" s="1771"/>
      <c r="L1658" s="1771"/>
      <c r="M1658" s="1771"/>
      <c r="N1658" s="1779"/>
      <c r="O1658" s="1770"/>
      <c r="P1658" s="1771"/>
      <c r="Q1658" s="1766"/>
      <c r="R1658" s="1766"/>
      <c r="S1658" s="1696"/>
      <c r="T1658" s="1696"/>
      <c r="U1658" s="1772"/>
      <c r="V1658" s="1696"/>
      <c r="W1658" s="1772"/>
      <c r="X1658" s="1696"/>
      <c r="Y1658" s="1696"/>
      <c r="Z1658" s="1773"/>
    </row>
    <row r="1659">
      <c r="A1659" s="1766"/>
      <c r="B1659" s="1780"/>
      <c r="C1659" s="1766"/>
      <c r="D1659" s="1766"/>
      <c r="E1659" s="1766"/>
      <c r="F1659" s="1766"/>
      <c r="G1659" s="1766"/>
      <c r="H1659" s="1766"/>
      <c r="I1659" s="1766"/>
      <c r="J1659" s="1766"/>
      <c r="K1659" s="1766"/>
      <c r="L1659" s="1766"/>
      <c r="M1659" s="1766"/>
      <c r="N1659" s="1781"/>
      <c r="O1659" s="1766"/>
      <c r="P1659" s="1766"/>
      <c r="Q1659" s="1766"/>
      <c r="R1659" s="1766"/>
      <c r="S1659" s="1696"/>
      <c r="T1659" s="1696"/>
      <c r="U1659" s="1772"/>
      <c r="V1659" s="1696"/>
      <c r="W1659" s="1772"/>
      <c r="X1659" s="1696"/>
      <c r="Y1659" s="1696"/>
      <c r="Z1659" s="1773"/>
    </row>
    <row r="1660">
      <c r="A1660" s="1765"/>
      <c r="B1660" s="1782"/>
      <c r="C1660" s="1765"/>
      <c r="D1660" s="1765"/>
      <c r="E1660" s="1765"/>
      <c r="F1660" s="1765"/>
      <c r="G1660" s="1765"/>
      <c r="H1660" s="1765"/>
      <c r="I1660" s="1765"/>
      <c r="J1660" s="1765"/>
      <c r="K1660" s="1765"/>
      <c r="L1660" s="1765"/>
      <c r="M1660" s="1765"/>
      <c r="N1660" s="1765"/>
      <c r="O1660" s="1765"/>
      <c r="P1660" s="1765"/>
      <c r="Q1660" s="1766"/>
      <c r="R1660" s="1766"/>
      <c r="S1660" s="1696"/>
      <c r="T1660" s="1696"/>
      <c r="U1660" s="1772"/>
      <c r="V1660" s="1696"/>
      <c r="W1660" s="1772"/>
      <c r="X1660" s="1696"/>
      <c r="Y1660" s="1696"/>
      <c r="Z1660" s="1773"/>
    </row>
    <row r="1661">
      <c r="A1661" s="1771"/>
      <c r="B1661" s="1777"/>
      <c r="C1661" s="1771"/>
      <c r="D1661" s="1771"/>
      <c r="E1661" s="1771"/>
      <c r="F1661" s="1771"/>
      <c r="G1661" s="1771"/>
      <c r="H1661" s="1771"/>
      <c r="I1661" s="1778"/>
      <c r="J1661" s="1771"/>
      <c r="K1661" s="1771"/>
      <c r="L1661" s="1771"/>
      <c r="M1661" s="1771"/>
      <c r="N1661" s="1779"/>
      <c r="O1661" s="1770"/>
      <c r="P1661" s="1771"/>
      <c r="Q1661" s="1766"/>
      <c r="R1661" s="1766"/>
      <c r="S1661" s="1696"/>
      <c r="T1661" s="1696"/>
      <c r="U1661" s="1772"/>
      <c r="V1661" s="1696"/>
      <c r="W1661" s="1772"/>
      <c r="X1661" s="1696"/>
      <c r="Y1661" s="1696"/>
      <c r="Z1661" s="1773"/>
    </row>
    <row r="1662">
      <c r="A1662" s="1766"/>
      <c r="B1662" s="1780"/>
      <c r="C1662" s="1766"/>
      <c r="D1662" s="1766"/>
      <c r="E1662" s="1766"/>
      <c r="F1662" s="1766"/>
      <c r="G1662" s="1766"/>
      <c r="H1662" s="1766"/>
      <c r="I1662" s="1766"/>
      <c r="J1662" s="1766"/>
      <c r="K1662" s="1766"/>
      <c r="L1662" s="1766"/>
      <c r="M1662" s="1766"/>
      <c r="N1662" s="1781"/>
      <c r="O1662" s="1766"/>
      <c r="P1662" s="1766"/>
      <c r="Q1662" s="1766"/>
      <c r="R1662" s="1766"/>
      <c r="S1662" s="1696"/>
      <c r="T1662" s="1696"/>
      <c r="U1662" s="1772"/>
      <c r="V1662" s="1696"/>
      <c r="W1662" s="1772"/>
      <c r="X1662" s="1696"/>
      <c r="Y1662" s="1696"/>
      <c r="Z1662" s="1773"/>
    </row>
    <row r="1663">
      <c r="A1663" s="1765"/>
      <c r="B1663" s="1782"/>
      <c r="C1663" s="1765"/>
      <c r="D1663" s="1765"/>
      <c r="E1663" s="1765"/>
      <c r="F1663" s="1765"/>
      <c r="G1663" s="1765"/>
      <c r="H1663" s="1765"/>
      <c r="I1663" s="1765"/>
      <c r="J1663" s="1765"/>
      <c r="K1663" s="1765"/>
      <c r="L1663" s="1765"/>
      <c r="M1663" s="1765"/>
      <c r="N1663" s="1765"/>
      <c r="O1663" s="1765"/>
      <c r="P1663" s="1765"/>
      <c r="Q1663" s="1766"/>
      <c r="R1663" s="1766"/>
      <c r="S1663" s="1696"/>
      <c r="T1663" s="1696"/>
      <c r="U1663" s="1772"/>
      <c r="V1663" s="1696"/>
      <c r="W1663" s="1772"/>
      <c r="X1663" s="1696"/>
      <c r="Y1663" s="1696"/>
      <c r="Z1663" s="1773"/>
    </row>
    <row r="1664">
      <c r="A1664" s="1771"/>
      <c r="B1664" s="1777"/>
      <c r="C1664" s="1771"/>
      <c r="D1664" s="1771"/>
      <c r="E1664" s="1771"/>
      <c r="F1664" s="1771"/>
      <c r="G1664" s="1771"/>
      <c r="H1664" s="1771"/>
      <c r="I1664" s="1778"/>
      <c r="J1664" s="1771"/>
      <c r="K1664" s="1771"/>
      <c r="L1664" s="1771"/>
      <c r="M1664" s="1771"/>
      <c r="N1664" s="1779"/>
      <c r="O1664" s="1770"/>
      <c r="P1664" s="1771"/>
      <c r="Q1664" s="1766"/>
      <c r="R1664" s="1766"/>
      <c r="S1664" s="1696"/>
      <c r="T1664" s="1696"/>
      <c r="U1664" s="1772"/>
      <c r="V1664" s="1696"/>
      <c r="W1664" s="1772"/>
      <c r="X1664" s="1696"/>
      <c r="Y1664" s="1696"/>
      <c r="Z1664" s="1773"/>
    </row>
    <row r="1665">
      <c r="A1665" s="1766"/>
      <c r="B1665" s="1780"/>
      <c r="C1665" s="1766"/>
      <c r="D1665" s="1766"/>
      <c r="E1665" s="1766"/>
      <c r="F1665" s="1766"/>
      <c r="G1665" s="1766"/>
      <c r="H1665" s="1766"/>
      <c r="I1665" s="1766"/>
      <c r="J1665" s="1766"/>
      <c r="K1665" s="1766"/>
      <c r="L1665" s="1766"/>
      <c r="M1665" s="1766"/>
      <c r="N1665" s="1781"/>
      <c r="O1665" s="1766"/>
      <c r="P1665" s="1766"/>
      <c r="Q1665" s="1766"/>
      <c r="R1665" s="1766"/>
      <c r="S1665" s="1696"/>
      <c r="T1665" s="1696"/>
      <c r="U1665" s="1772"/>
      <c r="V1665" s="1696"/>
      <c r="W1665" s="1772"/>
      <c r="X1665" s="1696"/>
      <c r="Y1665" s="1696"/>
      <c r="Z1665" s="1773"/>
    </row>
    <row r="1666">
      <c r="A1666" s="1765"/>
      <c r="B1666" s="1782"/>
      <c r="C1666" s="1765"/>
      <c r="D1666" s="1765"/>
      <c r="E1666" s="1765"/>
      <c r="F1666" s="1765"/>
      <c r="G1666" s="1765"/>
      <c r="H1666" s="1765"/>
      <c r="I1666" s="1765"/>
      <c r="J1666" s="1765"/>
      <c r="K1666" s="1765"/>
      <c r="L1666" s="1765"/>
      <c r="M1666" s="1765"/>
      <c r="N1666" s="1765"/>
      <c r="O1666" s="1765"/>
      <c r="P1666" s="1765"/>
      <c r="Q1666" s="1766"/>
      <c r="R1666" s="1766"/>
      <c r="S1666" s="1696"/>
      <c r="T1666" s="1696"/>
      <c r="U1666" s="1772"/>
      <c r="V1666" s="1696"/>
      <c r="W1666" s="1772"/>
      <c r="X1666" s="1696"/>
      <c r="Y1666" s="1696"/>
      <c r="Z1666" s="1773"/>
    </row>
    <row r="1667">
      <c r="A1667" s="1771"/>
      <c r="B1667" s="1777"/>
      <c r="C1667" s="1771"/>
      <c r="D1667" s="1771"/>
      <c r="E1667" s="1771"/>
      <c r="F1667" s="1771"/>
      <c r="G1667" s="1770"/>
      <c r="H1667" s="1771"/>
      <c r="I1667" s="1778"/>
      <c r="J1667" s="1771"/>
      <c r="K1667" s="1771"/>
      <c r="L1667" s="1771"/>
      <c r="M1667" s="1771"/>
      <c r="N1667" s="1779"/>
      <c r="O1667" s="1770"/>
      <c r="P1667" s="1771"/>
      <c r="Q1667" s="1766"/>
      <c r="R1667" s="1766"/>
      <c r="S1667" s="1696"/>
      <c r="T1667" s="1696"/>
      <c r="U1667" s="1772"/>
      <c r="V1667" s="1696"/>
      <c r="W1667" s="1772"/>
      <c r="X1667" s="1696"/>
      <c r="Y1667" s="1696"/>
      <c r="Z1667" s="1773"/>
    </row>
    <row r="1668">
      <c r="A1668" s="1766"/>
      <c r="B1668" s="1780"/>
      <c r="C1668" s="1766"/>
      <c r="D1668" s="1766"/>
      <c r="E1668" s="1766"/>
      <c r="F1668" s="1766"/>
      <c r="G1668" s="1766"/>
      <c r="H1668" s="1766"/>
      <c r="I1668" s="1766"/>
      <c r="J1668" s="1766"/>
      <c r="K1668" s="1766"/>
      <c r="L1668" s="1766"/>
      <c r="M1668" s="1766"/>
      <c r="N1668" s="1781"/>
      <c r="O1668" s="1766"/>
      <c r="P1668" s="1766"/>
      <c r="Q1668" s="1766"/>
      <c r="R1668" s="1766"/>
      <c r="S1668" s="1696"/>
      <c r="T1668" s="1696"/>
      <c r="U1668" s="1772"/>
      <c r="V1668" s="1696"/>
      <c r="W1668" s="1772"/>
      <c r="X1668" s="1696"/>
      <c r="Y1668" s="1696"/>
      <c r="Z1668" s="1773"/>
    </row>
    <row r="1669">
      <c r="A1669" s="1765"/>
      <c r="B1669" s="1782"/>
      <c r="C1669" s="1765"/>
      <c r="D1669" s="1765"/>
      <c r="E1669" s="1765"/>
      <c r="F1669" s="1765"/>
      <c r="G1669" s="1765"/>
      <c r="H1669" s="1765"/>
      <c r="I1669" s="1765"/>
      <c r="J1669" s="1765"/>
      <c r="K1669" s="1765"/>
      <c r="L1669" s="1765"/>
      <c r="M1669" s="1765"/>
      <c r="N1669" s="1765"/>
      <c r="O1669" s="1765"/>
      <c r="P1669" s="1765"/>
      <c r="Q1669" s="1766"/>
      <c r="R1669" s="1766"/>
      <c r="S1669" s="1696"/>
      <c r="T1669" s="1696"/>
      <c r="U1669" s="1772"/>
      <c r="V1669" s="1696"/>
      <c r="W1669" s="1772"/>
      <c r="X1669" s="1696"/>
      <c r="Y1669" s="1696"/>
      <c r="Z1669" s="1773"/>
    </row>
    <row r="1670">
      <c r="A1670" s="1771"/>
      <c r="B1670" s="1777"/>
      <c r="C1670" s="1771"/>
      <c r="D1670" s="1771"/>
      <c r="E1670" s="1771"/>
      <c r="F1670" s="1771"/>
      <c r="G1670" s="1770"/>
      <c r="H1670" s="1771"/>
      <c r="I1670" s="1770"/>
      <c r="J1670" s="1771"/>
      <c r="K1670" s="1771"/>
      <c r="L1670" s="1771"/>
      <c r="M1670" s="1771"/>
      <c r="N1670" s="1779"/>
      <c r="O1670" s="1770"/>
      <c r="P1670" s="1771"/>
      <c r="Q1670" s="1766"/>
      <c r="R1670" s="1766"/>
      <c r="S1670" s="1696"/>
      <c r="T1670" s="1696"/>
      <c r="U1670" s="1772"/>
      <c r="V1670" s="1696"/>
      <c r="W1670" s="1772"/>
      <c r="X1670" s="1696"/>
      <c r="Y1670" s="1696"/>
      <c r="Z1670" s="1773"/>
    </row>
    <row r="1671">
      <c r="A1671" s="1766"/>
      <c r="B1671" s="1780"/>
      <c r="C1671" s="1766"/>
      <c r="D1671" s="1766"/>
      <c r="E1671" s="1766"/>
      <c r="F1671" s="1766"/>
      <c r="G1671" s="1766"/>
      <c r="H1671" s="1766"/>
      <c r="I1671" s="1766"/>
      <c r="J1671" s="1766"/>
      <c r="K1671" s="1766"/>
      <c r="L1671" s="1766"/>
      <c r="M1671" s="1766"/>
      <c r="N1671" s="1781"/>
      <c r="O1671" s="1766"/>
      <c r="P1671" s="1766"/>
      <c r="Q1671" s="1766"/>
      <c r="R1671" s="1766"/>
      <c r="S1671" s="1696"/>
      <c r="T1671" s="1696"/>
      <c r="U1671" s="1772"/>
      <c r="V1671" s="1696"/>
      <c r="W1671" s="1772"/>
      <c r="X1671" s="1696"/>
      <c r="Y1671" s="1696"/>
      <c r="Z1671" s="1773"/>
    </row>
    <row r="1672">
      <c r="A1672" s="1765"/>
      <c r="B1672" s="1782"/>
      <c r="C1672" s="1765"/>
      <c r="D1672" s="1765"/>
      <c r="E1672" s="1765"/>
      <c r="F1672" s="1765"/>
      <c r="G1672" s="1765"/>
      <c r="H1672" s="1765"/>
      <c r="I1672" s="1765"/>
      <c r="J1672" s="1765"/>
      <c r="K1672" s="1765"/>
      <c r="L1672" s="1765"/>
      <c r="M1672" s="1765"/>
      <c r="N1672" s="1765"/>
      <c r="O1672" s="1765"/>
      <c r="P1672" s="1765"/>
      <c r="Q1672" s="1766"/>
      <c r="R1672" s="1766"/>
      <c r="S1672" s="1696"/>
      <c r="T1672" s="1696"/>
      <c r="U1672" s="1772"/>
      <c r="V1672" s="1696"/>
      <c r="W1672" s="1772"/>
      <c r="X1672" s="1696"/>
      <c r="Y1672" s="1696"/>
      <c r="Z1672" s="1773"/>
    </row>
    <row r="1673">
      <c r="A1673" s="1771"/>
      <c r="B1673" s="1777"/>
      <c r="C1673" s="1771"/>
      <c r="D1673" s="1771"/>
      <c r="E1673" s="1771"/>
      <c r="F1673" s="1771"/>
      <c r="G1673" s="1770"/>
      <c r="H1673" s="1771"/>
      <c r="I1673" s="1770"/>
      <c r="J1673" s="1771"/>
      <c r="K1673" s="1771"/>
      <c r="L1673" s="1771"/>
      <c r="M1673" s="1771"/>
      <c r="N1673" s="1779"/>
      <c r="O1673" s="1770"/>
      <c r="P1673" s="1771"/>
      <c r="Q1673" s="1766"/>
      <c r="R1673" s="1766"/>
      <c r="S1673" s="1696"/>
      <c r="T1673" s="1696"/>
      <c r="U1673" s="1772"/>
      <c r="V1673" s="1696"/>
      <c r="W1673" s="1772"/>
      <c r="X1673" s="1696"/>
      <c r="Y1673" s="1696"/>
      <c r="Z1673" s="1773"/>
    </row>
    <row r="1674">
      <c r="A1674" s="1766"/>
      <c r="B1674" s="1780"/>
      <c r="C1674" s="1766"/>
      <c r="D1674" s="1766"/>
      <c r="E1674" s="1766"/>
      <c r="F1674" s="1766"/>
      <c r="G1674" s="1766"/>
      <c r="H1674" s="1766"/>
      <c r="I1674" s="1766"/>
      <c r="J1674" s="1766"/>
      <c r="K1674" s="1766"/>
      <c r="L1674" s="1766"/>
      <c r="M1674" s="1766"/>
      <c r="N1674" s="1781"/>
      <c r="O1674" s="1766"/>
      <c r="P1674" s="1766"/>
      <c r="Q1674" s="1766"/>
      <c r="R1674" s="1766"/>
      <c r="S1674" s="1696"/>
      <c r="T1674" s="1696"/>
      <c r="U1674" s="1772"/>
      <c r="V1674" s="1696"/>
      <c r="W1674" s="1772"/>
      <c r="X1674" s="1696"/>
      <c r="Y1674" s="1696"/>
      <c r="Z1674" s="1773"/>
    </row>
    <row r="1675">
      <c r="A1675" s="1765"/>
      <c r="B1675" s="1782"/>
      <c r="C1675" s="1765"/>
      <c r="D1675" s="1765"/>
      <c r="E1675" s="1765"/>
      <c r="F1675" s="1765"/>
      <c r="G1675" s="1765"/>
      <c r="H1675" s="1765"/>
      <c r="I1675" s="1765"/>
      <c r="J1675" s="1765"/>
      <c r="K1675" s="1765"/>
      <c r="L1675" s="1765"/>
      <c r="M1675" s="1765"/>
      <c r="N1675" s="1765"/>
      <c r="O1675" s="1765"/>
      <c r="P1675" s="1765"/>
      <c r="Q1675" s="1766"/>
      <c r="R1675" s="1766"/>
      <c r="S1675" s="1696"/>
      <c r="T1675" s="1696"/>
      <c r="U1675" s="1772"/>
      <c r="V1675" s="1696"/>
      <c r="W1675" s="1772"/>
      <c r="X1675" s="1696"/>
      <c r="Y1675" s="1696"/>
      <c r="Z1675" s="1773"/>
    </row>
    <row r="1676">
      <c r="A1676" s="1771"/>
      <c r="B1676" s="1777"/>
      <c r="C1676" s="1771"/>
      <c r="D1676" s="1771"/>
      <c r="E1676" s="1771"/>
      <c r="F1676" s="1771"/>
      <c r="G1676" s="1777"/>
      <c r="H1676" s="1771"/>
      <c r="I1676" s="1770"/>
      <c r="J1676" s="1771"/>
      <c r="K1676" s="1771"/>
      <c r="L1676" s="1771"/>
      <c r="M1676" s="1771"/>
      <c r="N1676" s="1779"/>
      <c r="O1676" s="1770"/>
      <c r="P1676" s="1771"/>
      <c r="Q1676" s="1766"/>
      <c r="R1676" s="1766"/>
      <c r="S1676" s="1696"/>
      <c r="T1676" s="1696"/>
      <c r="U1676" s="1772"/>
      <c r="V1676" s="1696"/>
      <c r="W1676" s="1772"/>
      <c r="X1676" s="1696"/>
      <c r="Y1676" s="1696"/>
      <c r="Z1676" s="1773"/>
    </row>
    <row r="1677">
      <c r="A1677" s="1766"/>
      <c r="B1677" s="1780"/>
      <c r="C1677" s="1766"/>
      <c r="D1677" s="1766"/>
      <c r="E1677" s="1766"/>
      <c r="F1677" s="1766"/>
      <c r="G1677" s="1766"/>
      <c r="H1677" s="1766"/>
      <c r="I1677" s="1766"/>
      <c r="J1677" s="1766"/>
      <c r="K1677" s="1766"/>
      <c r="L1677" s="1766"/>
      <c r="M1677" s="1766"/>
      <c r="N1677" s="1781"/>
      <c r="O1677" s="1766"/>
      <c r="P1677" s="1766"/>
      <c r="Q1677" s="1766"/>
      <c r="R1677" s="1766"/>
      <c r="S1677" s="1696"/>
      <c r="T1677" s="1696"/>
      <c r="U1677" s="1772"/>
      <c r="V1677" s="1696"/>
      <c r="W1677" s="1772"/>
      <c r="X1677" s="1696"/>
      <c r="Y1677" s="1696"/>
      <c r="Z1677" s="1773"/>
    </row>
    <row r="1678">
      <c r="A1678" s="1765"/>
      <c r="B1678" s="1782"/>
      <c r="C1678" s="1765"/>
      <c r="D1678" s="1765"/>
      <c r="E1678" s="1765"/>
      <c r="F1678" s="1765"/>
      <c r="G1678" s="1765"/>
      <c r="H1678" s="1765"/>
      <c r="I1678" s="1765"/>
      <c r="J1678" s="1765"/>
      <c r="K1678" s="1765"/>
      <c r="L1678" s="1765"/>
      <c r="M1678" s="1765"/>
      <c r="N1678" s="1765"/>
      <c r="O1678" s="1765"/>
      <c r="P1678" s="1765"/>
      <c r="Q1678" s="1766"/>
      <c r="R1678" s="1766"/>
      <c r="S1678" s="1696"/>
      <c r="T1678" s="1696"/>
      <c r="U1678" s="1772"/>
      <c r="V1678" s="1696"/>
      <c r="W1678" s="1772"/>
      <c r="X1678" s="1696"/>
      <c r="Y1678" s="1696"/>
      <c r="Z1678" s="1773"/>
    </row>
    <row r="1679">
      <c r="A1679" s="1771"/>
      <c r="B1679" s="1777"/>
      <c r="C1679" s="1771"/>
      <c r="D1679" s="1771"/>
      <c r="E1679" s="1771"/>
      <c r="F1679" s="1771"/>
      <c r="G1679" s="1770"/>
      <c r="H1679" s="1771"/>
      <c r="I1679" s="1770"/>
      <c r="J1679" s="1771"/>
      <c r="K1679" s="1771"/>
      <c r="L1679" s="1771"/>
      <c r="M1679" s="1771"/>
      <c r="N1679" s="1779"/>
      <c r="O1679" s="1770"/>
      <c r="P1679" s="1771"/>
      <c r="Q1679" s="1766"/>
      <c r="R1679" s="1766"/>
      <c r="S1679" s="1696"/>
      <c r="T1679" s="1696"/>
      <c r="U1679" s="1772"/>
      <c r="V1679" s="1696"/>
      <c r="W1679" s="1772"/>
      <c r="X1679" s="1696"/>
      <c r="Y1679" s="1696"/>
      <c r="Z1679" s="1773"/>
    </row>
    <row r="1680">
      <c r="A1680" s="1766"/>
      <c r="B1680" s="1780"/>
      <c r="C1680" s="1766"/>
      <c r="D1680" s="1766"/>
      <c r="E1680" s="1766"/>
      <c r="F1680" s="1766"/>
      <c r="G1680" s="1766"/>
      <c r="H1680" s="1766"/>
      <c r="I1680" s="1766"/>
      <c r="J1680" s="1766"/>
      <c r="K1680" s="1766"/>
      <c r="L1680" s="1766"/>
      <c r="M1680" s="1766"/>
      <c r="N1680" s="1781"/>
      <c r="O1680" s="1766"/>
      <c r="P1680" s="1766"/>
      <c r="Q1680" s="1766"/>
      <c r="R1680" s="1766"/>
      <c r="S1680" s="1696"/>
      <c r="T1680" s="1696"/>
      <c r="U1680" s="1772"/>
      <c r="V1680" s="1696"/>
      <c r="W1680" s="1772"/>
      <c r="X1680" s="1696"/>
      <c r="Y1680" s="1696"/>
      <c r="Z1680" s="1773"/>
    </row>
    <row r="1681">
      <c r="A1681" s="1765"/>
      <c r="B1681" s="1782"/>
      <c r="C1681" s="1765"/>
      <c r="D1681" s="1765"/>
      <c r="E1681" s="1765"/>
      <c r="F1681" s="1765"/>
      <c r="G1681" s="1765"/>
      <c r="H1681" s="1765"/>
      <c r="I1681" s="1765"/>
      <c r="J1681" s="1765"/>
      <c r="K1681" s="1765"/>
      <c r="L1681" s="1765"/>
      <c r="M1681" s="1765"/>
      <c r="N1681" s="1765"/>
      <c r="O1681" s="1765"/>
      <c r="P1681" s="1765"/>
      <c r="Q1681" s="1766"/>
      <c r="R1681" s="1766"/>
      <c r="S1681" s="1696"/>
      <c r="T1681" s="1696"/>
      <c r="U1681" s="1772"/>
      <c r="V1681" s="1696"/>
      <c r="W1681" s="1772"/>
      <c r="X1681" s="1696"/>
      <c r="Y1681" s="1696"/>
      <c r="Z1681" s="1773"/>
    </row>
    <row r="1682">
      <c r="A1682" s="1771"/>
      <c r="B1682" s="1777"/>
      <c r="C1682" s="1771"/>
      <c r="D1682" s="1771"/>
      <c r="E1682" s="1771"/>
      <c r="F1682" s="1771"/>
      <c r="G1682" s="1777"/>
      <c r="H1682" s="1771"/>
      <c r="I1682" s="1778"/>
      <c r="J1682" s="1771"/>
      <c r="K1682" s="1771"/>
      <c r="L1682" s="1771"/>
      <c r="M1682" s="1771"/>
      <c r="N1682" s="1779"/>
      <c r="O1682" s="1770"/>
      <c r="P1682" s="1771"/>
      <c r="Q1682" s="1766"/>
      <c r="R1682" s="1766"/>
      <c r="S1682" s="1696"/>
      <c r="T1682" s="1696"/>
      <c r="U1682" s="1772"/>
      <c r="V1682" s="1696"/>
      <c r="W1682" s="1772"/>
      <c r="X1682" s="1696"/>
      <c r="Y1682" s="1696"/>
      <c r="Z1682" s="1773"/>
    </row>
    <row r="1683">
      <c r="A1683" s="1766"/>
      <c r="B1683" s="1780"/>
      <c r="C1683" s="1766"/>
      <c r="D1683" s="1766"/>
      <c r="E1683" s="1766"/>
      <c r="F1683" s="1766"/>
      <c r="G1683" s="1766"/>
      <c r="H1683" s="1766"/>
      <c r="I1683" s="1766"/>
      <c r="J1683" s="1766"/>
      <c r="K1683" s="1766"/>
      <c r="L1683" s="1766"/>
      <c r="M1683" s="1766"/>
      <c r="N1683" s="1781"/>
      <c r="O1683" s="1766"/>
      <c r="P1683" s="1766"/>
      <c r="Q1683" s="1766"/>
      <c r="R1683" s="1766"/>
      <c r="S1683" s="1696"/>
      <c r="T1683" s="1696"/>
      <c r="U1683" s="1772"/>
      <c r="V1683" s="1696"/>
      <c r="W1683" s="1772"/>
      <c r="X1683" s="1696"/>
      <c r="Y1683" s="1696"/>
      <c r="Z1683" s="1773"/>
    </row>
    <row r="1684">
      <c r="A1684" s="1765"/>
      <c r="B1684" s="1782"/>
      <c r="C1684" s="1765"/>
      <c r="D1684" s="1765"/>
      <c r="E1684" s="1765"/>
      <c r="F1684" s="1765"/>
      <c r="G1684" s="1765"/>
      <c r="H1684" s="1765"/>
      <c r="I1684" s="1765"/>
      <c r="J1684" s="1765"/>
      <c r="K1684" s="1765"/>
      <c r="L1684" s="1765"/>
      <c r="M1684" s="1765"/>
      <c r="N1684" s="1765"/>
      <c r="O1684" s="1765"/>
      <c r="P1684" s="1765"/>
      <c r="Q1684" s="1766"/>
      <c r="R1684" s="1766"/>
      <c r="S1684" s="1696"/>
      <c r="T1684" s="1696"/>
      <c r="U1684" s="1772"/>
      <c r="V1684" s="1696"/>
      <c r="W1684" s="1772"/>
      <c r="X1684" s="1696"/>
      <c r="Y1684" s="1696"/>
      <c r="Z1684" s="1773"/>
    </row>
    <row r="1685">
      <c r="A1685" s="1771"/>
      <c r="B1685" s="1777"/>
      <c r="C1685" s="1771"/>
      <c r="D1685" s="1771"/>
      <c r="E1685" s="1771"/>
      <c r="F1685" s="1771"/>
      <c r="G1685" s="1777"/>
      <c r="H1685" s="1771"/>
      <c r="I1685" s="1770"/>
      <c r="J1685" s="1771"/>
      <c r="K1685" s="1771"/>
      <c r="L1685" s="1771"/>
      <c r="M1685" s="1771"/>
      <c r="N1685" s="1779"/>
      <c r="O1685" s="1770"/>
      <c r="P1685" s="1771"/>
      <c r="Q1685" s="1766"/>
      <c r="R1685" s="1766"/>
      <c r="S1685" s="1696"/>
      <c r="T1685" s="1696"/>
      <c r="U1685" s="1772"/>
      <c r="V1685" s="1696"/>
      <c r="W1685" s="1772"/>
      <c r="X1685" s="1696"/>
      <c r="Y1685" s="1696"/>
      <c r="Z1685" s="1773"/>
    </row>
    <row r="1686">
      <c r="A1686" s="1766"/>
      <c r="B1686" s="1780"/>
      <c r="C1686" s="1766"/>
      <c r="D1686" s="1766"/>
      <c r="E1686" s="1766"/>
      <c r="F1686" s="1766"/>
      <c r="G1686" s="1766"/>
      <c r="H1686" s="1766"/>
      <c r="I1686" s="1766"/>
      <c r="J1686" s="1766"/>
      <c r="K1686" s="1766"/>
      <c r="L1686" s="1766"/>
      <c r="M1686" s="1766"/>
      <c r="N1686" s="1781"/>
      <c r="O1686" s="1766"/>
      <c r="P1686" s="1766"/>
      <c r="Q1686" s="1766"/>
      <c r="R1686" s="1766"/>
      <c r="S1686" s="1696"/>
      <c r="T1686" s="1696"/>
      <c r="U1686" s="1772"/>
      <c r="V1686" s="1696"/>
      <c r="W1686" s="1772"/>
      <c r="X1686" s="1696"/>
      <c r="Y1686" s="1696"/>
      <c r="Z1686" s="1773"/>
    </row>
    <row r="1687">
      <c r="A1687" s="1765"/>
      <c r="B1687" s="1782"/>
      <c r="C1687" s="1765"/>
      <c r="D1687" s="1765"/>
      <c r="E1687" s="1765"/>
      <c r="F1687" s="1765"/>
      <c r="G1687" s="1765"/>
      <c r="H1687" s="1765"/>
      <c r="I1687" s="1765"/>
      <c r="J1687" s="1765"/>
      <c r="K1687" s="1765"/>
      <c r="L1687" s="1765"/>
      <c r="M1687" s="1765"/>
      <c r="N1687" s="1765"/>
      <c r="O1687" s="1765"/>
      <c r="P1687" s="1765"/>
      <c r="Q1687" s="1766"/>
      <c r="R1687" s="1766"/>
      <c r="S1687" s="1696"/>
      <c r="T1687" s="1696"/>
      <c r="U1687" s="1772"/>
      <c r="V1687" s="1696"/>
      <c r="W1687" s="1772"/>
      <c r="X1687" s="1696"/>
      <c r="Y1687" s="1696"/>
      <c r="Z1687" s="1773"/>
    </row>
    <row r="1688">
      <c r="A1688" s="1771"/>
      <c r="B1688" s="1777"/>
      <c r="C1688" s="1771"/>
      <c r="D1688" s="1771"/>
      <c r="E1688" s="1771"/>
      <c r="F1688" s="1771"/>
      <c r="G1688" s="1777"/>
      <c r="H1688" s="1771"/>
      <c r="I1688" s="1778"/>
      <c r="J1688" s="1771"/>
      <c r="K1688" s="1771"/>
      <c r="L1688" s="1771"/>
      <c r="M1688" s="1771"/>
      <c r="N1688" s="1779"/>
      <c r="O1688" s="1770"/>
      <c r="P1688" s="1771"/>
      <c r="Q1688" s="1766"/>
      <c r="R1688" s="1766"/>
      <c r="S1688" s="1696"/>
      <c r="T1688" s="1696"/>
      <c r="U1688" s="1772"/>
      <c r="V1688" s="1696"/>
      <c r="W1688" s="1772"/>
      <c r="X1688" s="1696"/>
      <c r="Y1688" s="1696"/>
      <c r="Z1688" s="1773"/>
    </row>
    <row r="1689">
      <c r="A1689" s="1766"/>
      <c r="B1689" s="1780"/>
      <c r="C1689" s="1766"/>
      <c r="D1689" s="1766"/>
      <c r="E1689" s="1766"/>
      <c r="F1689" s="1766"/>
      <c r="G1689" s="1766"/>
      <c r="H1689" s="1766"/>
      <c r="I1689" s="1766"/>
      <c r="J1689" s="1766"/>
      <c r="K1689" s="1766"/>
      <c r="L1689" s="1766"/>
      <c r="M1689" s="1766"/>
      <c r="N1689" s="1781"/>
      <c r="O1689" s="1766"/>
      <c r="P1689" s="1766"/>
      <c r="Q1689" s="1766"/>
      <c r="R1689" s="1766"/>
      <c r="S1689" s="1696"/>
      <c r="T1689" s="1696"/>
      <c r="U1689" s="1772"/>
      <c r="V1689" s="1696"/>
      <c r="W1689" s="1772"/>
      <c r="X1689" s="1696"/>
      <c r="Y1689" s="1696"/>
      <c r="Z1689" s="1773"/>
    </row>
    <row r="1690">
      <c r="A1690" s="1765"/>
      <c r="B1690" s="1782"/>
      <c r="C1690" s="1765"/>
      <c r="D1690" s="1765"/>
      <c r="E1690" s="1765"/>
      <c r="F1690" s="1765"/>
      <c r="G1690" s="1765"/>
      <c r="H1690" s="1765"/>
      <c r="I1690" s="1765"/>
      <c r="J1690" s="1765"/>
      <c r="K1690" s="1765"/>
      <c r="L1690" s="1765"/>
      <c r="M1690" s="1765"/>
      <c r="N1690" s="1765"/>
      <c r="O1690" s="1765"/>
      <c r="P1690" s="1765"/>
      <c r="Q1690" s="1766"/>
      <c r="R1690" s="1766"/>
      <c r="S1690" s="1696"/>
      <c r="T1690" s="1696"/>
      <c r="U1690" s="1772"/>
      <c r="V1690" s="1696"/>
      <c r="W1690" s="1772"/>
      <c r="X1690" s="1696"/>
      <c r="Y1690" s="1696"/>
      <c r="Z1690" s="1773"/>
    </row>
    <row r="1691">
      <c r="A1691" s="1771"/>
      <c r="B1691" s="1777"/>
      <c r="C1691" s="1771"/>
      <c r="D1691" s="1771"/>
      <c r="E1691" s="1771"/>
      <c r="F1691" s="1771"/>
      <c r="G1691" s="1771"/>
      <c r="H1691" s="1771"/>
      <c r="I1691" s="1770"/>
      <c r="J1691" s="1771"/>
      <c r="K1691" s="1771"/>
      <c r="L1691" s="1771"/>
      <c r="M1691" s="1771"/>
      <c r="N1691" s="1779"/>
      <c r="O1691" s="1770"/>
      <c r="P1691" s="1771"/>
      <c r="Q1691" s="1766"/>
      <c r="R1691" s="1766"/>
      <c r="S1691" s="1696"/>
      <c r="T1691" s="1696"/>
      <c r="U1691" s="1772"/>
      <c r="V1691" s="1696"/>
      <c r="W1691" s="1772"/>
      <c r="X1691" s="1696"/>
      <c r="Y1691" s="1696"/>
      <c r="Z1691" s="1773"/>
    </row>
    <row r="1692">
      <c r="A1692" s="1766"/>
      <c r="B1692" s="1780"/>
      <c r="C1692" s="1766"/>
      <c r="D1692" s="1766"/>
      <c r="E1692" s="1766"/>
      <c r="F1692" s="1766"/>
      <c r="G1692" s="1766"/>
      <c r="H1692" s="1766"/>
      <c r="I1692" s="1766"/>
      <c r="J1692" s="1766"/>
      <c r="K1692" s="1766"/>
      <c r="L1692" s="1766"/>
      <c r="M1692" s="1766"/>
      <c r="N1692" s="1781"/>
      <c r="O1692" s="1766"/>
      <c r="P1692" s="1766"/>
      <c r="Q1692" s="1766"/>
      <c r="R1692" s="1766"/>
      <c r="S1692" s="1696"/>
      <c r="T1692" s="1696"/>
      <c r="U1692" s="1772"/>
      <c r="V1692" s="1696"/>
      <c r="W1692" s="1772"/>
      <c r="X1692" s="1696"/>
      <c r="Y1692" s="1696"/>
      <c r="Z1692" s="1773"/>
    </row>
    <row r="1693">
      <c r="A1693" s="1765"/>
      <c r="B1693" s="1782"/>
      <c r="C1693" s="1765"/>
      <c r="D1693" s="1765"/>
      <c r="E1693" s="1765"/>
      <c r="F1693" s="1765"/>
      <c r="G1693" s="1765"/>
      <c r="H1693" s="1765"/>
      <c r="I1693" s="1765"/>
      <c r="J1693" s="1765"/>
      <c r="K1693" s="1765"/>
      <c r="L1693" s="1765"/>
      <c r="M1693" s="1765"/>
      <c r="N1693" s="1765"/>
      <c r="O1693" s="1765"/>
      <c r="P1693" s="1765"/>
      <c r="Q1693" s="1766"/>
      <c r="R1693" s="1766"/>
      <c r="S1693" s="1696"/>
      <c r="T1693" s="1696"/>
      <c r="U1693" s="1772"/>
      <c r="V1693" s="1696"/>
      <c r="W1693" s="1772"/>
      <c r="X1693" s="1696"/>
      <c r="Y1693" s="1696"/>
      <c r="Z1693" s="1773"/>
    </row>
    <row r="1694">
      <c r="A1694" s="1771"/>
      <c r="B1694" s="1777"/>
      <c r="C1694" s="1771"/>
      <c r="D1694" s="1771"/>
      <c r="E1694" s="1771"/>
      <c r="F1694" s="1771"/>
      <c r="G1694" s="1770"/>
      <c r="H1694" s="1771"/>
      <c r="I1694" s="1778"/>
      <c r="J1694" s="1771"/>
      <c r="K1694" s="1771"/>
      <c r="L1694" s="1771"/>
      <c r="M1694" s="1771"/>
      <c r="N1694" s="1779"/>
      <c r="O1694" s="1770"/>
      <c r="P1694" s="1771"/>
      <c r="Q1694" s="1766"/>
      <c r="R1694" s="1766"/>
      <c r="S1694" s="1696"/>
      <c r="T1694" s="1696"/>
      <c r="U1694" s="1772"/>
      <c r="V1694" s="1696"/>
      <c r="W1694" s="1772"/>
      <c r="X1694" s="1696"/>
      <c r="Y1694" s="1696"/>
      <c r="Z1694" s="1773"/>
    </row>
    <row r="1695">
      <c r="A1695" s="1766"/>
      <c r="B1695" s="1780"/>
      <c r="C1695" s="1766"/>
      <c r="D1695" s="1766"/>
      <c r="E1695" s="1766"/>
      <c r="F1695" s="1766"/>
      <c r="G1695" s="1766"/>
      <c r="H1695" s="1766"/>
      <c r="I1695" s="1766"/>
      <c r="J1695" s="1766"/>
      <c r="K1695" s="1766"/>
      <c r="L1695" s="1766"/>
      <c r="M1695" s="1766"/>
      <c r="N1695" s="1781"/>
      <c r="O1695" s="1766"/>
      <c r="P1695" s="1766"/>
      <c r="Q1695" s="1766"/>
      <c r="R1695" s="1766"/>
      <c r="S1695" s="1696"/>
      <c r="T1695" s="1696"/>
      <c r="U1695" s="1772"/>
      <c r="V1695" s="1696"/>
      <c r="W1695" s="1772"/>
      <c r="X1695" s="1696"/>
      <c r="Y1695" s="1696"/>
      <c r="Z1695" s="1773"/>
    </row>
    <row r="1696">
      <c r="A1696" s="1765"/>
      <c r="B1696" s="1782"/>
      <c r="C1696" s="1765"/>
      <c r="D1696" s="1765"/>
      <c r="E1696" s="1765"/>
      <c r="F1696" s="1765"/>
      <c r="G1696" s="1765"/>
      <c r="H1696" s="1765"/>
      <c r="I1696" s="1765"/>
      <c r="J1696" s="1765"/>
      <c r="K1696" s="1765"/>
      <c r="L1696" s="1765"/>
      <c r="M1696" s="1765"/>
      <c r="N1696" s="1765"/>
      <c r="O1696" s="1765"/>
      <c r="P1696" s="1765"/>
      <c r="Q1696" s="1766"/>
      <c r="R1696" s="1766"/>
      <c r="S1696" s="1696"/>
      <c r="T1696" s="1696"/>
      <c r="U1696" s="1772"/>
      <c r="V1696" s="1696"/>
      <c r="W1696" s="1772"/>
      <c r="X1696" s="1696"/>
      <c r="Y1696" s="1696"/>
      <c r="Z1696" s="1773"/>
    </row>
    <row r="1697">
      <c r="A1697" s="1771"/>
      <c r="B1697" s="1777"/>
      <c r="C1697" s="1771"/>
      <c r="D1697" s="1771"/>
      <c r="E1697" s="1771"/>
      <c r="F1697" s="1771"/>
      <c r="G1697" s="1777"/>
      <c r="H1697" s="1771"/>
      <c r="I1697" s="1778"/>
      <c r="J1697" s="1771"/>
      <c r="K1697" s="1771"/>
      <c r="L1697" s="1771"/>
      <c r="M1697" s="1771"/>
      <c r="N1697" s="1779"/>
      <c r="O1697" s="1770"/>
      <c r="P1697" s="1771"/>
      <c r="Q1697" s="1766"/>
      <c r="R1697" s="1766"/>
      <c r="S1697" s="1696"/>
      <c r="T1697" s="1696"/>
      <c r="U1697" s="1772"/>
      <c r="V1697" s="1696"/>
      <c r="W1697" s="1772"/>
      <c r="X1697" s="1696"/>
      <c r="Y1697" s="1696"/>
      <c r="Z1697" s="1773"/>
    </row>
    <row r="1698">
      <c r="A1698" s="1766"/>
      <c r="B1698" s="1780"/>
      <c r="C1698" s="1766"/>
      <c r="D1698" s="1766"/>
      <c r="E1698" s="1766"/>
      <c r="F1698" s="1766"/>
      <c r="G1698" s="1766"/>
      <c r="H1698" s="1766"/>
      <c r="I1698" s="1766"/>
      <c r="J1698" s="1766"/>
      <c r="K1698" s="1766"/>
      <c r="L1698" s="1766"/>
      <c r="M1698" s="1766"/>
      <c r="N1698" s="1781"/>
      <c r="O1698" s="1766"/>
      <c r="P1698" s="1766"/>
      <c r="Q1698" s="1766"/>
      <c r="R1698" s="1766"/>
      <c r="S1698" s="1696"/>
      <c r="T1698" s="1696"/>
      <c r="U1698" s="1772"/>
      <c r="V1698" s="1696"/>
      <c r="W1698" s="1772"/>
      <c r="X1698" s="1696"/>
      <c r="Y1698" s="1696"/>
      <c r="Z1698" s="1773"/>
    </row>
    <row r="1699">
      <c r="A1699" s="1765"/>
      <c r="B1699" s="1782"/>
      <c r="C1699" s="1765"/>
      <c r="D1699" s="1765"/>
      <c r="E1699" s="1765"/>
      <c r="F1699" s="1765"/>
      <c r="G1699" s="1765"/>
      <c r="H1699" s="1765"/>
      <c r="I1699" s="1765"/>
      <c r="J1699" s="1765"/>
      <c r="K1699" s="1765"/>
      <c r="L1699" s="1765"/>
      <c r="M1699" s="1765"/>
      <c r="N1699" s="1765"/>
      <c r="O1699" s="1765"/>
      <c r="P1699" s="1765"/>
      <c r="Q1699" s="1766"/>
      <c r="R1699" s="1766"/>
      <c r="S1699" s="1696"/>
      <c r="T1699" s="1696"/>
      <c r="U1699" s="1772"/>
      <c r="V1699" s="1696"/>
      <c r="W1699" s="1772"/>
      <c r="X1699" s="1696"/>
      <c r="Y1699" s="1696"/>
      <c r="Z1699" s="1773"/>
    </row>
    <row r="1700">
      <c r="A1700" s="1771"/>
      <c r="B1700" s="1777"/>
      <c r="C1700" s="1771"/>
      <c r="D1700" s="1771"/>
      <c r="E1700" s="1771"/>
      <c r="F1700" s="1771"/>
      <c r="G1700" s="1777"/>
      <c r="H1700" s="1771"/>
      <c r="I1700" s="1770"/>
      <c r="J1700" s="1771"/>
      <c r="K1700" s="1771"/>
      <c r="L1700" s="1771"/>
      <c r="M1700" s="1771"/>
      <c r="N1700" s="1779"/>
      <c r="O1700" s="1770"/>
      <c r="P1700" s="1771"/>
      <c r="Q1700" s="1766"/>
      <c r="R1700" s="1766"/>
      <c r="S1700" s="1696"/>
      <c r="T1700" s="1696"/>
      <c r="U1700" s="1772"/>
      <c r="V1700" s="1696"/>
      <c r="W1700" s="1772"/>
      <c r="X1700" s="1696"/>
      <c r="Y1700" s="1696"/>
      <c r="Z1700" s="1773"/>
    </row>
    <row r="1701">
      <c r="A1701" s="1766"/>
      <c r="B1701" s="1780"/>
      <c r="C1701" s="1766"/>
      <c r="D1701" s="1766"/>
      <c r="E1701" s="1766"/>
      <c r="F1701" s="1766"/>
      <c r="G1701" s="1766"/>
      <c r="H1701" s="1766"/>
      <c r="I1701" s="1766"/>
      <c r="J1701" s="1766"/>
      <c r="K1701" s="1766"/>
      <c r="L1701" s="1766"/>
      <c r="M1701" s="1766"/>
      <c r="N1701" s="1781"/>
      <c r="O1701" s="1766"/>
      <c r="P1701" s="1766"/>
      <c r="Q1701" s="1766"/>
      <c r="R1701" s="1766"/>
      <c r="S1701" s="1696"/>
      <c r="T1701" s="1696"/>
      <c r="U1701" s="1772"/>
      <c r="V1701" s="1696"/>
      <c r="W1701" s="1772"/>
      <c r="X1701" s="1696"/>
      <c r="Y1701" s="1696"/>
      <c r="Z1701" s="1773"/>
    </row>
    <row r="1702">
      <c r="A1702" s="1765"/>
      <c r="B1702" s="1782"/>
      <c r="C1702" s="1765"/>
      <c r="D1702" s="1765"/>
      <c r="E1702" s="1765"/>
      <c r="F1702" s="1765"/>
      <c r="G1702" s="1765"/>
      <c r="H1702" s="1765"/>
      <c r="I1702" s="1765"/>
      <c r="J1702" s="1765"/>
      <c r="K1702" s="1765"/>
      <c r="L1702" s="1765"/>
      <c r="M1702" s="1765"/>
      <c r="N1702" s="1765"/>
      <c r="O1702" s="1765"/>
      <c r="P1702" s="1765"/>
      <c r="Q1702" s="1766"/>
      <c r="R1702" s="1766"/>
      <c r="S1702" s="1696"/>
      <c r="T1702" s="1696"/>
      <c r="U1702" s="1772"/>
      <c r="V1702" s="1696"/>
      <c r="W1702" s="1772"/>
      <c r="X1702" s="1696"/>
      <c r="Y1702" s="1696"/>
      <c r="Z1702" s="1773"/>
    </row>
    <row r="1703">
      <c r="A1703" s="1771"/>
      <c r="B1703" s="1777"/>
      <c r="C1703" s="1771"/>
      <c r="D1703" s="1771"/>
      <c r="E1703" s="1771"/>
      <c r="F1703" s="1771"/>
      <c r="G1703" s="1777"/>
      <c r="H1703" s="1771"/>
      <c r="I1703" s="1770"/>
      <c r="J1703" s="1771"/>
      <c r="K1703" s="1771"/>
      <c r="L1703" s="1771"/>
      <c r="M1703" s="1771"/>
      <c r="N1703" s="1779"/>
      <c r="O1703" s="1770"/>
      <c r="P1703" s="1771"/>
      <c r="Q1703" s="1766"/>
      <c r="R1703" s="1766"/>
      <c r="S1703" s="1696"/>
      <c r="T1703" s="1696"/>
      <c r="U1703" s="1772"/>
      <c r="V1703" s="1696"/>
      <c r="W1703" s="1772"/>
      <c r="X1703" s="1696"/>
      <c r="Y1703" s="1696"/>
      <c r="Z1703" s="1773"/>
    </row>
    <row r="1704">
      <c r="A1704" s="1766"/>
      <c r="B1704" s="1780"/>
      <c r="C1704" s="1766"/>
      <c r="D1704" s="1766"/>
      <c r="E1704" s="1766"/>
      <c r="F1704" s="1766"/>
      <c r="G1704" s="1766"/>
      <c r="H1704" s="1766"/>
      <c r="I1704" s="1766"/>
      <c r="J1704" s="1766"/>
      <c r="K1704" s="1766"/>
      <c r="L1704" s="1766"/>
      <c r="M1704" s="1766"/>
      <c r="N1704" s="1781"/>
      <c r="O1704" s="1766"/>
      <c r="P1704" s="1766"/>
      <c r="Q1704" s="1766"/>
      <c r="R1704" s="1766"/>
      <c r="S1704" s="1696"/>
      <c r="T1704" s="1696"/>
      <c r="U1704" s="1772"/>
      <c r="V1704" s="1696"/>
      <c r="W1704" s="1772"/>
      <c r="X1704" s="1696"/>
      <c r="Y1704" s="1696"/>
      <c r="Z1704" s="1773"/>
    </row>
    <row r="1705">
      <c r="A1705" s="1765"/>
      <c r="B1705" s="1782"/>
      <c r="C1705" s="1765"/>
      <c r="D1705" s="1765"/>
      <c r="E1705" s="1765"/>
      <c r="F1705" s="1765"/>
      <c r="G1705" s="1765"/>
      <c r="H1705" s="1765"/>
      <c r="I1705" s="1765"/>
      <c r="J1705" s="1765"/>
      <c r="K1705" s="1765"/>
      <c r="L1705" s="1765"/>
      <c r="M1705" s="1765"/>
      <c r="N1705" s="1765"/>
      <c r="O1705" s="1765"/>
      <c r="P1705" s="1765"/>
      <c r="Q1705" s="1766"/>
      <c r="R1705" s="1766"/>
      <c r="S1705" s="1696"/>
      <c r="T1705" s="1696"/>
      <c r="U1705" s="1772"/>
      <c r="V1705" s="1696"/>
      <c r="W1705" s="1772"/>
      <c r="X1705" s="1696"/>
      <c r="Y1705" s="1696"/>
      <c r="Z1705" s="1773"/>
    </row>
    <row r="1706">
      <c r="A1706" s="1771"/>
      <c r="B1706" s="1777"/>
      <c r="C1706" s="1771"/>
      <c r="D1706" s="1771"/>
      <c r="E1706" s="1771"/>
      <c r="F1706" s="1771"/>
      <c r="G1706" s="1771"/>
      <c r="H1706" s="1771"/>
      <c r="I1706" s="1778"/>
      <c r="J1706" s="1771"/>
      <c r="K1706" s="1771"/>
      <c r="L1706" s="1771"/>
      <c r="M1706" s="1771"/>
      <c r="N1706" s="1779"/>
      <c r="O1706" s="1770"/>
      <c r="P1706" s="1771"/>
      <c r="Q1706" s="1766"/>
      <c r="R1706" s="1766"/>
      <c r="S1706" s="1696"/>
      <c r="T1706" s="1696"/>
      <c r="U1706" s="1772"/>
      <c r="V1706" s="1696"/>
      <c r="W1706" s="1772"/>
      <c r="X1706" s="1696"/>
      <c r="Y1706" s="1696"/>
      <c r="Z1706" s="1773"/>
    </row>
    <row r="1707">
      <c r="A1707" s="1766"/>
      <c r="B1707" s="1780"/>
      <c r="C1707" s="1766"/>
      <c r="D1707" s="1766"/>
      <c r="E1707" s="1766"/>
      <c r="F1707" s="1766"/>
      <c r="G1707" s="1766"/>
      <c r="H1707" s="1766"/>
      <c r="I1707" s="1766"/>
      <c r="J1707" s="1766"/>
      <c r="K1707" s="1766"/>
      <c r="L1707" s="1766"/>
      <c r="M1707" s="1766"/>
      <c r="N1707" s="1781"/>
      <c r="O1707" s="1766"/>
      <c r="P1707" s="1766"/>
      <c r="Q1707" s="1766"/>
      <c r="R1707" s="1766"/>
      <c r="S1707" s="1696"/>
      <c r="T1707" s="1696"/>
      <c r="U1707" s="1772"/>
      <c r="V1707" s="1696"/>
      <c r="W1707" s="1772"/>
      <c r="X1707" s="1696"/>
      <c r="Y1707" s="1696"/>
      <c r="Z1707" s="1773"/>
    </row>
    <row r="1708">
      <c r="A1708" s="1765"/>
      <c r="B1708" s="1782"/>
      <c r="C1708" s="1765"/>
      <c r="D1708" s="1765"/>
      <c r="E1708" s="1765"/>
      <c r="F1708" s="1765"/>
      <c r="G1708" s="1765"/>
      <c r="H1708" s="1765"/>
      <c r="I1708" s="1765"/>
      <c r="J1708" s="1765"/>
      <c r="K1708" s="1765"/>
      <c r="L1708" s="1765"/>
      <c r="M1708" s="1765"/>
      <c r="N1708" s="1765"/>
      <c r="O1708" s="1765"/>
      <c r="P1708" s="1765"/>
      <c r="Q1708" s="1766"/>
      <c r="R1708" s="1766"/>
      <c r="S1708" s="1696"/>
      <c r="T1708" s="1696"/>
      <c r="U1708" s="1772"/>
      <c r="V1708" s="1696"/>
      <c r="W1708" s="1772"/>
      <c r="X1708" s="1696"/>
      <c r="Y1708" s="1696"/>
      <c r="Z1708" s="1773"/>
    </row>
    <row r="1709">
      <c r="A1709" s="1771"/>
      <c r="B1709" s="1777"/>
      <c r="C1709" s="1771"/>
      <c r="D1709" s="1771"/>
      <c r="E1709" s="1771"/>
      <c r="F1709" s="1771"/>
      <c r="G1709" s="1777"/>
      <c r="H1709" s="1771"/>
      <c r="I1709" s="1770"/>
      <c r="J1709" s="1771"/>
      <c r="K1709" s="1771"/>
      <c r="L1709" s="1771"/>
      <c r="M1709" s="1771"/>
      <c r="N1709" s="1779"/>
      <c r="O1709" s="1770"/>
      <c r="P1709" s="1771"/>
      <c r="Q1709" s="1766"/>
      <c r="R1709" s="1766"/>
      <c r="S1709" s="1696"/>
      <c r="T1709" s="1696"/>
      <c r="U1709" s="1772"/>
      <c r="V1709" s="1696"/>
      <c r="W1709" s="1772"/>
      <c r="X1709" s="1696"/>
      <c r="Y1709" s="1696"/>
      <c r="Z1709" s="1773"/>
    </row>
    <row r="1710">
      <c r="A1710" s="1766"/>
      <c r="B1710" s="1780"/>
      <c r="C1710" s="1766"/>
      <c r="D1710" s="1766"/>
      <c r="E1710" s="1766"/>
      <c r="F1710" s="1766"/>
      <c r="G1710" s="1766"/>
      <c r="H1710" s="1766"/>
      <c r="I1710" s="1766"/>
      <c r="J1710" s="1766"/>
      <c r="K1710" s="1766"/>
      <c r="L1710" s="1766"/>
      <c r="M1710" s="1766"/>
      <c r="N1710" s="1781"/>
      <c r="O1710" s="1766"/>
      <c r="P1710" s="1766"/>
      <c r="Q1710" s="1766"/>
      <c r="R1710" s="1766"/>
      <c r="S1710" s="1696"/>
      <c r="T1710" s="1696"/>
      <c r="U1710" s="1772"/>
      <c r="V1710" s="1696"/>
      <c r="W1710" s="1772"/>
      <c r="X1710" s="1696"/>
      <c r="Y1710" s="1696"/>
      <c r="Z1710" s="1773"/>
    </row>
    <row r="1711">
      <c r="A1711" s="1765"/>
      <c r="B1711" s="1782"/>
      <c r="C1711" s="1765"/>
      <c r="D1711" s="1765"/>
      <c r="E1711" s="1765"/>
      <c r="F1711" s="1765"/>
      <c r="G1711" s="1765"/>
      <c r="H1711" s="1765"/>
      <c r="I1711" s="1765"/>
      <c r="J1711" s="1765"/>
      <c r="K1711" s="1765"/>
      <c r="L1711" s="1765"/>
      <c r="M1711" s="1765"/>
      <c r="N1711" s="1765"/>
      <c r="O1711" s="1765"/>
      <c r="P1711" s="1765"/>
      <c r="Q1711" s="1766"/>
      <c r="R1711" s="1766"/>
      <c r="S1711" s="1696"/>
      <c r="T1711" s="1696"/>
      <c r="U1711" s="1772"/>
      <c r="V1711" s="1696"/>
      <c r="W1711" s="1772"/>
      <c r="X1711" s="1696"/>
      <c r="Y1711" s="1696"/>
      <c r="Z1711" s="1773"/>
    </row>
    <row r="1712">
      <c r="A1712" s="1771"/>
      <c r="B1712" s="1777"/>
      <c r="C1712" s="1771"/>
      <c r="D1712" s="1771"/>
      <c r="E1712" s="1771"/>
      <c r="F1712" s="1771"/>
      <c r="G1712" s="1770"/>
      <c r="H1712" s="1771"/>
      <c r="I1712" s="1778"/>
      <c r="J1712" s="1771"/>
      <c r="K1712" s="1771"/>
      <c r="L1712" s="1771"/>
      <c r="M1712" s="1771"/>
      <c r="N1712" s="1779"/>
      <c r="O1712" s="1770"/>
      <c r="P1712" s="1771"/>
      <c r="Q1712" s="1766"/>
      <c r="R1712" s="1766"/>
      <c r="S1712" s="1696"/>
      <c r="T1712" s="1696"/>
      <c r="U1712" s="1772"/>
      <c r="V1712" s="1696"/>
      <c r="W1712" s="1772"/>
      <c r="X1712" s="1696"/>
      <c r="Y1712" s="1696"/>
      <c r="Z1712" s="1773"/>
    </row>
    <row r="1713">
      <c r="A1713" s="1766"/>
      <c r="B1713" s="1780"/>
      <c r="C1713" s="1766"/>
      <c r="D1713" s="1766"/>
      <c r="E1713" s="1766"/>
      <c r="F1713" s="1766"/>
      <c r="G1713" s="1766"/>
      <c r="H1713" s="1766"/>
      <c r="I1713" s="1766"/>
      <c r="J1713" s="1766"/>
      <c r="K1713" s="1766"/>
      <c r="L1713" s="1766"/>
      <c r="M1713" s="1766"/>
      <c r="N1713" s="1781"/>
      <c r="O1713" s="1766"/>
      <c r="P1713" s="1766"/>
      <c r="Q1713" s="1766"/>
      <c r="R1713" s="1766"/>
      <c r="S1713" s="1696"/>
      <c r="T1713" s="1696"/>
      <c r="U1713" s="1772"/>
      <c r="V1713" s="1696"/>
      <c r="W1713" s="1772"/>
      <c r="X1713" s="1696"/>
      <c r="Y1713" s="1696"/>
      <c r="Z1713" s="1773"/>
    </row>
    <row r="1714">
      <c r="A1714" s="1765"/>
      <c r="B1714" s="1782"/>
      <c r="C1714" s="1765"/>
      <c r="D1714" s="1765"/>
      <c r="E1714" s="1765"/>
      <c r="F1714" s="1765"/>
      <c r="G1714" s="1765"/>
      <c r="H1714" s="1765"/>
      <c r="I1714" s="1765"/>
      <c r="J1714" s="1765"/>
      <c r="K1714" s="1765"/>
      <c r="L1714" s="1765"/>
      <c r="M1714" s="1765"/>
      <c r="N1714" s="1765"/>
      <c r="O1714" s="1765"/>
      <c r="P1714" s="1765"/>
      <c r="Q1714" s="1766"/>
      <c r="R1714" s="1766"/>
      <c r="S1714" s="1696"/>
      <c r="T1714" s="1696"/>
      <c r="U1714" s="1772"/>
      <c r="V1714" s="1696"/>
      <c r="W1714" s="1772"/>
      <c r="X1714" s="1696"/>
      <c r="Y1714" s="1696"/>
      <c r="Z1714" s="1773"/>
    </row>
    <row r="1715">
      <c r="A1715" s="1771"/>
      <c r="B1715" s="1777"/>
      <c r="C1715" s="1771"/>
      <c r="D1715" s="1771"/>
      <c r="E1715" s="1771"/>
      <c r="F1715" s="1771"/>
      <c r="G1715" s="1770"/>
      <c r="H1715" s="1771"/>
      <c r="I1715" s="1770"/>
      <c r="J1715" s="1771"/>
      <c r="K1715" s="1771"/>
      <c r="L1715" s="1771"/>
      <c r="M1715" s="1771"/>
      <c r="N1715" s="1779"/>
      <c r="O1715" s="1770"/>
      <c r="P1715" s="1771"/>
      <c r="Q1715" s="1766"/>
      <c r="R1715" s="1766"/>
      <c r="S1715" s="1696"/>
      <c r="T1715" s="1696"/>
      <c r="U1715" s="1772"/>
      <c r="V1715" s="1696"/>
      <c r="W1715" s="1772"/>
      <c r="X1715" s="1696"/>
      <c r="Y1715" s="1696"/>
      <c r="Z1715" s="1773"/>
    </row>
    <row r="1716">
      <c r="A1716" s="1766"/>
      <c r="B1716" s="1780"/>
      <c r="C1716" s="1766"/>
      <c r="D1716" s="1766"/>
      <c r="E1716" s="1766"/>
      <c r="F1716" s="1766"/>
      <c r="G1716" s="1766"/>
      <c r="H1716" s="1766"/>
      <c r="I1716" s="1766"/>
      <c r="J1716" s="1766"/>
      <c r="K1716" s="1766"/>
      <c r="L1716" s="1766"/>
      <c r="M1716" s="1766"/>
      <c r="N1716" s="1781"/>
      <c r="O1716" s="1766"/>
      <c r="P1716" s="1766"/>
      <c r="Q1716" s="1766"/>
      <c r="R1716" s="1766"/>
      <c r="S1716" s="1696"/>
      <c r="T1716" s="1696"/>
      <c r="U1716" s="1772"/>
      <c r="V1716" s="1696"/>
      <c r="W1716" s="1772"/>
      <c r="X1716" s="1696"/>
      <c r="Y1716" s="1696"/>
      <c r="Z1716" s="1773"/>
    </row>
    <row r="1717">
      <c r="A1717" s="1765"/>
      <c r="B1717" s="1782"/>
      <c r="C1717" s="1765"/>
      <c r="D1717" s="1765"/>
      <c r="E1717" s="1765"/>
      <c r="F1717" s="1765"/>
      <c r="G1717" s="1765"/>
      <c r="H1717" s="1765"/>
      <c r="I1717" s="1765"/>
      <c r="J1717" s="1765"/>
      <c r="K1717" s="1765"/>
      <c r="L1717" s="1765"/>
      <c r="M1717" s="1765"/>
      <c r="N1717" s="1765"/>
      <c r="O1717" s="1765"/>
      <c r="P1717" s="1765"/>
      <c r="Q1717" s="1766"/>
      <c r="R1717" s="1766"/>
      <c r="S1717" s="1696"/>
      <c r="T1717" s="1696"/>
      <c r="U1717" s="1772"/>
      <c r="V1717" s="1696"/>
      <c r="W1717" s="1772"/>
      <c r="X1717" s="1696"/>
      <c r="Y1717" s="1696"/>
      <c r="Z1717" s="1773"/>
    </row>
    <row r="1718">
      <c r="A1718" s="1771"/>
      <c r="B1718" s="1777"/>
      <c r="C1718" s="1771"/>
      <c r="D1718" s="1771"/>
      <c r="E1718" s="1771"/>
      <c r="F1718" s="1771"/>
      <c r="G1718" s="1771"/>
      <c r="H1718" s="1771"/>
      <c r="I1718" s="1770"/>
      <c r="J1718" s="1771"/>
      <c r="K1718" s="1771"/>
      <c r="L1718" s="1771"/>
      <c r="M1718" s="1771"/>
      <c r="N1718" s="1779"/>
      <c r="O1718" s="1770"/>
      <c r="P1718" s="1771"/>
      <c r="Q1718" s="1766"/>
      <c r="R1718" s="1766"/>
      <c r="S1718" s="1696"/>
      <c r="T1718" s="1696"/>
      <c r="U1718" s="1772"/>
      <c r="V1718" s="1696"/>
      <c r="W1718" s="1772"/>
      <c r="X1718" s="1696"/>
      <c r="Y1718" s="1696"/>
      <c r="Z1718" s="1773"/>
    </row>
    <row r="1719">
      <c r="A1719" s="1766"/>
      <c r="B1719" s="1780"/>
      <c r="C1719" s="1766"/>
      <c r="D1719" s="1766"/>
      <c r="E1719" s="1766"/>
      <c r="F1719" s="1766"/>
      <c r="G1719" s="1766"/>
      <c r="H1719" s="1766"/>
      <c r="I1719" s="1766"/>
      <c r="J1719" s="1766"/>
      <c r="K1719" s="1766"/>
      <c r="L1719" s="1766"/>
      <c r="M1719" s="1766"/>
      <c r="N1719" s="1781"/>
      <c r="O1719" s="1766"/>
      <c r="P1719" s="1766"/>
      <c r="Q1719" s="1766"/>
      <c r="R1719" s="1766"/>
      <c r="S1719" s="1696"/>
      <c r="T1719" s="1696"/>
      <c r="U1719" s="1772"/>
      <c r="V1719" s="1696"/>
      <c r="W1719" s="1772"/>
      <c r="X1719" s="1696"/>
      <c r="Y1719" s="1696"/>
      <c r="Z1719" s="1773"/>
    </row>
    <row r="1720">
      <c r="A1720" s="1765"/>
      <c r="B1720" s="1782"/>
      <c r="C1720" s="1765"/>
      <c r="D1720" s="1765"/>
      <c r="E1720" s="1765"/>
      <c r="F1720" s="1765"/>
      <c r="G1720" s="1765"/>
      <c r="H1720" s="1765"/>
      <c r="I1720" s="1765"/>
      <c r="J1720" s="1765"/>
      <c r="K1720" s="1765"/>
      <c r="L1720" s="1765"/>
      <c r="M1720" s="1765"/>
      <c r="N1720" s="1765"/>
      <c r="O1720" s="1765"/>
      <c r="P1720" s="1765"/>
      <c r="Q1720" s="1766"/>
      <c r="R1720" s="1766"/>
      <c r="S1720" s="1696"/>
      <c r="T1720" s="1696"/>
      <c r="U1720" s="1772"/>
      <c r="V1720" s="1696"/>
      <c r="W1720" s="1772"/>
      <c r="X1720" s="1696"/>
      <c r="Y1720" s="1696"/>
      <c r="Z1720" s="1773"/>
    </row>
    <row r="1721">
      <c r="A1721" s="1771"/>
      <c r="B1721" s="1777"/>
      <c r="C1721" s="1771"/>
      <c r="D1721" s="1771"/>
      <c r="E1721" s="1771"/>
      <c r="F1721" s="1771"/>
      <c r="G1721" s="1770"/>
      <c r="H1721" s="1771"/>
      <c r="I1721" s="1770"/>
      <c r="J1721" s="1771"/>
      <c r="K1721" s="1771"/>
      <c r="L1721" s="1771"/>
      <c r="M1721" s="1771"/>
      <c r="N1721" s="1779"/>
      <c r="O1721" s="1770"/>
      <c r="P1721" s="1771"/>
      <c r="Q1721" s="1766"/>
      <c r="R1721" s="1766"/>
      <c r="S1721" s="1696"/>
      <c r="T1721" s="1696"/>
      <c r="U1721" s="1772"/>
      <c r="V1721" s="1696"/>
      <c r="W1721" s="1772"/>
      <c r="X1721" s="1696"/>
      <c r="Y1721" s="1696"/>
      <c r="Z1721" s="1773"/>
    </row>
    <row r="1722">
      <c r="A1722" s="1766"/>
      <c r="B1722" s="1780"/>
      <c r="C1722" s="1766"/>
      <c r="D1722" s="1766"/>
      <c r="E1722" s="1766"/>
      <c r="F1722" s="1766"/>
      <c r="G1722" s="1766"/>
      <c r="H1722" s="1766"/>
      <c r="I1722" s="1766"/>
      <c r="J1722" s="1766"/>
      <c r="K1722" s="1766"/>
      <c r="L1722" s="1766"/>
      <c r="M1722" s="1766"/>
      <c r="N1722" s="1781"/>
      <c r="O1722" s="1766"/>
      <c r="P1722" s="1766"/>
      <c r="Q1722" s="1766"/>
      <c r="R1722" s="1766"/>
      <c r="S1722" s="1696"/>
      <c r="T1722" s="1696"/>
      <c r="U1722" s="1772"/>
      <c r="V1722" s="1696"/>
      <c r="W1722" s="1772"/>
      <c r="X1722" s="1696"/>
      <c r="Y1722" s="1696"/>
      <c r="Z1722" s="1773"/>
    </row>
    <row r="1723">
      <c r="A1723" s="1765"/>
      <c r="B1723" s="1782"/>
      <c r="C1723" s="1765"/>
      <c r="D1723" s="1765"/>
      <c r="E1723" s="1765"/>
      <c r="F1723" s="1765"/>
      <c r="G1723" s="1765"/>
      <c r="H1723" s="1765"/>
      <c r="I1723" s="1765"/>
      <c r="J1723" s="1765"/>
      <c r="K1723" s="1765"/>
      <c r="L1723" s="1765"/>
      <c r="M1723" s="1765"/>
      <c r="N1723" s="1765"/>
      <c r="O1723" s="1765"/>
      <c r="P1723" s="1765"/>
      <c r="Q1723" s="1766"/>
      <c r="R1723" s="1766"/>
      <c r="S1723" s="1696"/>
      <c r="T1723" s="1696"/>
      <c r="U1723" s="1772"/>
      <c r="V1723" s="1696"/>
      <c r="W1723" s="1772"/>
      <c r="X1723" s="1696"/>
      <c r="Y1723" s="1696"/>
      <c r="Z1723" s="1773"/>
    </row>
    <row r="1724">
      <c r="A1724" s="1771"/>
      <c r="B1724" s="1777"/>
      <c r="C1724" s="1771"/>
      <c r="D1724" s="1771"/>
      <c r="E1724" s="1771"/>
      <c r="F1724" s="1771"/>
      <c r="G1724" s="1770"/>
      <c r="H1724" s="1771"/>
      <c r="I1724" s="1770"/>
      <c r="J1724" s="1771"/>
      <c r="K1724" s="1771"/>
      <c r="L1724" s="1771"/>
      <c r="M1724" s="1771"/>
      <c r="N1724" s="1779"/>
      <c r="O1724" s="1770"/>
      <c r="P1724" s="1771"/>
      <c r="Q1724" s="1766"/>
      <c r="R1724" s="1766"/>
      <c r="S1724" s="1696"/>
      <c r="T1724" s="1696"/>
      <c r="U1724" s="1772"/>
      <c r="V1724" s="1696"/>
      <c r="W1724" s="1772"/>
      <c r="X1724" s="1696"/>
      <c r="Y1724" s="1696"/>
      <c r="Z1724" s="1773"/>
    </row>
    <row r="1725">
      <c r="A1725" s="1766"/>
      <c r="B1725" s="1780"/>
      <c r="C1725" s="1766"/>
      <c r="D1725" s="1766"/>
      <c r="E1725" s="1766"/>
      <c r="F1725" s="1766"/>
      <c r="G1725" s="1766"/>
      <c r="H1725" s="1766"/>
      <c r="I1725" s="1766"/>
      <c r="J1725" s="1766"/>
      <c r="K1725" s="1766"/>
      <c r="L1725" s="1766"/>
      <c r="M1725" s="1766"/>
      <c r="N1725" s="1781"/>
      <c r="O1725" s="1766"/>
      <c r="P1725" s="1766"/>
      <c r="Q1725" s="1766"/>
      <c r="R1725" s="1766"/>
      <c r="S1725" s="1696"/>
      <c r="T1725" s="1696"/>
      <c r="U1725" s="1772"/>
      <c r="V1725" s="1696"/>
      <c r="W1725" s="1772"/>
      <c r="X1725" s="1696"/>
      <c r="Y1725" s="1696"/>
      <c r="Z1725" s="1773"/>
    </row>
    <row r="1726">
      <c r="A1726" s="1765"/>
      <c r="B1726" s="1782"/>
      <c r="C1726" s="1765"/>
      <c r="D1726" s="1765"/>
      <c r="E1726" s="1765"/>
      <c r="F1726" s="1765"/>
      <c r="G1726" s="1765"/>
      <c r="H1726" s="1765"/>
      <c r="I1726" s="1765"/>
      <c r="J1726" s="1765"/>
      <c r="K1726" s="1765"/>
      <c r="L1726" s="1765"/>
      <c r="M1726" s="1765"/>
      <c r="N1726" s="1765"/>
      <c r="O1726" s="1765"/>
      <c r="P1726" s="1765"/>
      <c r="Q1726" s="1766"/>
      <c r="R1726" s="1766"/>
      <c r="S1726" s="1696"/>
      <c r="T1726" s="1696"/>
      <c r="U1726" s="1772"/>
      <c r="V1726" s="1696"/>
      <c r="W1726" s="1772"/>
      <c r="X1726" s="1696"/>
      <c r="Y1726" s="1696"/>
      <c r="Z1726" s="1773"/>
    </row>
    <row r="1727">
      <c r="A1727" s="1771"/>
      <c r="B1727" s="1777"/>
      <c r="C1727" s="1771"/>
      <c r="D1727" s="1771"/>
      <c r="E1727" s="1771"/>
      <c r="F1727" s="1771"/>
      <c r="G1727" s="1770"/>
      <c r="H1727" s="1771"/>
      <c r="I1727" s="1770"/>
      <c r="J1727" s="1771"/>
      <c r="K1727" s="1771"/>
      <c r="L1727" s="1771"/>
      <c r="M1727" s="1771"/>
      <c r="N1727" s="1779"/>
      <c r="O1727" s="1770"/>
      <c r="P1727" s="1771"/>
      <c r="Q1727" s="1766"/>
      <c r="R1727" s="1766"/>
      <c r="S1727" s="1696"/>
      <c r="T1727" s="1696"/>
      <c r="U1727" s="1772"/>
      <c r="V1727" s="1696"/>
      <c r="W1727" s="1772"/>
      <c r="X1727" s="1696"/>
      <c r="Y1727" s="1696"/>
      <c r="Z1727" s="1773"/>
    </row>
    <row r="1728">
      <c r="A1728" s="1766"/>
      <c r="B1728" s="1780"/>
      <c r="C1728" s="1766"/>
      <c r="D1728" s="1766"/>
      <c r="E1728" s="1766"/>
      <c r="F1728" s="1766"/>
      <c r="G1728" s="1766"/>
      <c r="H1728" s="1766"/>
      <c r="I1728" s="1766"/>
      <c r="J1728" s="1766"/>
      <c r="K1728" s="1766"/>
      <c r="L1728" s="1766"/>
      <c r="M1728" s="1766"/>
      <c r="N1728" s="1781"/>
      <c r="O1728" s="1766"/>
      <c r="P1728" s="1766"/>
      <c r="Q1728" s="1766"/>
      <c r="R1728" s="1766"/>
      <c r="S1728" s="1696"/>
      <c r="T1728" s="1696"/>
      <c r="U1728" s="1772"/>
      <c r="V1728" s="1696"/>
      <c r="W1728" s="1772"/>
      <c r="X1728" s="1696"/>
      <c r="Y1728" s="1696"/>
      <c r="Z1728" s="1773"/>
    </row>
    <row r="1729">
      <c r="A1729" s="1765"/>
      <c r="B1729" s="1782"/>
      <c r="C1729" s="1765"/>
      <c r="D1729" s="1765"/>
      <c r="E1729" s="1765"/>
      <c r="F1729" s="1765"/>
      <c r="G1729" s="1765"/>
      <c r="H1729" s="1765"/>
      <c r="I1729" s="1765"/>
      <c r="J1729" s="1765"/>
      <c r="K1729" s="1765"/>
      <c r="L1729" s="1765"/>
      <c r="M1729" s="1765"/>
      <c r="N1729" s="1765"/>
      <c r="O1729" s="1765"/>
      <c r="P1729" s="1765"/>
      <c r="Q1729" s="1766"/>
      <c r="R1729" s="1766"/>
      <c r="S1729" s="1696"/>
      <c r="T1729" s="1696"/>
      <c r="U1729" s="1772"/>
      <c r="V1729" s="1696"/>
      <c r="W1729" s="1772"/>
      <c r="X1729" s="1696"/>
      <c r="Y1729" s="1696"/>
      <c r="Z1729" s="1773"/>
    </row>
    <row r="1730">
      <c r="A1730" s="1771"/>
      <c r="B1730" s="1777"/>
      <c r="C1730" s="1771"/>
      <c r="D1730" s="1771"/>
      <c r="E1730" s="1771"/>
      <c r="F1730" s="1771"/>
      <c r="G1730" s="1770"/>
      <c r="H1730" s="1771"/>
      <c r="I1730" s="1770"/>
      <c r="J1730" s="1771"/>
      <c r="K1730" s="1771"/>
      <c r="L1730" s="1771"/>
      <c r="M1730" s="1771"/>
      <c r="N1730" s="1779"/>
      <c r="O1730" s="1770"/>
      <c r="P1730" s="1771"/>
      <c r="Q1730" s="1766"/>
      <c r="R1730" s="1766"/>
      <c r="S1730" s="1696"/>
      <c r="T1730" s="1696"/>
      <c r="U1730" s="1772"/>
      <c r="V1730" s="1696"/>
      <c r="W1730" s="1772"/>
      <c r="X1730" s="1696"/>
      <c r="Y1730" s="1696"/>
      <c r="Z1730" s="1773"/>
    </row>
    <row r="1731">
      <c r="A1731" s="1766"/>
      <c r="B1731" s="1780"/>
      <c r="C1731" s="1766"/>
      <c r="D1731" s="1766"/>
      <c r="E1731" s="1766"/>
      <c r="F1731" s="1766"/>
      <c r="G1731" s="1766"/>
      <c r="H1731" s="1766"/>
      <c r="I1731" s="1766"/>
      <c r="J1731" s="1766"/>
      <c r="K1731" s="1766"/>
      <c r="L1731" s="1766"/>
      <c r="M1731" s="1766"/>
      <c r="N1731" s="1781"/>
      <c r="O1731" s="1766"/>
      <c r="P1731" s="1766"/>
      <c r="Q1731" s="1766"/>
      <c r="R1731" s="1766"/>
      <c r="S1731" s="1696"/>
      <c r="T1731" s="1696"/>
      <c r="U1731" s="1772"/>
      <c r="V1731" s="1696"/>
      <c r="W1731" s="1772"/>
      <c r="X1731" s="1696"/>
      <c r="Y1731" s="1696"/>
      <c r="Z1731" s="1773"/>
    </row>
    <row r="1732">
      <c r="A1732" s="1765"/>
      <c r="B1732" s="1782"/>
      <c r="C1732" s="1765"/>
      <c r="D1732" s="1765"/>
      <c r="E1732" s="1765"/>
      <c r="F1732" s="1765"/>
      <c r="G1732" s="1765"/>
      <c r="H1732" s="1765"/>
      <c r="I1732" s="1765"/>
      <c r="J1732" s="1765"/>
      <c r="K1732" s="1765"/>
      <c r="L1732" s="1765"/>
      <c r="M1732" s="1765"/>
      <c r="N1732" s="1765"/>
      <c r="O1732" s="1765"/>
      <c r="P1732" s="1765"/>
      <c r="Q1732" s="1766"/>
      <c r="R1732" s="1766"/>
      <c r="S1732" s="1696"/>
      <c r="T1732" s="1696"/>
      <c r="U1732" s="1772"/>
      <c r="V1732" s="1696"/>
      <c r="W1732" s="1772"/>
      <c r="X1732" s="1696"/>
      <c r="Y1732" s="1696"/>
      <c r="Z1732" s="1773"/>
    </row>
    <row r="1733">
      <c r="A1733" s="1771"/>
      <c r="B1733" s="1777"/>
      <c r="C1733" s="1771"/>
      <c r="D1733" s="1771"/>
      <c r="E1733" s="1771"/>
      <c r="F1733" s="1771"/>
      <c r="G1733" s="1777"/>
      <c r="H1733" s="1771"/>
      <c r="I1733" s="1770"/>
      <c r="J1733" s="1771"/>
      <c r="K1733" s="1771"/>
      <c r="L1733" s="1771"/>
      <c r="M1733" s="1771"/>
      <c r="N1733" s="1779"/>
      <c r="O1733" s="1770"/>
      <c r="P1733" s="1771"/>
      <c r="Q1733" s="1766"/>
      <c r="R1733" s="1766"/>
      <c r="S1733" s="1696"/>
      <c r="T1733" s="1696"/>
      <c r="U1733" s="1772"/>
      <c r="V1733" s="1696"/>
      <c r="W1733" s="1772"/>
      <c r="X1733" s="1696"/>
      <c r="Y1733" s="1696"/>
      <c r="Z1733" s="1773"/>
    </row>
    <row r="1734">
      <c r="A1734" s="1766"/>
      <c r="B1734" s="1780"/>
      <c r="C1734" s="1766"/>
      <c r="D1734" s="1766"/>
      <c r="E1734" s="1766"/>
      <c r="F1734" s="1766"/>
      <c r="G1734" s="1766"/>
      <c r="H1734" s="1766"/>
      <c r="I1734" s="1766"/>
      <c r="J1734" s="1766"/>
      <c r="K1734" s="1766"/>
      <c r="L1734" s="1766"/>
      <c r="M1734" s="1766"/>
      <c r="N1734" s="1781"/>
      <c r="O1734" s="1766"/>
      <c r="P1734" s="1766"/>
      <c r="Q1734" s="1766"/>
      <c r="R1734" s="1766"/>
      <c r="S1734" s="1696"/>
      <c r="T1734" s="1696"/>
      <c r="U1734" s="1772"/>
      <c r="V1734" s="1696"/>
      <c r="W1734" s="1772"/>
      <c r="X1734" s="1696"/>
      <c r="Y1734" s="1696"/>
      <c r="Z1734" s="1773"/>
    </row>
    <row r="1735">
      <c r="A1735" s="1765"/>
      <c r="B1735" s="1782"/>
      <c r="C1735" s="1765"/>
      <c r="D1735" s="1765"/>
      <c r="E1735" s="1765"/>
      <c r="F1735" s="1765"/>
      <c r="G1735" s="1765"/>
      <c r="H1735" s="1765"/>
      <c r="I1735" s="1765"/>
      <c r="J1735" s="1765"/>
      <c r="K1735" s="1765"/>
      <c r="L1735" s="1765"/>
      <c r="M1735" s="1765"/>
      <c r="N1735" s="1765"/>
      <c r="O1735" s="1765"/>
      <c r="P1735" s="1765"/>
      <c r="Q1735" s="1766"/>
      <c r="R1735" s="1766"/>
      <c r="S1735" s="1696"/>
      <c r="T1735" s="1696"/>
      <c r="U1735" s="1772"/>
      <c r="V1735" s="1696"/>
      <c r="W1735" s="1772"/>
      <c r="X1735" s="1696"/>
      <c r="Y1735" s="1696"/>
      <c r="Z1735" s="1773"/>
    </row>
    <row r="1736">
      <c r="A1736" s="1771"/>
      <c r="B1736" s="1777"/>
      <c r="C1736" s="1771"/>
      <c r="D1736" s="1771"/>
      <c r="E1736" s="1771"/>
      <c r="F1736" s="1771"/>
      <c r="G1736" s="1770"/>
      <c r="H1736" s="1771"/>
      <c r="I1736" s="1770"/>
      <c r="J1736" s="1771"/>
      <c r="K1736" s="1771"/>
      <c r="L1736" s="1771"/>
      <c r="M1736" s="1771"/>
      <c r="N1736" s="1779"/>
      <c r="O1736" s="1770"/>
      <c r="P1736" s="1771"/>
      <c r="Q1736" s="1766"/>
      <c r="R1736" s="1766"/>
      <c r="S1736" s="1696"/>
      <c r="T1736" s="1696"/>
      <c r="U1736" s="1772"/>
      <c r="V1736" s="1696"/>
      <c r="W1736" s="1772"/>
      <c r="X1736" s="1696"/>
      <c r="Y1736" s="1696"/>
      <c r="Z1736" s="1773"/>
    </row>
    <row r="1737">
      <c r="A1737" s="1766"/>
      <c r="B1737" s="1780"/>
      <c r="C1737" s="1766"/>
      <c r="D1737" s="1766"/>
      <c r="E1737" s="1766"/>
      <c r="F1737" s="1766"/>
      <c r="G1737" s="1766"/>
      <c r="H1737" s="1766"/>
      <c r="I1737" s="1766"/>
      <c r="J1737" s="1766"/>
      <c r="K1737" s="1766"/>
      <c r="L1737" s="1766"/>
      <c r="M1737" s="1766"/>
      <c r="N1737" s="1781"/>
      <c r="O1737" s="1766"/>
      <c r="P1737" s="1766"/>
      <c r="Q1737" s="1766"/>
      <c r="R1737" s="1766"/>
      <c r="S1737" s="1696"/>
      <c r="T1737" s="1696"/>
      <c r="U1737" s="1772"/>
      <c r="V1737" s="1696"/>
      <c r="W1737" s="1772"/>
      <c r="X1737" s="1696"/>
      <c r="Y1737" s="1696"/>
      <c r="Z1737" s="1773"/>
    </row>
    <row r="1738">
      <c r="A1738" s="1765"/>
      <c r="B1738" s="1782"/>
      <c r="C1738" s="1765"/>
      <c r="D1738" s="1765"/>
      <c r="E1738" s="1765"/>
      <c r="F1738" s="1765"/>
      <c r="G1738" s="1765"/>
      <c r="H1738" s="1765"/>
      <c r="I1738" s="1765"/>
      <c r="J1738" s="1765"/>
      <c r="K1738" s="1765"/>
      <c r="L1738" s="1765"/>
      <c r="M1738" s="1765"/>
      <c r="N1738" s="1765"/>
      <c r="O1738" s="1765"/>
      <c r="P1738" s="1765"/>
      <c r="Q1738" s="1766"/>
      <c r="R1738" s="1766"/>
      <c r="S1738" s="1696"/>
      <c r="T1738" s="1696"/>
      <c r="U1738" s="1772"/>
      <c r="V1738" s="1696"/>
      <c r="W1738" s="1772"/>
      <c r="X1738" s="1696"/>
      <c r="Y1738" s="1696"/>
      <c r="Z1738" s="1773"/>
    </row>
    <row r="1739">
      <c r="A1739" s="1771"/>
      <c r="B1739" s="1777"/>
      <c r="C1739" s="1771"/>
      <c r="D1739" s="1771"/>
      <c r="E1739" s="1771"/>
      <c r="F1739" s="1771"/>
      <c r="G1739" s="1771"/>
      <c r="H1739" s="1771"/>
      <c r="I1739" s="1770"/>
      <c r="J1739" s="1771"/>
      <c r="K1739" s="1771"/>
      <c r="L1739" s="1771"/>
      <c r="M1739" s="1771"/>
      <c r="N1739" s="1779"/>
      <c r="O1739" s="1770"/>
      <c r="P1739" s="1771"/>
      <c r="Q1739" s="1766"/>
      <c r="R1739" s="1766"/>
      <c r="S1739" s="1696"/>
      <c r="T1739" s="1696"/>
      <c r="U1739" s="1772"/>
      <c r="V1739" s="1696"/>
      <c r="W1739" s="1772"/>
      <c r="X1739" s="1696"/>
      <c r="Y1739" s="1696"/>
      <c r="Z1739" s="1773"/>
    </row>
    <row r="1740">
      <c r="A1740" s="1766"/>
      <c r="B1740" s="1780"/>
      <c r="C1740" s="1766"/>
      <c r="D1740" s="1766"/>
      <c r="E1740" s="1766"/>
      <c r="F1740" s="1766"/>
      <c r="G1740" s="1766"/>
      <c r="H1740" s="1766"/>
      <c r="I1740" s="1766"/>
      <c r="J1740" s="1766"/>
      <c r="K1740" s="1766"/>
      <c r="L1740" s="1766"/>
      <c r="M1740" s="1766"/>
      <c r="N1740" s="1781"/>
      <c r="O1740" s="1766"/>
      <c r="P1740" s="1766"/>
      <c r="Q1740" s="1766"/>
      <c r="R1740" s="1766"/>
      <c r="S1740" s="1696"/>
      <c r="T1740" s="1696"/>
      <c r="U1740" s="1772"/>
      <c r="V1740" s="1696"/>
      <c r="W1740" s="1772"/>
      <c r="X1740" s="1696"/>
      <c r="Y1740" s="1696"/>
      <c r="Z1740" s="1773"/>
    </row>
    <row r="1741">
      <c r="A1741" s="1765"/>
      <c r="B1741" s="1782"/>
      <c r="C1741" s="1765"/>
      <c r="D1741" s="1765"/>
      <c r="E1741" s="1765"/>
      <c r="F1741" s="1765"/>
      <c r="G1741" s="1765"/>
      <c r="H1741" s="1765"/>
      <c r="I1741" s="1765"/>
      <c r="J1741" s="1765"/>
      <c r="K1741" s="1765"/>
      <c r="L1741" s="1765"/>
      <c r="M1741" s="1765"/>
      <c r="N1741" s="1765"/>
      <c r="O1741" s="1765"/>
      <c r="P1741" s="1765"/>
      <c r="Q1741" s="1766"/>
      <c r="R1741" s="1766"/>
      <c r="S1741" s="1696"/>
      <c r="T1741" s="1696"/>
      <c r="U1741" s="1772"/>
      <c r="V1741" s="1696"/>
      <c r="W1741" s="1772"/>
      <c r="X1741" s="1696"/>
      <c r="Y1741" s="1696"/>
      <c r="Z1741" s="1773"/>
    </row>
    <row r="1742">
      <c r="A1742" s="1771"/>
      <c r="B1742" s="1777"/>
      <c r="C1742" s="1771"/>
      <c r="D1742" s="1771"/>
      <c r="E1742" s="1771"/>
      <c r="F1742" s="1771"/>
      <c r="G1742" s="1771"/>
      <c r="H1742" s="1771"/>
      <c r="I1742" s="1770"/>
      <c r="J1742" s="1771"/>
      <c r="K1742" s="1771"/>
      <c r="L1742" s="1771"/>
      <c r="M1742" s="1771"/>
      <c r="N1742" s="1779"/>
      <c r="O1742" s="1770"/>
      <c r="P1742" s="1771"/>
      <c r="Q1742" s="1766"/>
      <c r="R1742" s="1766"/>
      <c r="S1742" s="1696"/>
      <c r="T1742" s="1696"/>
      <c r="U1742" s="1772"/>
      <c r="V1742" s="1696"/>
      <c r="W1742" s="1772"/>
      <c r="X1742" s="1696"/>
      <c r="Y1742" s="1696"/>
      <c r="Z1742" s="1773"/>
    </row>
    <row r="1743">
      <c r="A1743" s="1766"/>
      <c r="B1743" s="1780"/>
      <c r="C1743" s="1766"/>
      <c r="D1743" s="1766"/>
      <c r="E1743" s="1766"/>
      <c r="F1743" s="1766"/>
      <c r="G1743" s="1766"/>
      <c r="H1743" s="1766"/>
      <c r="I1743" s="1766"/>
      <c r="J1743" s="1766"/>
      <c r="K1743" s="1766"/>
      <c r="L1743" s="1766"/>
      <c r="M1743" s="1766"/>
      <c r="N1743" s="1781"/>
      <c r="O1743" s="1766"/>
      <c r="P1743" s="1766"/>
      <c r="Q1743" s="1766"/>
      <c r="R1743" s="1766"/>
      <c r="S1743" s="1696"/>
      <c r="T1743" s="1696"/>
      <c r="U1743" s="1772"/>
      <c r="V1743" s="1696"/>
      <c r="W1743" s="1772"/>
      <c r="X1743" s="1696"/>
      <c r="Y1743" s="1696"/>
      <c r="Z1743" s="1773"/>
    </row>
    <row r="1744">
      <c r="A1744" s="1765"/>
      <c r="B1744" s="1782"/>
      <c r="C1744" s="1765"/>
      <c r="D1744" s="1765"/>
      <c r="E1744" s="1765"/>
      <c r="F1744" s="1765"/>
      <c r="G1744" s="1765"/>
      <c r="H1744" s="1765"/>
      <c r="I1744" s="1765"/>
      <c r="J1744" s="1765"/>
      <c r="K1744" s="1765"/>
      <c r="L1744" s="1765"/>
      <c r="M1744" s="1765"/>
      <c r="N1744" s="1765"/>
      <c r="O1744" s="1765"/>
      <c r="P1744" s="1765"/>
      <c r="Q1744" s="1766"/>
      <c r="R1744" s="1766"/>
      <c r="S1744" s="1696"/>
      <c r="T1744" s="1696"/>
      <c r="U1744" s="1772"/>
      <c r="V1744" s="1696"/>
      <c r="W1744" s="1772"/>
      <c r="X1744" s="1696"/>
      <c r="Y1744" s="1696"/>
      <c r="Z1744" s="1773"/>
    </row>
    <row r="1745">
      <c r="A1745" s="1771"/>
      <c r="B1745" s="1777"/>
      <c r="C1745" s="1771"/>
      <c r="D1745" s="1771"/>
      <c r="E1745" s="1771"/>
      <c r="F1745" s="1771"/>
      <c r="G1745" s="1777"/>
      <c r="H1745" s="1771"/>
      <c r="I1745" s="1770"/>
      <c r="J1745" s="1771"/>
      <c r="K1745" s="1771"/>
      <c r="L1745" s="1771"/>
      <c r="M1745" s="1771"/>
      <c r="N1745" s="1779"/>
      <c r="O1745" s="1770"/>
      <c r="P1745" s="1771"/>
      <c r="Q1745" s="1766"/>
      <c r="R1745" s="1766"/>
      <c r="S1745" s="1696"/>
      <c r="T1745" s="1696"/>
      <c r="U1745" s="1772"/>
      <c r="V1745" s="1696"/>
      <c r="W1745" s="1772"/>
      <c r="X1745" s="1696"/>
      <c r="Y1745" s="1696"/>
      <c r="Z1745" s="1773"/>
    </row>
    <row r="1746">
      <c r="A1746" s="1766"/>
      <c r="B1746" s="1780"/>
      <c r="C1746" s="1766"/>
      <c r="D1746" s="1766"/>
      <c r="E1746" s="1766"/>
      <c r="F1746" s="1766"/>
      <c r="G1746" s="1766"/>
      <c r="H1746" s="1766"/>
      <c r="I1746" s="1766"/>
      <c r="J1746" s="1766"/>
      <c r="K1746" s="1766"/>
      <c r="L1746" s="1766"/>
      <c r="M1746" s="1766"/>
      <c r="N1746" s="1781"/>
      <c r="O1746" s="1766"/>
      <c r="P1746" s="1766"/>
      <c r="Q1746" s="1766"/>
      <c r="R1746" s="1766"/>
      <c r="S1746" s="1696"/>
      <c r="T1746" s="1696"/>
      <c r="U1746" s="1772"/>
      <c r="V1746" s="1696"/>
      <c r="W1746" s="1772"/>
      <c r="X1746" s="1696"/>
      <c r="Y1746" s="1696"/>
      <c r="Z1746" s="1773"/>
    </row>
    <row r="1747">
      <c r="A1747" s="1765"/>
      <c r="B1747" s="1782"/>
      <c r="C1747" s="1765"/>
      <c r="D1747" s="1765"/>
      <c r="E1747" s="1765"/>
      <c r="F1747" s="1765"/>
      <c r="G1747" s="1765"/>
      <c r="H1747" s="1765"/>
      <c r="I1747" s="1765"/>
      <c r="J1747" s="1765"/>
      <c r="K1747" s="1765"/>
      <c r="L1747" s="1765"/>
      <c r="M1747" s="1765"/>
      <c r="N1747" s="1765"/>
      <c r="O1747" s="1765"/>
      <c r="P1747" s="1765"/>
      <c r="Q1747" s="1766"/>
      <c r="R1747" s="1766"/>
      <c r="S1747" s="1696"/>
      <c r="T1747" s="1696"/>
      <c r="U1747" s="1772"/>
      <c r="V1747" s="1696"/>
      <c r="W1747" s="1772"/>
      <c r="X1747" s="1696"/>
      <c r="Y1747" s="1696"/>
      <c r="Z1747" s="1773"/>
    </row>
    <row r="1748">
      <c r="A1748" s="1771"/>
      <c r="B1748" s="1777"/>
      <c r="C1748" s="1771"/>
      <c r="D1748" s="1771"/>
      <c r="E1748" s="1771"/>
      <c r="F1748" s="1771"/>
      <c r="G1748" s="1770"/>
      <c r="H1748" s="1771"/>
      <c r="I1748" s="1778"/>
      <c r="J1748" s="1771"/>
      <c r="K1748" s="1771"/>
      <c r="L1748" s="1771"/>
      <c r="M1748" s="1771"/>
      <c r="N1748" s="1779"/>
      <c r="O1748" s="1770"/>
      <c r="P1748" s="1771"/>
      <c r="Q1748" s="1766"/>
      <c r="R1748" s="1766"/>
      <c r="S1748" s="1696"/>
      <c r="T1748" s="1696"/>
      <c r="U1748" s="1772"/>
      <c r="V1748" s="1696"/>
      <c r="W1748" s="1772"/>
      <c r="X1748" s="1696"/>
      <c r="Y1748" s="1696"/>
      <c r="Z1748" s="1773"/>
    </row>
    <row r="1749">
      <c r="A1749" s="1766"/>
      <c r="B1749" s="1780"/>
      <c r="C1749" s="1766"/>
      <c r="D1749" s="1766"/>
      <c r="E1749" s="1766"/>
      <c r="F1749" s="1766"/>
      <c r="G1749" s="1766"/>
      <c r="H1749" s="1766"/>
      <c r="I1749" s="1766"/>
      <c r="J1749" s="1766"/>
      <c r="K1749" s="1766"/>
      <c r="L1749" s="1766"/>
      <c r="M1749" s="1766"/>
      <c r="N1749" s="1781"/>
      <c r="O1749" s="1766"/>
      <c r="P1749" s="1766"/>
      <c r="Q1749" s="1766"/>
      <c r="R1749" s="1766"/>
      <c r="S1749" s="1696"/>
      <c r="T1749" s="1696"/>
      <c r="U1749" s="1772"/>
      <c r="V1749" s="1696"/>
      <c r="W1749" s="1772"/>
      <c r="X1749" s="1696"/>
      <c r="Y1749" s="1696"/>
      <c r="Z1749" s="1773"/>
    </row>
    <row r="1750">
      <c r="A1750" s="1765"/>
      <c r="B1750" s="1782"/>
      <c r="C1750" s="1765"/>
      <c r="D1750" s="1765"/>
      <c r="E1750" s="1765"/>
      <c r="F1750" s="1765"/>
      <c r="G1750" s="1765"/>
      <c r="H1750" s="1765"/>
      <c r="I1750" s="1765"/>
      <c r="J1750" s="1765"/>
      <c r="K1750" s="1765"/>
      <c r="L1750" s="1765"/>
      <c r="M1750" s="1765"/>
      <c r="N1750" s="1765"/>
      <c r="O1750" s="1765"/>
      <c r="P1750" s="1765"/>
      <c r="Q1750" s="1766"/>
      <c r="R1750" s="1766"/>
      <c r="S1750" s="1696"/>
      <c r="T1750" s="1696"/>
      <c r="U1750" s="1772"/>
      <c r="V1750" s="1696"/>
      <c r="W1750" s="1772"/>
      <c r="X1750" s="1696"/>
      <c r="Y1750" s="1696"/>
      <c r="Z1750" s="1773"/>
    </row>
    <row r="1751">
      <c r="A1751" s="1771"/>
      <c r="B1751" s="1777"/>
      <c r="C1751" s="1771"/>
      <c r="D1751" s="1771"/>
      <c r="E1751" s="1771"/>
      <c r="F1751" s="1771"/>
      <c r="G1751" s="1770"/>
      <c r="H1751" s="1771"/>
      <c r="I1751" s="1770"/>
      <c r="J1751" s="1771"/>
      <c r="K1751" s="1771"/>
      <c r="L1751" s="1771"/>
      <c r="M1751" s="1771"/>
      <c r="N1751" s="1779"/>
      <c r="O1751" s="1770"/>
      <c r="P1751" s="1771"/>
      <c r="Q1751" s="1766"/>
      <c r="R1751" s="1766"/>
      <c r="S1751" s="1696"/>
      <c r="T1751" s="1696"/>
      <c r="U1751" s="1772"/>
      <c r="V1751" s="1696"/>
      <c r="W1751" s="1772"/>
      <c r="X1751" s="1696"/>
      <c r="Y1751" s="1696"/>
      <c r="Z1751" s="1773"/>
    </row>
    <row r="1752">
      <c r="A1752" s="1766"/>
      <c r="B1752" s="1780"/>
      <c r="C1752" s="1766"/>
      <c r="D1752" s="1766"/>
      <c r="E1752" s="1766"/>
      <c r="F1752" s="1766"/>
      <c r="G1752" s="1766"/>
      <c r="H1752" s="1766"/>
      <c r="I1752" s="1766"/>
      <c r="J1752" s="1766"/>
      <c r="K1752" s="1766"/>
      <c r="L1752" s="1766"/>
      <c r="M1752" s="1766"/>
      <c r="N1752" s="1781"/>
      <c r="O1752" s="1766"/>
      <c r="P1752" s="1766"/>
      <c r="Q1752" s="1766"/>
      <c r="R1752" s="1766"/>
      <c r="S1752" s="1696"/>
      <c r="T1752" s="1696"/>
      <c r="U1752" s="1772"/>
      <c r="V1752" s="1696"/>
      <c r="W1752" s="1772"/>
      <c r="X1752" s="1696"/>
      <c r="Y1752" s="1696"/>
      <c r="Z1752" s="1773"/>
    </row>
    <row r="1753">
      <c r="A1753" s="1765"/>
      <c r="B1753" s="1782"/>
      <c r="C1753" s="1765"/>
      <c r="D1753" s="1765"/>
      <c r="E1753" s="1765"/>
      <c r="F1753" s="1765"/>
      <c r="G1753" s="1765"/>
      <c r="H1753" s="1765"/>
      <c r="I1753" s="1765"/>
      <c r="J1753" s="1765"/>
      <c r="K1753" s="1765"/>
      <c r="L1753" s="1765"/>
      <c r="M1753" s="1765"/>
      <c r="N1753" s="1765"/>
      <c r="O1753" s="1765"/>
      <c r="P1753" s="1765"/>
      <c r="Q1753" s="1766"/>
      <c r="R1753" s="1766"/>
      <c r="S1753" s="1696"/>
      <c r="T1753" s="1696"/>
      <c r="U1753" s="1772"/>
      <c r="V1753" s="1696"/>
      <c r="W1753" s="1772"/>
      <c r="X1753" s="1696"/>
      <c r="Y1753" s="1696"/>
      <c r="Z1753" s="1773"/>
    </row>
    <row r="1754">
      <c r="A1754" s="1771"/>
      <c r="B1754" s="1777"/>
      <c r="C1754" s="1771"/>
      <c r="D1754" s="1771"/>
      <c r="E1754" s="1771"/>
      <c r="F1754" s="1771"/>
      <c r="G1754" s="1770"/>
      <c r="H1754" s="1771"/>
      <c r="I1754" s="1770"/>
      <c r="J1754" s="1771"/>
      <c r="K1754" s="1771"/>
      <c r="L1754" s="1771"/>
      <c r="M1754" s="1771"/>
      <c r="N1754" s="1779"/>
      <c r="O1754" s="1770"/>
      <c r="P1754" s="1771"/>
      <c r="Q1754" s="1766"/>
      <c r="R1754" s="1766"/>
      <c r="S1754" s="1696"/>
      <c r="T1754" s="1696"/>
      <c r="U1754" s="1772"/>
      <c r="V1754" s="1696"/>
      <c r="W1754" s="1772"/>
      <c r="X1754" s="1696"/>
      <c r="Y1754" s="1696"/>
      <c r="Z1754" s="1773"/>
    </row>
    <row r="1755">
      <c r="A1755" s="1766"/>
      <c r="B1755" s="1780"/>
      <c r="C1755" s="1766"/>
      <c r="D1755" s="1766"/>
      <c r="E1755" s="1766"/>
      <c r="F1755" s="1766"/>
      <c r="G1755" s="1766"/>
      <c r="H1755" s="1766"/>
      <c r="I1755" s="1766"/>
      <c r="J1755" s="1766"/>
      <c r="K1755" s="1766"/>
      <c r="L1755" s="1766"/>
      <c r="M1755" s="1766"/>
      <c r="N1755" s="1781"/>
      <c r="O1755" s="1766"/>
      <c r="P1755" s="1766"/>
      <c r="Q1755" s="1766"/>
      <c r="R1755" s="1766"/>
      <c r="S1755" s="1696"/>
      <c r="T1755" s="1696"/>
      <c r="U1755" s="1772"/>
      <c r="V1755" s="1696"/>
      <c r="W1755" s="1772"/>
      <c r="X1755" s="1696"/>
      <c r="Y1755" s="1696"/>
      <c r="Z1755" s="1773"/>
    </row>
    <row r="1756">
      <c r="A1756" s="1765"/>
      <c r="B1756" s="1782"/>
      <c r="C1756" s="1765"/>
      <c r="D1756" s="1765"/>
      <c r="E1756" s="1765"/>
      <c r="F1756" s="1765"/>
      <c r="G1756" s="1765"/>
      <c r="H1756" s="1765"/>
      <c r="I1756" s="1765"/>
      <c r="J1756" s="1765"/>
      <c r="K1756" s="1765"/>
      <c r="L1756" s="1765"/>
      <c r="M1756" s="1765"/>
      <c r="N1756" s="1765"/>
      <c r="O1756" s="1765"/>
      <c r="P1756" s="1765"/>
      <c r="Q1756" s="1766"/>
      <c r="R1756" s="1766"/>
      <c r="S1756" s="1696"/>
      <c r="T1756" s="1696"/>
      <c r="U1756" s="1772"/>
      <c r="V1756" s="1696"/>
      <c r="W1756" s="1772"/>
      <c r="X1756" s="1696"/>
      <c r="Y1756" s="1696"/>
      <c r="Z1756" s="1773"/>
    </row>
    <row r="1757">
      <c r="A1757" s="1771"/>
      <c r="B1757" s="1777"/>
      <c r="C1757" s="1771"/>
      <c r="D1757" s="1771"/>
      <c r="E1757" s="1771"/>
      <c r="F1757" s="1771"/>
      <c r="G1757" s="1770"/>
      <c r="H1757" s="1771"/>
      <c r="I1757" s="1778"/>
      <c r="J1757" s="1771"/>
      <c r="K1757" s="1771"/>
      <c r="L1757" s="1771"/>
      <c r="M1757" s="1771"/>
      <c r="N1757" s="1779"/>
      <c r="O1757" s="1770"/>
      <c r="P1757" s="1771"/>
      <c r="Q1757" s="1766"/>
      <c r="R1757" s="1766"/>
      <c r="S1757" s="1696"/>
      <c r="T1757" s="1696"/>
      <c r="U1757" s="1772"/>
      <c r="V1757" s="1696"/>
      <c r="W1757" s="1772"/>
      <c r="X1757" s="1696"/>
      <c r="Y1757" s="1696"/>
      <c r="Z1757" s="1773"/>
    </row>
    <row r="1758">
      <c r="A1758" s="1766"/>
      <c r="B1758" s="1780"/>
      <c r="C1758" s="1766"/>
      <c r="D1758" s="1766"/>
      <c r="E1758" s="1766"/>
      <c r="F1758" s="1766"/>
      <c r="G1758" s="1766"/>
      <c r="H1758" s="1766"/>
      <c r="I1758" s="1766"/>
      <c r="J1758" s="1766"/>
      <c r="K1758" s="1766"/>
      <c r="L1758" s="1766"/>
      <c r="M1758" s="1766"/>
      <c r="N1758" s="1781"/>
      <c r="O1758" s="1766"/>
      <c r="P1758" s="1766"/>
      <c r="Q1758" s="1766"/>
      <c r="R1758" s="1766"/>
      <c r="S1758" s="1696"/>
      <c r="T1758" s="1696"/>
      <c r="U1758" s="1772"/>
      <c r="V1758" s="1696"/>
      <c r="W1758" s="1772"/>
      <c r="X1758" s="1696"/>
      <c r="Y1758" s="1696"/>
      <c r="Z1758" s="1773"/>
    </row>
    <row r="1759">
      <c r="A1759" s="1765"/>
      <c r="B1759" s="1782"/>
      <c r="C1759" s="1765"/>
      <c r="D1759" s="1765"/>
      <c r="E1759" s="1765"/>
      <c r="F1759" s="1765"/>
      <c r="G1759" s="1765"/>
      <c r="H1759" s="1765"/>
      <c r="I1759" s="1765"/>
      <c r="J1759" s="1765"/>
      <c r="K1759" s="1765"/>
      <c r="L1759" s="1765"/>
      <c r="M1759" s="1765"/>
      <c r="N1759" s="1765"/>
      <c r="O1759" s="1765"/>
      <c r="P1759" s="1765"/>
      <c r="Q1759" s="1766"/>
      <c r="R1759" s="1766"/>
      <c r="S1759" s="1696"/>
      <c r="T1759" s="1696"/>
      <c r="U1759" s="1772"/>
      <c r="V1759" s="1696"/>
      <c r="W1759" s="1772"/>
      <c r="X1759" s="1696"/>
      <c r="Y1759" s="1696"/>
      <c r="Z1759" s="1773"/>
    </row>
    <row r="1760">
      <c r="A1760" s="1771"/>
      <c r="B1760" s="1777"/>
      <c r="C1760" s="1771"/>
      <c r="D1760" s="1771"/>
      <c r="E1760" s="1771"/>
      <c r="F1760" s="1771"/>
      <c r="G1760" s="1770"/>
      <c r="H1760" s="1771"/>
      <c r="I1760" s="1770"/>
      <c r="J1760" s="1771"/>
      <c r="K1760" s="1771"/>
      <c r="L1760" s="1771"/>
      <c r="M1760" s="1771"/>
      <c r="N1760" s="1779"/>
      <c r="O1760" s="1770"/>
      <c r="P1760" s="1771"/>
      <c r="Q1760" s="1766"/>
      <c r="R1760" s="1766"/>
      <c r="S1760" s="1696"/>
      <c r="T1760" s="1696"/>
      <c r="U1760" s="1772"/>
      <c r="V1760" s="1696"/>
      <c r="W1760" s="1772"/>
      <c r="X1760" s="1696"/>
      <c r="Y1760" s="1696"/>
      <c r="Z1760" s="1773"/>
    </row>
    <row r="1761">
      <c r="A1761" s="1766"/>
      <c r="B1761" s="1780"/>
      <c r="C1761" s="1766"/>
      <c r="D1761" s="1766"/>
      <c r="E1761" s="1766"/>
      <c r="F1761" s="1766"/>
      <c r="G1761" s="1766"/>
      <c r="H1761" s="1766"/>
      <c r="I1761" s="1766"/>
      <c r="J1761" s="1766"/>
      <c r="K1761" s="1766"/>
      <c r="L1761" s="1766"/>
      <c r="M1761" s="1766"/>
      <c r="N1761" s="1781"/>
      <c r="O1761" s="1766"/>
      <c r="P1761" s="1766"/>
      <c r="Q1761" s="1766"/>
      <c r="R1761" s="1766"/>
      <c r="S1761" s="1696"/>
      <c r="T1761" s="1696"/>
      <c r="U1761" s="1772"/>
      <c r="V1761" s="1696"/>
      <c r="W1761" s="1772"/>
      <c r="X1761" s="1696"/>
      <c r="Y1761" s="1696"/>
      <c r="Z1761" s="1773"/>
    </row>
    <row r="1762">
      <c r="A1762" s="1765"/>
      <c r="B1762" s="1782"/>
      <c r="C1762" s="1765"/>
      <c r="D1762" s="1765"/>
      <c r="E1762" s="1765"/>
      <c r="F1762" s="1765"/>
      <c r="G1762" s="1765"/>
      <c r="H1762" s="1765"/>
      <c r="I1762" s="1765"/>
      <c r="J1762" s="1765"/>
      <c r="K1762" s="1765"/>
      <c r="L1762" s="1765"/>
      <c r="M1762" s="1765"/>
      <c r="N1762" s="1765"/>
      <c r="O1762" s="1765"/>
      <c r="P1762" s="1765"/>
      <c r="Q1762" s="1766"/>
      <c r="R1762" s="1766"/>
      <c r="S1762" s="1696"/>
      <c r="T1762" s="1696"/>
      <c r="U1762" s="1772"/>
      <c r="V1762" s="1696"/>
      <c r="W1762" s="1772"/>
      <c r="X1762" s="1696"/>
      <c r="Y1762" s="1696"/>
      <c r="Z1762" s="1773"/>
    </row>
    <row r="1763">
      <c r="A1763" s="1771"/>
      <c r="B1763" s="1777"/>
      <c r="C1763" s="1771"/>
      <c r="D1763" s="1771"/>
      <c r="E1763" s="1771"/>
      <c r="F1763" s="1771"/>
      <c r="G1763" s="1770"/>
      <c r="H1763" s="1771"/>
      <c r="I1763" s="1770"/>
      <c r="J1763" s="1771"/>
      <c r="K1763" s="1771"/>
      <c r="L1763" s="1771"/>
      <c r="M1763" s="1771"/>
      <c r="N1763" s="1779"/>
      <c r="O1763" s="1770"/>
      <c r="P1763" s="1771"/>
      <c r="Q1763" s="1766"/>
      <c r="R1763" s="1766"/>
      <c r="S1763" s="1696"/>
      <c r="T1763" s="1696"/>
      <c r="U1763" s="1772"/>
      <c r="V1763" s="1696"/>
      <c r="W1763" s="1772"/>
      <c r="X1763" s="1696"/>
      <c r="Y1763" s="1696"/>
      <c r="Z1763" s="1773"/>
    </row>
    <row r="1764">
      <c r="A1764" s="1766"/>
      <c r="B1764" s="1780"/>
      <c r="C1764" s="1766"/>
      <c r="D1764" s="1766"/>
      <c r="E1764" s="1766"/>
      <c r="F1764" s="1766"/>
      <c r="G1764" s="1766"/>
      <c r="H1764" s="1766"/>
      <c r="I1764" s="1766"/>
      <c r="J1764" s="1766"/>
      <c r="K1764" s="1766"/>
      <c r="L1764" s="1766"/>
      <c r="M1764" s="1766"/>
      <c r="N1764" s="1781"/>
      <c r="O1764" s="1766"/>
      <c r="P1764" s="1766"/>
      <c r="Q1764" s="1766"/>
      <c r="R1764" s="1766"/>
      <c r="S1764" s="1696"/>
      <c r="T1764" s="1696"/>
      <c r="U1764" s="1772"/>
      <c r="V1764" s="1696"/>
      <c r="W1764" s="1772"/>
      <c r="X1764" s="1696"/>
      <c r="Y1764" s="1696"/>
      <c r="Z1764" s="1773"/>
    </row>
    <row r="1765">
      <c r="A1765" s="1765"/>
      <c r="B1765" s="1782"/>
      <c r="C1765" s="1765"/>
      <c r="D1765" s="1765"/>
      <c r="E1765" s="1765"/>
      <c r="F1765" s="1765"/>
      <c r="G1765" s="1765"/>
      <c r="H1765" s="1765"/>
      <c r="I1765" s="1765"/>
      <c r="J1765" s="1765"/>
      <c r="K1765" s="1765"/>
      <c r="L1765" s="1765"/>
      <c r="M1765" s="1765"/>
      <c r="N1765" s="1765"/>
      <c r="O1765" s="1765"/>
      <c r="P1765" s="1765"/>
      <c r="Q1765" s="1766"/>
      <c r="R1765" s="1766"/>
      <c r="S1765" s="1696"/>
      <c r="T1765" s="1696"/>
      <c r="U1765" s="1772"/>
      <c r="V1765" s="1696"/>
      <c r="W1765" s="1772"/>
      <c r="X1765" s="1696"/>
      <c r="Y1765" s="1696"/>
      <c r="Z1765" s="1773"/>
    </row>
    <row r="1766">
      <c r="A1766" s="1771"/>
      <c r="B1766" s="1777"/>
      <c r="C1766" s="1771"/>
      <c r="D1766" s="1771"/>
      <c r="E1766" s="1771"/>
      <c r="F1766" s="1771"/>
      <c r="G1766" s="1771"/>
      <c r="H1766" s="1771"/>
      <c r="I1766" s="1770"/>
      <c r="J1766" s="1771"/>
      <c r="K1766" s="1771"/>
      <c r="L1766" s="1771"/>
      <c r="M1766" s="1771"/>
      <c r="N1766" s="1779"/>
      <c r="O1766" s="1770"/>
      <c r="P1766" s="1771"/>
      <c r="Q1766" s="1766"/>
      <c r="R1766" s="1766"/>
      <c r="S1766" s="1696"/>
      <c r="T1766" s="1696"/>
      <c r="U1766" s="1772"/>
      <c r="V1766" s="1696"/>
      <c r="W1766" s="1772"/>
      <c r="X1766" s="1696"/>
      <c r="Y1766" s="1696"/>
      <c r="Z1766" s="1773"/>
    </row>
    <row r="1767">
      <c r="A1767" s="1766"/>
      <c r="B1767" s="1780"/>
      <c r="C1767" s="1766"/>
      <c r="D1767" s="1766"/>
      <c r="E1767" s="1766"/>
      <c r="F1767" s="1766"/>
      <c r="G1767" s="1766"/>
      <c r="H1767" s="1766"/>
      <c r="I1767" s="1766"/>
      <c r="J1767" s="1766"/>
      <c r="K1767" s="1766"/>
      <c r="L1767" s="1766"/>
      <c r="M1767" s="1766"/>
      <c r="N1767" s="1781"/>
      <c r="O1767" s="1766"/>
      <c r="P1767" s="1766"/>
      <c r="Q1767" s="1766"/>
      <c r="R1767" s="1766"/>
      <c r="S1767" s="1696"/>
      <c r="T1767" s="1696"/>
      <c r="U1767" s="1772"/>
      <c r="V1767" s="1696"/>
      <c r="W1767" s="1772"/>
      <c r="X1767" s="1696"/>
      <c r="Y1767" s="1696"/>
      <c r="Z1767" s="1773"/>
    </row>
    <row r="1768">
      <c r="A1768" s="1765"/>
      <c r="B1768" s="1782"/>
      <c r="C1768" s="1765"/>
      <c r="D1768" s="1765"/>
      <c r="E1768" s="1765"/>
      <c r="F1768" s="1765"/>
      <c r="G1768" s="1765"/>
      <c r="H1768" s="1765"/>
      <c r="I1768" s="1765"/>
      <c r="J1768" s="1765"/>
      <c r="K1768" s="1765"/>
      <c r="L1768" s="1765"/>
      <c r="M1768" s="1765"/>
      <c r="N1768" s="1765"/>
      <c r="O1768" s="1765"/>
      <c r="P1768" s="1765"/>
      <c r="Q1768" s="1766"/>
      <c r="R1768" s="1766"/>
      <c r="S1768" s="1696"/>
      <c r="T1768" s="1696"/>
      <c r="U1768" s="1772"/>
      <c r="V1768" s="1696"/>
      <c r="W1768" s="1772"/>
      <c r="X1768" s="1696"/>
      <c r="Y1768" s="1696"/>
      <c r="Z1768" s="1773"/>
    </row>
    <row r="1769">
      <c r="A1769" s="1771"/>
      <c r="B1769" s="1777"/>
      <c r="C1769" s="1771"/>
      <c r="D1769" s="1771"/>
      <c r="E1769" s="1771"/>
      <c r="F1769" s="1771"/>
      <c r="G1769" s="1777"/>
      <c r="H1769" s="1771"/>
      <c r="I1769" s="1770"/>
      <c r="J1769" s="1771"/>
      <c r="K1769" s="1771"/>
      <c r="L1769" s="1771"/>
      <c r="M1769" s="1771"/>
      <c r="N1769" s="1779"/>
      <c r="O1769" s="1770"/>
      <c r="P1769" s="1771"/>
      <c r="Q1769" s="1766"/>
      <c r="R1769" s="1766"/>
      <c r="S1769" s="1696"/>
      <c r="T1769" s="1696"/>
      <c r="U1769" s="1772"/>
      <c r="V1769" s="1696"/>
      <c r="W1769" s="1772"/>
      <c r="X1769" s="1696"/>
      <c r="Y1769" s="1696"/>
      <c r="Z1769" s="1773"/>
    </row>
    <row r="1770">
      <c r="A1770" s="1766"/>
      <c r="B1770" s="1780"/>
      <c r="C1770" s="1766"/>
      <c r="D1770" s="1766"/>
      <c r="E1770" s="1766"/>
      <c r="F1770" s="1766"/>
      <c r="G1770" s="1766"/>
      <c r="H1770" s="1766"/>
      <c r="I1770" s="1766"/>
      <c r="J1770" s="1766"/>
      <c r="K1770" s="1766"/>
      <c r="L1770" s="1766"/>
      <c r="M1770" s="1766"/>
      <c r="N1770" s="1781"/>
      <c r="O1770" s="1766"/>
      <c r="P1770" s="1766"/>
      <c r="Q1770" s="1766"/>
      <c r="R1770" s="1766"/>
      <c r="S1770" s="1696"/>
      <c r="T1770" s="1696"/>
      <c r="U1770" s="1772"/>
      <c r="V1770" s="1696"/>
      <c r="W1770" s="1772"/>
      <c r="X1770" s="1696"/>
      <c r="Y1770" s="1696"/>
      <c r="Z1770" s="1773"/>
    </row>
    <row r="1771">
      <c r="A1771" s="1765"/>
      <c r="B1771" s="1782"/>
      <c r="C1771" s="1765"/>
      <c r="D1771" s="1765"/>
      <c r="E1771" s="1765"/>
      <c r="F1771" s="1765"/>
      <c r="G1771" s="1765"/>
      <c r="H1771" s="1765"/>
      <c r="I1771" s="1765"/>
      <c r="J1771" s="1765"/>
      <c r="K1771" s="1765"/>
      <c r="L1771" s="1765"/>
      <c r="M1771" s="1765"/>
      <c r="N1771" s="1765"/>
      <c r="O1771" s="1765"/>
      <c r="P1771" s="1765"/>
      <c r="Q1771" s="1766"/>
      <c r="R1771" s="1766"/>
      <c r="S1771" s="1696"/>
      <c r="T1771" s="1696"/>
      <c r="U1771" s="1772"/>
      <c r="V1771" s="1696"/>
      <c r="W1771" s="1772"/>
      <c r="X1771" s="1696"/>
      <c r="Y1771" s="1696"/>
      <c r="Z1771" s="1773"/>
    </row>
    <row r="1772">
      <c r="A1772" s="1771"/>
      <c r="B1772" s="1777"/>
      <c r="C1772" s="1771"/>
      <c r="D1772" s="1771"/>
      <c r="E1772" s="1771"/>
      <c r="F1772" s="1771"/>
      <c r="G1772" s="1771"/>
      <c r="H1772" s="1771"/>
      <c r="I1772" s="1770"/>
      <c r="J1772" s="1771"/>
      <c r="K1772" s="1771"/>
      <c r="L1772" s="1771"/>
      <c r="M1772" s="1771"/>
      <c r="N1772" s="1779"/>
      <c r="O1772" s="1770"/>
      <c r="P1772" s="1771"/>
      <c r="Q1772" s="1766"/>
      <c r="R1772" s="1766"/>
      <c r="S1772" s="1696"/>
      <c r="T1772" s="1696"/>
      <c r="U1772" s="1772"/>
      <c r="V1772" s="1696"/>
      <c r="W1772" s="1772"/>
      <c r="X1772" s="1696"/>
      <c r="Y1772" s="1696"/>
      <c r="Z1772" s="1773"/>
    </row>
    <row r="1773">
      <c r="A1773" s="1766"/>
      <c r="B1773" s="1780"/>
      <c r="C1773" s="1766"/>
      <c r="D1773" s="1766"/>
      <c r="E1773" s="1766"/>
      <c r="F1773" s="1766"/>
      <c r="G1773" s="1766"/>
      <c r="H1773" s="1766"/>
      <c r="I1773" s="1766"/>
      <c r="J1773" s="1766"/>
      <c r="K1773" s="1766"/>
      <c r="L1773" s="1766"/>
      <c r="M1773" s="1766"/>
      <c r="N1773" s="1781"/>
      <c r="O1773" s="1766"/>
      <c r="P1773" s="1766"/>
      <c r="Q1773" s="1766"/>
      <c r="R1773" s="1766"/>
      <c r="S1773" s="1696"/>
      <c r="T1773" s="1696"/>
      <c r="U1773" s="1772"/>
      <c r="V1773" s="1696"/>
      <c r="W1773" s="1772"/>
      <c r="X1773" s="1696"/>
      <c r="Y1773" s="1696"/>
      <c r="Z1773" s="1773"/>
    </row>
    <row r="1774">
      <c r="A1774" s="1765"/>
      <c r="B1774" s="1782"/>
      <c r="C1774" s="1765"/>
      <c r="D1774" s="1765"/>
      <c r="E1774" s="1765"/>
      <c r="F1774" s="1765"/>
      <c r="G1774" s="1765"/>
      <c r="H1774" s="1765"/>
      <c r="I1774" s="1765"/>
      <c r="J1774" s="1765"/>
      <c r="K1774" s="1765"/>
      <c r="L1774" s="1765"/>
      <c r="M1774" s="1765"/>
      <c r="N1774" s="1765"/>
      <c r="O1774" s="1765"/>
      <c r="P1774" s="1765"/>
      <c r="Q1774" s="1766"/>
      <c r="R1774" s="1766"/>
      <c r="S1774" s="1696"/>
      <c r="T1774" s="1696"/>
      <c r="U1774" s="1772"/>
      <c r="V1774" s="1696"/>
      <c r="W1774" s="1772"/>
      <c r="X1774" s="1696"/>
      <c r="Y1774" s="1696"/>
      <c r="Z1774" s="1773"/>
    </row>
    <row r="1775">
      <c r="A1775" s="1771"/>
      <c r="B1775" s="1777"/>
      <c r="C1775" s="1771"/>
      <c r="D1775" s="1771"/>
      <c r="E1775" s="1771"/>
      <c r="F1775" s="1771"/>
      <c r="G1775" s="1771"/>
      <c r="H1775" s="1771"/>
      <c r="I1775" s="1770"/>
      <c r="J1775" s="1771"/>
      <c r="K1775" s="1771"/>
      <c r="L1775" s="1771"/>
      <c r="M1775" s="1771"/>
      <c r="N1775" s="1779"/>
      <c r="O1775" s="1770"/>
      <c r="P1775" s="1771"/>
      <c r="Q1775" s="1766"/>
      <c r="R1775" s="1766"/>
      <c r="S1775" s="1696"/>
      <c r="T1775" s="1696"/>
      <c r="U1775" s="1772"/>
      <c r="V1775" s="1696"/>
      <c r="W1775" s="1772"/>
      <c r="X1775" s="1696"/>
      <c r="Y1775" s="1696"/>
      <c r="Z1775" s="1773"/>
    </row>
    <row r="1776">
      <c r="A1776" s="1766"/>
      <c r="B1776" s="1780"/>
      <c r="C1776" s="1766"/>
      <c r="D1776" s="1766"/>
      <c r="E1776" s="1766"/>
      <c r="F1776" s="1766"/>
      <c r="G1776" s="1766"/>
      <c r="H1776" s="1766"/>
      <c r="I1776" s="1766"/>
      <c r="J1776" s="1766"/>
      <c r="K1776" s="1766"/>
      <c r="L1776" s="1766"/>
      <c r="M1776" s="1766"/>
      <c r="N1776" s="1781"/>
      <c r="O1776" s="1766"/>
      <c r="P1776" s="1766"/>
      <c r="Q1776" s="1766"/>
      <c r="R1776" s="1766"/>
      <c r="S1776" s="1696"/>
      <c r="T1776" s="1696"/>
      <c r="U1776" s="1772"/>
      <c r="V1776" s="1696"/>
      <c r="W1776" s="1772"/>
      <c r="X1776" s="1696"/>
      <c r="Y1776" s="1696"/>
      <c r="Z1776" s="1773"/>
    </row>
    <row r="1777">
      <c r="A1777" s="1765"/>
      <c r="B1777" s="1782"/>
      <c r="C1777" s="1765"/>
      <c r="D1777" s="1765"/>
      <c r="E1777" s="1765"/>
      <c r="F1777" s="1765"/>
      <c r="G1777" s="1765"/>
      <c r="H1777" s="1765"/>
      <c r="I1777" s="1765"/>
      <c r="J1777" s="1765"/>
      <c r="K1777" s="1765"/>
      <c r="L1777" s="1765"/>
      <c r="M1777" s="1765"/>
      <c r="N1777" s="1765"/>
      <c r="O1777" s="1765"/>
      <c r="P1777" s="1765"/>
      <c r="Q1777" s="1766"/>
      <c r="R1777" s="1766"/>
      <c r="S1777" s="1696"/>
      <c r="T1777" s="1696"/>
      <c r="U1777" s="1772"/>
      <c r="V1777" s="1696"/>
      <c r="W1777" s="1772"/>
      <c r="X1777" s="1696"/>
      <c r="Y1777" s="1696"/>
      <c r="Z1777" s="1773"/>
    </row>
    <row r="1778">
      <c r="A1778" s="1771"/>
      <c r="B1778" s="1777"/>
      <c r="C1778" s="1771"/>
      <c r="D1778" s="1771"/>
      <c r="E1778" s="1771"/>
      <c r="F1778" s="1771"/>
      <c r="G1778" s="1771"/>
      <c r="H1778" s="1771"/>
      <c r="I1778" s="1770"/>
      <c r="J1778" s="1771"/>
      <c r="K1778" s="1771"/>
      <c r="L1778" s="1771"/>
      <c r="M1778" s="1771"/>
      <c r="N1778" s="1779"/>
      <c r="O1778" s="1770"/>
      <c r="P1778" s="1771"/>
      <c r="Q1778" s="1766"/>
      <c r="R1778" s="1766"/>
      <c r="S1778" s="1696"/>
      <c r="T1778" s="1696"/>
      <c r="U1778" s="1772"/>
      <c r="V1778" s="1696"/>
      <c r="W1778" s="1772"/>
      <c r="X1778" s="1696"/>
      <c r="Y1778" s="1696"/>
      <c r="Z1778" s="1773"/>
    </row>
    <row r="1779">
      <c r="A1779" s="1766"/>
      <c r="B1779" s="1780"/>
      <c r="C1779" s="1766"/>
      <c r="D1779" s="1766"/>
      <c r="E1779" s="1766"/>
      <c r="F1779" s="1766"/>
      <c r="G1779" s="1766"/>
      <c r="H1779" s="1766"/>
      <c r="I1779" s="1766"/>
      <c r="J1779" s="1766"/>
      <c r="K1779" s="1766"/>
      <c r="L1779" s="1766"/>
      <c r="M1779" s="1766"/>
      <c r="N1779" s="1781"/>
      <c r="O1779" s="1766"/>
      <c r="P1779" s="1766"/>
      <c r="Q1779" s="1766"/>
      <c r="R1779" s="1766"/>
      <c r="S1779" s="1696"/>
      <c r="T1779" s="1696"/>
      <c r="U1779" s="1772"/>
      <c r="V1779" s="1696"/>
      <c r="W1779" s="1772"/>
      <c r="X1779" s="1696"/>
      <c r="Y1779" s="1696"/>
      <c r="Z1779" s="1773"/>
    </row>
    <row r="1780">
      <c r="A1780" s="1765"/>
      <c r="B1780" s="1782"/>
      <c r="C1780" s="1765"/>
      <c r="D1780" s="1765"/>
      <c r="E1780" s="1765"/>
      <c r="F1780" s="1765"/>
      <c r="G1780" s="1765"/>
      <c r="H1780" s="1765"/>
      <c r="I1780" s="1765"/>
      <c r="J1780" s="1765"/>
      <c r="K1780" s="1765"/>
      <c r="L1780" s="1765"/>
      <c r="M1780" s="1765"/>
      <c r="N1780" s="1765"/>
      <c r="O1780" s="1765"/>
      <c r="P1780" s="1765"/>
      <c r="Q1780" s="1766"/>
      <c r="R1780" s="1766"/>
      <c r="S1780" s="1696"/>
      <c r="T1780" s="1696"/>
      <c r="U1780" s="1772"/>
      <c r="V1780" s="1696"/>
      <c r="W1780" s="1772"/>
      <c r="X1780" s="1696"/>
      <c r="Y1780" s="1696"/>
      <c r="Z1780" s="1773"/>
    </row>
    <row r="1781">
      <c r="A1781" s="1771"/>
      <c r="B1781" s="1777"/>
      <c r="C1781" s="1771"/>
      <c r="D1781" s="1771"/>
      <c r="E1781" s="1771"/>
      <c r="F1781" s="1771"/>
      <c r="G1781" s="1771"/>
      <c r="H1781" s="1771"/>
      <c r="I1781" s="1778"/>
      <c r="J1781" s="1771"/>
      <c r="K1781" s="1771"/>
      <c r="L1781" s="1771"/>
      <c r="M1781" s="1771"/>
      <c r="N1781" s="1779"/>
      <c r="O1781" s="1770"/>
      <c r="P1781" s="1771"/>
      <c r="Q1781" s="1766"/>
      <c r="R1781" s="1766"/>
      <c r="S1781" s="1696"/>
      <c r="T1781" s="1696"/>
      <c r="U1781" s="1772"/>
      <c r="V1781" s="1696"/>
      <c r="W1781" s="1772"/>
      <c r="X1781" s="1696"/>
      <c r="Y1781" s="1696"/>
      <c r="Z1781" s="1773"/>
    </row>
    <row r="1782">
      <c r="A1782" s="1766"/>
      <c r="B1782" s="1780"/>
      <c r="C1782" s="1766"/>
      <c r="D1782" s="1766"/>
      <c r="E1782" s="1766"/>
      <c r="F1782" s="1766"/>
      <c r="G1782" s="1766"/>
      <c r="H1782" s="1766"/>
      <c r="I1782" s="1766"/>
      <c r="J1782" s="1766"/>
      <c r="K1782" s="1766"/>
      <c r="L1782" s="1766"/>
      <c r="M1782" s="1766"/>
      <c r="N1782" s="1781"/>
      <c r="O1782" s="1766"/>
      <c r="P1782" s="1766"/>
      <c r="Q1782" s="1766"/>
      <c r="R1782" s="1766"/>
      <c r="S1782" s="1696"/>
      <c r="T1782" s="1696"/>
      <c r="U1782" s="1772"/>
      <c r="V1782" s="1696"/>
      <c r="W1782" s="1772"/>
      <c r="X1782" s="1696"/>
      <c r="Y1782" s="1696"/>
      <c r="Z1782" s="1773"/>
    </row>
    <row r="1783">
      <c r="A1783" s="1765"/>
      <c r="B1783" s="1782"/>
      <c r="C1783" s="1765"/>
      <c r="D1783" s="1765"/>
      <c r="E1783" s="1765"/>
      <c r="F1783" s="1765"/>
      <c r="G1783" s="1765"/>
      <c r="H1783" s="1765"/>
      <c r="I1783" s="1765"/>
      <c r="J1783" s="1765"/>
      <c r="K1783" s="1765"/>
      <c r="L1783" s="1765"/>
      <c r="M1783" s="1765"/>
      <c r="N1783" s="1765"/>
      <c r="O1783" s="1765"/>
      <c r="P1783" s="1765"/>
      <c r="Q1783" s="1766"/>
      <c r="R1783" s="1766"/>
      <c r="S1783" s="1696"/>
      <c r="T1783" s="1696"/>
      <c r="U1783" s="1772"/>
      <c r="V1783" s="1696"/>
      <c r="W1783" s="1772"/>
      <c r="X1783" s="1696"/>
      <c r="Y1783" s="1696"/>
      <c r="Z1783" s="1773"/>
    </row>
    <row r="1784">
      <c r="A1784" s="1771"/>
      <c r="B1784" s="1777"/>
      <c r="C1784" s="1771"/>
      <c r="D1784" s="1771"/>
      <c r="E1784" s="1771"/>
      <c r="F1784" s="1771"/>
      <c r="G1784" s="1771"/>
      <c r="H1784" s="1771"/>
      <c r="I1784" s="1770"/>
      <c r="J1784" s="1771"/>
      <c r="K1784" s="1771"/>
      <c r="L1784" s="1771"/>
      <c r="M1784" s="1771"/>
      <c r="N1784" s="1779"/>
      <c r="O1784" s="1770"/>
      <c r="P1784" s="1771"/>
      <c r="Q1784" s="1766"/>
      <c r="R1784" s="1766"/>
      <c r="S1784" s="1696"/>
      <c r="T1784" s="1696"/>
      <c r="U1784" s="1772"/>
      <c r="V1784" s="1696"/>
      <c r="W1784" s="1772"/>
      <c r="X1784" s="1696"/>
      <c r="Y1784" s="1696"/>
      <c r="Z1784" s="1773"/>
    </row>
    <row r="1785">
      <c r="A1785" s="1766"/>
      <c r="B1785" s="1780"/>
      <c r="C1785" s="1766"/>
      <c r="D1785" s="1766"/>
      <c r="E1785" s="1766"/>
      <c r="F1785" s="1766"/>
      <c r="G1785" s="1766"/>
      <c r="H1785" s="1766"/>
      <c r="I1785" s="1766"/>
      <c r="J1785" s="1766"/>
      <c r="K1785" s="1766"/>
      <c r="L1785" s="1766"/>
      <c r="M1785" s="1766"/>
      <c r="N1785" s="1781"/>
      <c r="O1785" s="1766"/>
      <c r="P1785" s="1766"/>
      <c r="Q1785" s="1766"/>
      <c r="R1785" s="1766"/>
      <c r="S1785" s="1696"/>
      <c r="T1785" s="1696"/>
      <c r="U1785" s="1772"/>
      <c r="V1785" s="1696"/>
      <c r="W1785" s="1772"/>
      <c r="X1785" s="1696"/>
      <c r="Y1785" s="1696"/>
      <c r="Z1785" s="1773"/>
    </row>
    <row r="1786">
      <c r="A1786" s="1765"/>
      <c r="B1786" s="1782"/>
      <c r="C1786" s="1765"/>
      <c r="D1786" s="1765"/>
      <c r="E1786" s="1765"/>
      <c r="F1786" s="1765"/>
      <c r="G1786" s="1765"/>
      <c r="H1786" s="1765"/>
      <c r="I1786" s="1765"/>
      <c r="J1786" s="1765"/>
      <c r="K1786" s="1765"/>
      <c r="L1786" s="1765"/>
      <c r="M1786" s="1765"/>
      <c r="N1786" s="1765"/>
      <c r="O1786" s="1765"/>
      <c r="P1786" s="1765"/>
      <c r="Q1786" s="1766"/>
      <c r="R1786" s="1766"/>
      <c r="S1786" s="1696"/>
      <c r="T1786" s="1696"/>
      <c r="U1786" s="1772"/>
      <c r="V1786" s="1696"/>
      <c r="W1786" s="1772"/>
      <c r="X1786" s="1696"/>
      <c r="Y1786" s="1696"/>
      <c r="Z1786" s="1773"/>
    </row>
    <row r="1787">
      <c r="A1787" s="1771"/>
      <c r="B1787" s="1777"/>
      <c r="C1787" s="1771"/>
      <c r="D1787" s="1771"/>
      <c r="E1787" s="1771"/>
      <c r="F1787" s="1771"/>
      <c r="G1787" s="1771"/>
      <c r="H1787" s="1771"/>
      <c r="I1787" s="1770"/>
      <c r="J1787" s="1771"/>
      <c r="K1787" s="1771"/>
      <c r="L1787" s="1771"/>
      <c r="M1787" s="1771"/>
      <c r="N1787" s="1779"/>
      <c r="O1787" s="1770"/>
      <c r="P1787" s="1771"/>
      <c r="Q1787" s="1766"/>
      <c r="R1787" s="1766"/>
      <c r="S1787" s="1696"/>
      <c r="T1787" s="1696"/>
      <c r="U1787" s="1772"/>
      <c r="V1787" s="1696"/>
      <c r="W1787" s="1772"/>
      <c r="X1787" s="1696"/>
      <c r="Y1787" s="1696"/>
      <c r="Z1787" s="1773"/>
    </row>
    <row r="1788">
      <c r="A1788" s="1766"/>
      <c r="B1788" s="1780"/>
      <c r="C1788" s="1766"/>
      <c r="D1788" s="1766"/>
      <c r="E1788" s="1766"/>
      <c r="F1788" s="1766"/>
      <c r="G1788" s="1766"/>
      <c r="H1788" s="1766"/>
      <c r="I1788" s="1766"/>
      <c r="J1788" s="1766"/>
      <c r="K1788" s="1766"/>
      <c r="L1788" s="1766"/>
      <c r="M1788" s="1766"/>
      <c r="N1788" s="1781"/>
      <c r="O1788" s="1766"/>
      <c r="P1788" s="1766"/>
      <c r="Q1788" s="1766"/>
      <c r="R1788" s="1766"/>
      <c r="S1788" s="1696"/>
      <c r="T1788" s="1696"/>
      <c r="U1788" s="1772"/>
      <c r="V1788" s="1696"/>
      <c r="W1788" s="1772"/>
      <c r="X1788" s="1696"/>
      <c r="Y1788" s="1696"/>
      <c r="Z1788" s="1773"/>
    </row>
    <row r="1789">
      <c r="A1789" s="1765"/>
      <c r="B1789" s="1782"/>
      <c r="C1789" s="1765"/>
      <c r="D1789" s="1765"/>
      <c r="E1789" s="1765"/>
      <c r="F1789" s="1765"/>
      <c r="G1789" s="1765"/>
      <c r="H1789" s="1765"/>
      <c r="I1789" s="1765"/>
      <c r="J1789" s="1765"/>
      <c r="K1789" s="1765"/>
      <c r="L1789" s="1765"/>
      <c r="M1789" s="1765"/>
      <c r="N1789" s="1765"/>
      <c r="O1789" s="1765"/>
      <c r="P1789" s="1765"/>
      <c r="Q1789" s="1766"/>
      <c r="R1789" s="1766"/>
      <c r="S1789" s="1696"/>
      <c r="T1789" s="1696"/>
      <c r="U1789" s="1772"/>
      <c r="V1789" s="1696"/>
      <c r="W1789" s="1772"/>
      <c r="X1789" s="1696"/>
      <c r="Y1789" s="1696"/>
      <c r="Z1789" s="1773"/>
    </row>
    <row r="1790">
      <c r="A1790" s="1771"/>
      <c r="B1790" s="1777"/>
      <c r="C1790" s="1771"/>
      <c r="D1790" s="1771"/>
      <c r="E1790" s="1771"/>
      <c r="F1790" s="1771"/>
      <c r="G1790" s="1770"/>
      <c r="H1790" s="1771"/>
      <c r="I1790" s="1778"/>
      <c r="J1790" s="1771"/>
      <c r="K1790" s="1771"/>
      <c r="L1790" s="1771"/>
      <c r="M1790" s="1771"/>
      <c r="N1790" s="1779"/>
      <c r="O1790" s="1770"/>
      <c r="P1790" s="1771"/>
      <c r="Q1790" s="1766"/>
      <c r="R1790" s="1766"/>
      <c r="S1790" s="1696"/>
      <c r="T1790" s="1696"/>
      <c r="U1790" s="1772"/>
      <c r="V1790" s="1696"/>
      <c r="W1790" s="1772"/>
      <c r="X1790" s="1696"/>
      <c r="Y1790" s="1696"/>
      <c r="Z1790" s="1773"/>
    </row>
    <row r="1791">
      <c r="A1791" s="1766"/>
      <c r="B1791" s="1780"/>
      <c r="C1791" s="1766"/>
      <c r="D1791" s="1766"/>
      <c r="E1791" s="1766"/>
      <c r="F1791" s="1766"/>
      <c r="G1791" s="1766"/>
      <c r="H1791" s="1766"/>
      <c r="I1791" s="1766"/>
      <c r="J1791" s="1766"/>
      <c r="K1791" s="1766"/>
      <c r="L1791" s="1766"/>
      <c r="M1791" s="1766"/>
      <c r="N1791" s="1781"/>
      <c r="O1791" s="1766"/>
      <c r="P1791" s="1766"/>
      <c r="Q1791" s="1766"/>
      <c r="R1791" s="1766"/>
      <c r="S1791" s="1696"/>
      <c r="T1791" s="1696"/>
      <c r="U1791" s="1772"/>
      <c r="V1791" s="1696"/>
      <c r="W1791" s="1772"/>
      <c r="X1791" s="1696"/>
      <c r="Y1791" s="1696"/>
      <c r="Z1791" s="1773"/>
    </row>
    <row r="1792">
      <c r="A1792" s="1765"/>
      <c r="B1792" s="1782"/>
      <c r="C1792" s="1765"/>
      <c r="D1792" s="1765"/>
      <c r="E1792" s="1765"/>
      <c r="F1792" s="1765"/>
      <c r="G1792" s="1765"/>
      <c r="H1792" s="1765"/>
      <c r="I1792" s="1765"/>
      <c r="J1792" s="1765"/>
      <c r="K1792" s="1765"/>
      <c r="L1792" s="1765"/>
      <c r="M1792" s="1765"/>
      <c r="N1792" s="1765"/>
      <c r="O1792" s="1765"/>
      <c r="P1792" s="1765"/>
      <c r="Q1792" s="1766"/>
      <c r="R1792" s="1766"/>
      <c r="S1792" s="1696"/>
      <c r="T1792" s="1696"/>
      <c r="U1792" s="1772"/>
      <c r="V1792" s="1696"/>
      <c r="W1792" s="1772"/>
      <c r="X1792" s="1696"/>
      <c r="Y1792" s="1696"/>
      <c r="Z1792" s="1773"/>
    </row>
    <row r="1793">
      <c r="A1793" s="1771"/>
      <c r="B1793" s="1777"/>
      <c r="C1793" s="1771"/>
      <c r="D1793" s="1771"/>
      <c r="E1793" s="1771"/>
      <c r="F1793" s="1771"/>
      <c r="G1793" s="1777"/>
      <c r="H1793" s="1771"/>
      <c r="I1793" s="1770"/>
      <c r="J1793" s="1771"/>
      <c r="K1793" s="1771"/>
      <c r="L1793" s="1771"/>
      <c r="M1793" s="1771"/>
      <c r="N1793" s="1779"/>
      <c r="O1793" s="1770"/>
      <c r="P1793" s="1771"/>
      <c r="Q1793" s="1766"/>
      <c r="R1793" s="1766"/>
      <c r="S1793" s="1696"/>
      <c r="T1793" s="1696"/>
      <c r="U1793" s="1772"/>
      <c r="V1793" s="1696"/>
      <c r="W1793" s="1772"/>
      <c r="X1793" s="1696"/>
      <c r="Y1793" s="1696"/>
      <c r="Z1793" s="1773"/>
    </row>
    <row r="1794">
      <c r="A1794" s="1766"/>
      <c r="B1794" s="1780"/>
      <c r="C1794" s="1766"/>
      <c r="D1794" s="1766"/>
      <c r="E1794" s="1766"/>
      <c r="F1794" s="1766"/>
      <c r="G1794" s="1766"/>
      <c r="H1794" s="1766"/>
      <c r="I1794" s="1766"/>
      <c r="J1794" s="1766"/>
      <c r="K1794" s="1766"/>
      <c r="L1794" s="1766"/>
      <c r="M1794" s="1766"/>
      <c r="N1794" s="1781"/>
      <c r="O1794" s="1766"/>
      <c r="P1794" s="1766"/>
      <c r="Q1794" s="1766"/>
      <c r="R1794" s="1766"/>
      <c r="S1794" s="1696"/>
      <c r="T1794" s="1696"/>
      <c r="U1794" s="1772"/>
      <c r="V1794" s="1696"/>
      <c r="W1794" s="1772"/>
      <c r="X1794" s="1696"/>
      <c r="Y1794" s="1696"/>
      <c r="Z1794" s="1773"/>
    </row>
    <row r="1795">
      <c r="A1795" s="1765"/>
      <c r="B1795" s="1782"/>
      <c r="C1795" s="1765"/>
      <c r="D1795" s="1765"/>
      <c r="E1795" s="1765"/>
      <c r="F1795" s="1765"/>
      <c r="G1795" s="1765"/>
      <c r="H1795" s="1765"/>
      <c r="I1795" s="1765"/>
      <c r="J1795" s="1765"/>
      <c r="K1795" s="1765"/>
      <c r="L1795" s="1765"/>
      <c r="M1795" s="1765"/>
      <c r="N1795" s="1765"/>
      <c r="O1795" s="1765"/>
      <c r="P1795" s="1765"/>
      <c r="Q1795" s="1766"/>
      <c r="R1795" s="1766"/>
      <c r="S1795" s="1696"/>
      <c r="T1795" s="1696"/>
      <c r="U1795" s="1772"/>
      <c r="V1795" s="1696"/>
      <c r="W1795" s="1772"/>
      <c r="X1795" s="1696"/>
      <c r="Y1795" s="1696"/>
      <c r="Z1795" s="1773"/>
    </row>
    <row r="1796">
      <c r="A1796" s="1771"/>
      <c r="B1796" s="1777"/>
      <c r="C1796" s="1771"/>
      <c r="D1796" s="1771"/>
      <c r="E1796" s="1771"/>
      <c r="F1796" s="1771"/>
      <c r="G1796" s="1771"/>
      <c r="H1796" s="1771"/>
      <c r="I1796" s="1770"/>
      <c r="J1796" s="1771"/>
      <c r="K1796" s="1771"/>
      <c r="L1796" s="1771"/>
      <c r="M1796" s="1771"/>
      <c r="N1796" s="1779"/>
      <c r="O1796" s="1770"/>
      <c r="P1796" s="1771"/>
      <c r="Q1796" s="1766"/>
      <c r="R1796" s="1766"/>
      <c r="S1796" s="1696"/>
      <c r="T1796" s="1696"/>
      <c r="U1796" s="1772"/>
      <c r="V1796" s="1696"/>
      <c r="W1796" s="1772"/>
      <c r="X1796" s="1696"/>
      <c r="Y1796" s="1696"/>
      <c r="Z1796" s="1773"/>
    </row>
    <row r="1797">
      <c r="A1797" s="1766"/>
      <c r="B1797" s="1780"/>
      <c r="C1797" s="1766"/>
      <c r="D1797" s="1766"/>
      <c r="E1797" s="1766"/>
      <c r="F1797" s="1766"/>
      <c r="G1797" s="1766"/>
      <c r="H1797" s="1766"/>
      <c r="I1797" s="1766"/>
      <c r="J1797" s="1766"/>
      <c r="K1797" s="1766"/>
      <c r="L1797" s="1766"/>
      <c r="M1797" s="1766"/>
      <c r="N1797" s="1781"/>
      <c r="O1797" s="1766"/>
      <c r="P1797" s="1766"/>
      <c r="Q1797" s="1766"/>
      <c r="R1797" s="1766"/>
      <c r="S1797" s="1696"/>
      <c r="T1797" s="1696"/>
      <c r="U1797" s="1772"/>
      <c r="V1797" s="1696"/>
      <c r="W1797" s="1772"/>
      <c r="X1797" s="1696"/>
      <c r="Y1797" s="1696"/>
      <c r="Z1797" s="1773"/>
    </row>
    <row r="1798">
      <c r="A1798" s="1765"/>
      <c r="B1798" s="1782"/>
      <c r="C1798" s="1765"/>
      <c r="D1798" s="1765"/>
      <c r="E1798" s="1765"/>
      <c r="F1798" s="1765"/>
      <c r="G1798" s="1765"/>
      <c r="H1798" s="1765"/>
      <c r="I1798" s="1765"/>
      <c r="J1798" s="1765"/>
      <c r="K1798" s="1765"/>
      <c r="L1798" s="1765"/>
      <c r="M1798" s="1765"/>
      <c r="N1798" s="1765"/>
      <c r="O1798" s="1765"/>
      <c r="P1798" s="1765"/>
      <c r="Q1798" s="1766"/>
      <c r="R1798" s="1766"/>
      <c r="S1798" s="1696"/>
      <c r="T1798" s="1696"/>
      <c r="U1798" s="1772"/>
      <c r="V1798" s="1696"/>
      <c r="W1798" s="1772"/>
      <c r="X1798" s="1696"/>
      <c r="Y1798" s="1696"/>
      <c r="Z1798" s="1773"/>
    </row>
    <row r="1799">
      <c r="A1799" s="1771"/>
      <c r="B1799" s="1777"/>
      <c r="C1799" s="1771"/>
      <c r="D1799" s="1771"/>
      <c r="E1799" s="1771"/>
      <c r="F1799" s="1771"/>
      <c r="G1799" s="1771"/>
      <c r="H1799" s="1771"/>
      <c r="I1799" s="1770"/>
      <c r="J1799" s="1771"/>
      <c r="K1799" s="1771"/>
      <c r="L1799" s="1771"/>
      <c r="M1799" s="1771"/>
      <c r="N1799" s="1779"/>
      <c r="O1799" s="1770"/>
      <c r="P1799" s="1771"/>
      <c r="Q1799" s="1766"/>
      <c r="R1799" s="1766"/>
      <c r="S1799" s="1696"/>
      <c r="T1799" s="1696"/>
      <c r="U1799" s="1772"/>
      <c r="V1799" s="1696"/>
      <c r="W1799" s="1772"/>
      <c r="X1799" s="1696"/>
      <c r="Y1799" s="1696"/>
      <c r="Z1799" s="1773"/>
    </row>
    <row r="1800">
      <c r="A1800" s="1766"/>
      <c r="B1800" s="1780"/>
      <c r="C1800" s="1766"/>
      <c r="D1800" s="1766"/>
      <c r="E1800" s="1766"/>
      <c r="F1800" s="1766"/>
      <c r="G1800" s="1766"/>
      <c r="H1800" s="1766"/>
      <c r="I1800" s="1766"/>
      <c r="J1800" s="1766"/>
      <c r="K1800" s="1766"/>
      <c r="L1800" s="1766"/>
      <c r="M1800" s="1766"/>
      <c r="N1800" s="1781"/>
      <c r="O1800" s="1766"/>
      <c r="P1800" s="1766"/>
      <c r="Q1800" s="1766"/>
      <c r="R1800" s="1766"/>
      <c r="S1800" s="1696"/>
      <c r="T1800" s="1696"/>
      <c r="U1800" s="1772"/>
      <c r="V1800" s="1696"/>
      <c r="W1800" s="1772"/>
      <c r="X1800" s="1696"/>
      <c r="Y1800" s="1696"/>
      <c r="Z1800" s="1773"/>
    </row>
    <row r="1801">
      <c r="A1801" s="1765"/>
      <c r="B1801" s="1782"/>
      <c r="C1801" s="1765"/>
      <c r="D1801" s="1765"/>
      <c r="E1801" s="1765"/>
      <c r="F1801" s="1765"/>
      <c r="G1801" s="1765"/>
      <c r="H1801" s="1765"/>
      <c r="I1801" s="1765"/>
      <c r="J1801" s="1765"/>
      <c r="K1801" s="1765"/>
      <c r="L1801" s="1765"/>
      <c r="M1801" s="1765"/>
      <c r="N1801" s="1765"/>
      <c r="O1801" s="1765"/>
      <c r="P1801" s="1765"/>
      <c r="Q1801" s="1766"/>
      <c r="R1801" s="1766"/>
      <c r="S1801" s="1696"/>
      <c r="T1801" s="1696"/>
      <c r="U1801" s="1772"/>
      <c r="V1801" s="1696"/>
      <c r="W1801" s="1772"/>
      <c r="X1801" s="1696"/>
      <c r="Y1801" s="1696"/>
      <c r="Z1801" s="1773"/>
    </row>
    <row r="1802">
      <c r="A1802" s="1771"/>
      <c r="B1802" s="1777"/>
      <c r="C1802" s="1771"/>
      <c r="D1802" s="1771"/>
      <c r="E1802" s="1771"/>
      <c r="F1802" s="1771"/>
      <c r="G1802" s="1771"/>
      <c r="H1802" s="1771"/>
      <c r="I1802" s="1778"/>
      <c r="J1802" s="1771"/>
      <c r="K1802" s="1771"/>
      <c r="L1802" s="1771"/>
      <c r="M1802" s="1771"/>
      <c r="N1802" s="1779"/>
      <c r="O1802" s="1770"/>
      <c r="P1802" s="1771"/>
      <c r="Q1802" s="1766"/>
      <c r="R1802" s="1766"/>
      <c r="S1802" s="1696"/>
      <c r="T1802" s="1696"/>
      <c r="U1802" s="1772"/>
      <c r="V1802" s="1696"/>
      <c r="W1802" s="1772"/>
      <c r="X1802" s="1696"/>
      <c r="Y1802" s="1696"/>
      <c r="Z1802" s="1773"/>
    </row>
    <row r="1803">
      <c r="A1803" s="1766"/>
      <c r="B1803" s="1780"/>
      <c r="C1803" s="1766"/>
      <c r="D1803" s="1766"/>
      <c r="E1803" s="1766"/>
      <c r="F1803" s="1766"/>
      <c r="G1803" s="1766"/>
      <c r="H1803" s="1766"/>
      <c r="I1803" s="1766"/>
      <c r="J1803" s="1766"/>
      <c r="K1803" s="1766"/>
      <c r="L1803" s="1766"/>
      <c r="M1803" s="1766"/>
      <c r="N1803" s="1781"/>
      <c r="O1803" s="1766"/>
      <c r="P1803" s="1766"/>
      <c r="Q1803" s="1766"/>
      <c r="R1803" s="1766"/>
      <c r="S1803" s="1696"/>
      <c r="T1803" s="1696"/>
      <c r="U1803" s="1772"/>
      <c r="V1803" s="1696"/>
      <c r="W1803" s="1772"/>
      <c r="X1803" s="1696"/>
      <c r="Y1803" s="1696"/>
      <c r="Z1803" s="1773"/>
    </row>
    <row r="1804">
      <c r="A1804" s="1765"/>
      <c r="B1804" s="1782"/>
      <c r="C1804" s="1765"/>
      <c r="D1804" s="1765"/>
      <c r="E1804" s="1765"/>
      <c r="F1804" s="1765"/>
      <c r="G1804" s="1765"/>
      <c r="H1804" s="1765"/>
      <c r="I1804" s="1765"/>
      <c r="J1804" s="1765"/>
      <c r="K1804" s="1765"/>
      <c r="L1804" s="1765"/>
      <c r="M1804" s="1765"/>
      <c r="N1804" s="1765"/>
      <c r="O1804" s="1765"/>
      <c r="P1804" s="1765"/>
      <c r="Q1804" s="1766"/>
      <c r="R1804" s="1766"/>
      <c r="S1804" s="1696"/>
      <c r="T1804" s="1696"/>
      <c r="U1804" s="1772"/>
      <c r="V1804" s="1696"/>
      <c r="W1804" s="1772"/>
      <c r="X1804" s="1696"/>
      <c r="Y1804" s="1696"/>
      <c r="Z1804" s="1773"/>
    </row>
    <row r="1805">
      <c r="A1805" s="1771"/>
      <c r="B1805" s="1777"/>
      <c r="C1805" s="1771"/>
      <c r="D1805" s="1771"/>
      <c r="E1805" s="1771"/>
      <c r="F1805" s="1771"/>
      <c r="G1805" s="1770"/>
      <c r="H1805" s="1771"/>
      <c r="I1805" s="1770"/>
      <c r="J1805" s="1771"/>
      <c r="K1805" s="1771"/>
      <c r="L1805" s="1771"/>
      <c r="M1805" s="1771"/>
      <c r="N1805" s="1779"/>
      <c r="O1805" s="1770"/>
      <c r="P1805" s="1771"/>
      <c r="Q1805" s="1766"/>
      <c r="R1805" s="1766"/>
      <c r="S1805" s="1696"/>
      <c r="T1805" s="1696"/>
      <c r="U1805" s="1772"/>
      <c r="V1805" s="1696"/>
      <c r="W1805" s="1772"/>
      <c r="X1805" s="1696"/>
      <c r="Y1805" s="1696"/>
      <c r="Z1805" s="1773"/>
    </row>
    <row r="1806">
      <c r="A1806" s="1766"/>
      <c r="B1806" s="1780"/>
      <c r="C1806" s="1766"/>
      <c r="D1806" s="1766"/>
      <c r="E1806" s="1766"/>
      <c r="F1806" s="1766"/>
      <c r="G1806" s="1766"/>
      <c r="H1806" s="1766"/>
      <c r="I1806" s="1766"/>
      <c r="J1806" s="1766"/>
      <c r="K1806" s="1766"/>
      <c r="L1806" s="1766"/>
      <c r="M1806" s="1766"/>
      <c r="N1806" s="1781"/>
      <c r="O1806" s="1766"/>
      <c r="P1806" s="1766"/>
      <c r="Q1806" s="1766"/>
      <c r="R1806" s="1766"/>
      <c r="S1806" s="1696"/>
      <c r="T1806" s="1696"/>
      <c r="U1806" s="1772"/>
      <c r="V1806" s="1696"/>
      <c r="W1806" s="1772"/>
      <c r="X1806" s="1696"/>
      <c r="Y1806" s="1696"/>
      <c r="Z1806" s="1773"/>
    </row>
    <row r="1807">
      <c r="A1807" s="1765"/>
      <c r="B1807" s="1782"/>
      <c r="C1807" s="1765"/>
      <c r="D1807" s="1765"/>
      <c r="E1807" s="1765"/>
      <c r="F1807" s="1765"/>
      <c r="G1807" s="1765"/>
      <c r="H1807" s="1765"/>
      <c r="I1807" s="1765"/>
      <c r="J1807" s="1765"/>
      <c r="K1807" s="1765"/>
      <c r="L1807" s="1765"/>
      <c r="M1807" s="1765"/>
      <c r="N1807" s="1765"/>
      <c r="O1807" s="1765"/>
      <c r="P1807" s="1765"/>
      <c r="Q1807" s="1766"/>
      <c r="R1807" s="1766"/>
      <c r="S1807" s="1696"/>
      <c r="T1807" s="1696"/>
      <c r="U1807" s="1772"/>
      <c r="V1807" s="1696"/>
      <c r="W1807" s="1772"/>
      <c r="X1807" s="1696"/>
      <c r="Y1807" s="1696"/>
      <c r="Z1807" s="1773"/>
    </row>
    <row r="1808">
      <c r="A1808" s="1771"/>
      <c r="B1808" s="1777"/>
      <c r="C1808" s="1771"/>
      <c r="D1808" s="1771"/>
      <c r="E1808" s="1771"/>
      <c r="F1808" s="1771"/>
      <c r="G1808" s="1770"/>
      <c r="H1808" s="1771"/>
      <c r="I1808" s="1770"/>
      <c r="J1808" s="1771"/>
      <c r="K1808" s="1771"/>
      <c r="L1808" s="1771"/>
      <c r="M1808" s="1771"/>
      <c r="N1808" s="1779"/>
      <c r="O1808" s="1770"/>
      <c r="P1808" s="1771"/>
      <c r="Q1808" s="1766"/>
      <c r="R1808" s="1766"/>
      <c r="S1808" s="1696"/>
      <c r="T1808" s="1696"/>
      <c r="U1808" s="1772"/>
      <c r="V1808" s="1696"/>
      <c r="W1808" s="1772"/>
      <c r="X1808" s="1696"/>
      <c r="Y1808" s="1696"/>
      <c r="Z1808" s="1773"/>
    </row>
    <row r="1809">
      <c r="A1809" s="1766"/>
      <c r="B1809" s="1780"/>
      <c r="C1809" s="1766"/>
      <c r="D1809" s="1766"/>
      <c r="E1809" s="1766"/>
      <c r="F1809" s="1766"/>
      <c r="G1809" s="1766"/>
      <c r="H1809" s="1766"/>
      <c r="I1809" s="1766"/>
      <c r="J1809" s="1766"/>
      <c r="K1809" s="1766"/>
      <c r="L1809" s="1766"/>
      <c r="M1809" s="1766"/>
      <c r="N1809" s="1781"/>
      <c r="O1809" s="1766"/>
      <c r="P1809" s="1766"/>
      <c r="Q1809" s="1766"/>
      <c r="R1809" s="1766"/>
      <c r="S1809" s="1696"/>
      <c r="T1809" s="1696"/>
      <c r="U1809" s="1772"/>
      <c r="V1809" s="1696"/>
      <c r="W1809" s="1772"/>
      <c r="X1809" s="1696"/>
      <c r="Y1809" s="1696"/>
      <c r="Z1809" s="1773"/>
    </row>
    <row r="1810">
      <c r="A1810" s="1765"/>
      <c r="B1810" s="1782"/>
      <c r="C1810" s="1765"/>
      <c r="D1810" s="1765"/>
      <c r="E1810" s="1765"/>
      <c r="F1810" s="1765"/>
      <c r="G1810" s="1765"/>
      <c r="H1810" s="1765"/>
      <c r="I1810" s="1765"/>
      <c r="J1810" s="1765"/>
      <c r="K1810" s="1765"/>
      <c r="L1810" s="1765"/>
      <c r="M1810" s="1765"/>
      <c r="N1810" s="1765"/>
      <c r="O1810" s="1765"/>
      <c r="P1810" s="1765"/>
      <c r="Q1810" s="1766"/>
      <c r="R1810" s="1766"/>
      <c r="S1810" s="1696"/>
      <c r="T1810" s="1696"/>
      <c r="U1810" s="1772"/>
      <c r="V1810" s="1696"/>
      <c r="W1810" s="1772"/>
      <c r="X1810" s="1696"/>
      <c r="Y1810" s="1696"/>
      <c r="Z1810" s="1773"/>
    </row>
    <row r="1811">
      <c r="A1811" s="1771"/>
      <c r="B1811" s="1777"/>
      <c r="C1811" s="1771"/>
      <c r="D1811" s="1771"/>
      <c r="E1811" s="1771"/>
      <c r="F1811" s="1771"/>
      <c r="G1811" s="1771"/>
      <c r="H1811" s="1771"/>
      <c r="I1811" s="1778"/>
      <c r="J1811" s="1771"/>
      <c r="K1811" s="1771"/>
      <c r="L1811" s="1771"/>
      <c r="M1811" s="1771"/>
      <c r="N1811" s="1779"/>
      <c r="O1811" s="1770"/>
      <c r="P1811" s="1771"/>
      <c r="Q1811" s="1766"/>
      <c r="R1811" s="1766"/>
      <c r="S1811" s="1696"/>
      <c r="T1811" s="1696"/>
      <c r="U1811" s="1772"/>
      <c r="V1811" s="1696"/>
      <c r="W1811" s="1772"/>
      <c r="X1811" s="1696"/>
      <c r="Y1811" s="1696"/>
      <c r="Z1811" s="1773"/>
    </row>
    <row r="1812">
      <c r="A1812" s="1766"/>
      <c r="B1812" s="1780"/>
      <c r="C1812" s="1766"/>
      <c r="D1812" s="1766"/>
      <c r="E1812" s="1766"/>
      <c r="F1812" s="1766"/>
      <c r="G1812" s="1766"/>
      <c r="H1812" s="1766"/>
      <c r="I1812" s="1766"/>
      <c r="J1812" s="1766"/>
      <c r="K1812" s="1766"/>
      <c r="L1812" s="1766"/>
      <c r="M1812" s="1766"/>
      <c r="N1812" s="1781"/>
      <c r="O1812" s="1766"/>
      <c r="P1812" s="1766"/>
      <c r="Q1812" s="1766"/>
      <c r="R1812" s="1766"/>
      <c r="S1812" s="1696"/>
      <c r="T1812" s="1696"/>
      <c r="U1812" s="1772"/>
      <c r="V1812" s="1696"/>
      <c r="W1812" s="1772"/>
      <c r="X1812" s="1696"/>
      <c r="Y1812" s="1696"/>
      <c r="Z1812" s="1773"/>
    </row>
    <row r="1813">
      <c r="A1813" s="1765"/>
      <c r="B1813" s="1782"/>
      <c r="C1813" s="1765"/>
      <c r="D1813" s="1765"/>
      <c r="E1813" s="1765"/>
      <c r="F1813" s="1765"/>
      <c r="G1813" s="1765"/>
      <c r="H1813" s="1765"/>
      <c r="I1813" s="1765"/>
      <c r="J1813" s="1765"/>
      <c r="K1813" s="1765"/>
      <c r="L1813" s="1765"/>
      <c r="M1813" s="1765"/>
      <c r="N1813" s="1765"/>
      <c r="O1813" s="1765"/>
      <c r="P1813" s="1765"/>
      <c r="Q1813" s="1766"/>
      <c r="R1813" s="1766"/>
      <c r="S1813" s="1696"/>
      <c r="T1813" s="1696"/>
      <c r="U1813" s="1772"/>
      <c r="V1813" s="1696"/>
      <c r="W1813" s="1772"/>
      <c r="X1813" s="1696"/>
      <c r="Y1813" s="1696"/>
      <c r="Z1813" s="1773"/>
    </row>
    <row r="1814">
      <c r="A1814" s="1771"/>
      <c r="B1814" s="1777"/>
      <c r="C1814" s="1771"/>
      <c r="D1814" s="1771"/>
      <c r="E1814" s="1771"/>
      <c r="F1814" s="1771"/>
      <c r="G1814" s="1770"/>
      <c r="H1814" s="1771"/>
      <c r="I1814" s="1770"/>
      <c r="J1814" s="1771"/>
      <c r="K1814" s="1771"/>
      <c r="L1814" s="1771"/>
      <c r="M1814" s="1771"/>
      <c r="N1814" s="1779"/>
      <c r="O1814" s="1770"/>
      <c r="P1814" s="1771"/>
      <c r="Q1814" s="1766"/>
      <c r="R1814" s="1766"/>
      <c r="S1814" s="1696"/>
      <c r="T1814" s="1696"/>
      <c r="U1814" s="1772"/>
      <c r="V1814" s="1696"/>
      <c r="W1814" s="1772"/>
      <c r="X1814" s="1696"/>
      <c r="Y1814" s="1696"/>
      <c r="Z1814" s="1773"/>
    </row>
    <row r="1815">
      <c r="A1815" s="1766"/>
      <c r="B1815" s="1780"/>
      <c r="C1815" s="1766"/>
      <c r="D1815" s="1766"/>
      <c r="E1815" s="1766"/>
      <c r="F1815" s="1766"/>
      <c r="G1815" s="1766"/>
      <c r="H1815" s="1766"/>
      <c r="I1815" s="1766"/>
      <c r="J1815" s="1766"/>
      <c r="K1815" s="1766"/>
      <c r="L1815" s="1766"/>
      <c r="M1815" s="1766"/>
      <c r="N1815" s="1781"/>
      <c r="O1815" s="1766"/>
      <c r="P1815" s="1766"/>
      <c r="Q1815" s="1766"/>
      <c r="R1815" s="1766"/>
      <c r="S1815" s="1696"/>
      <c r="T1815" s="1696"/>
      <c r="U1815" s="1772"/>
      <c r="V1815" s="1696"/>
      <c r="W1815" s="1772"/>
      <c r="X1815" s="1696"/>
      <c r="Y1815" s="1696"/>
      <c r="Z1815" s="1773"/>
    </row>
    <row r="1816">
      <c r="A1816" s="1765"/>
      <c r="B1816" s="1782"/>
      <c r="C1816" s="1765"/>
      <c r="D1816" s="1765"/>
      <c r="E1816" s="1765"/>
      <c r="F1816" s="1765"/>
      <c r="G1816" s="1765"/>
      <c r="H1816" s="1765"/>
      <c r="I1816" s="1765"/>
      <c r="J1816" s="1765"/>
      <c r="K1816" s="1765"/>
      <c r="L1816" s="1765"/>
      <c r="M1816" s="1765"/>
      <c r="N1816" s="1765"/>
      <c r="O1816" s="1765"/>
      <c r="P1816" s="1765"/>
      <c r="Q1816" s="1766"/>
      <c r="R1816" s="1766"/>
      <c r="S1816" s="1696"/>
      <c r="T1816" s="1696"/>
      <c r="U1816" s="1772"/>
      <c r="V1816" s="1696"/>
      <c r="W1816" s="1772"/>
      <c r="X1816" s="1696"/>
      <c r="Y1816" s="1696"/>
      <c r="Z1816" s="1773"/>
    </row>
    <row r="1817">
      <c r="A1817" s="1771"/>
      <c r="B1817" s="1777"/>
      <c r="C1817" s="1771"/>
      <c r="D1817" s="1771"/>
      <c r="E1817" s="1771"/>
      <c r="F1817" s="1771"/>
      <c r="G1817" s="1770"/>
      <c r="H1817" s="1771"/>
      <c r="I1817" s="1770"/>
      <c r="J1817" s="1771"/>
      <c r="K1817" s="1771"/>
      <c r="L1817" s="1771"/>
      <c r="M1817" s="1771"/>
      <c r="N1817" s="1779"/>
      <c r="O1817" s="1770"/>
      <c r="P1817" s="1771"/>
      <c r="Q1817" s="1766"/>
      <c r="R1817" s="1766"/>
      <c r="S1817" s="1696"/>
      <c r="T1817" s="1696"/>
      <c r="U1817" s="1772"/>
      <c r="V1817" s="1696"/>
      <c r="W1817" s="1772"/>
      <c r="X1817" s="1696"/>
      <c r="Y1817" s="1696"/>
      <c r="Z1817" s="1773"/>
    </row>
    <row r="1818">
      <c r="A1818" s="1766"/>
      <c r="B1818" s="1780"/>
      <c r="C1818" s="1766"/>
      <c r="D1818" s="1766"/>
      <c r="E1818" s="1766"/>
      <c r="F1818" s="1766"/>
      <c r="G1818" s="1766"/>
      <c r="H1818" s="1766"/>
      <c r="I1818" s="1766"/>
      <c r="J1818" s="1766"/>
      <c r="K1818" s="1766"/>
      <c r="L1818" s="1766"/>
      <c r="M1818" s="1766"/>
      <c r="N1818" s="1781"/>
      <c r="O1818" s="1766"/>
      <c r="P1818" s="1766"/>
      <c r="Q1818" s="1766"/>
      <c r="R1818" s="1766"/>
      <c r="S1818" s="1696"/>
      <c r="T1818" s="1696"/>
      <c r="U1818" s="1772"/>
      <c r="V1818" s="1696"/>
      <c r="W1818" s="1772"/>
      <c r="X1818" s="1696"/>
      <c r="Y1818" s="1696"/>
      <c r="Z1818" s="1773"/>
    </row>
    <row r="1819">
      <c r="A1819" s="1765"/>
      <c r="B1819" s="1782"/>
      <c r="C1819" s="1765"/>
      <c r="D1819" s="1765"/>
      <c r="E1819" s="1765"/>
      <c r="F1819" s="1765"/>
      <c r="G1819" s="1765"/>
      <c r="H1819" s="1765"/>
      <c r="I1819" s="1765"/>
      <c r="J1819" s="1765"/>
      <c r="K1819" s="1765"/>
      <c r="L1819" s="1765"/>
      <c r="M1819" s="1765"/>
      <c r="N1819" s="1765"/>
      <c r="O1819" s="1765"/>
      <c r="P1819" s="1765"/>
      <c r="Q1819" s="1766"/>
      <c r="R1819" s="1766"/>
      <c r="S1819" s="1696"/>
      <c r="T1819" s="1696"/>
      <c r="U1819" s="1772"/>
      <c r="V1819" s="1696"/>
      <c r="W1819" s="1772"/>
      <c r="X1819" s="1696"/>
      <c r="Y1819" s="1696"/>
      <c r="Z1819" s="1773"/>
    </row>
    <row r="1820">
      <c r="A1820" s="1771"/>
      <c r="B1820" s="1777"/>
      <c r="C1820" s="1771"/>
      <c r="D1820" s="1771"/>
      <c r="E1820" s="1771"/>
      <c r="F1820" s="1771"/>
      <c r="G1820" s="1771"/>
      <c r="H1820" s="1771"/>
      <c r="I1820" s="1770"/>
      <c r="J1820" s="1771"/>
      <c r="K1820" s="1771"/>
      <c r="L1820" s="1771"/>
      <c r="M1820" s="1771"/>
      <c r="N1820" s="1779"/>
      <c r="O1820" s="1770"/>
      <c r="P1820" s="1771"/>
      <c r="Q1820" s="1766"/>
      <c r="R1820" s="1766"/>
      <c r="S1820" s="1696"/>
      <c r="T1820" s="1696"/>
      <c r="U1820" s="1772"/>
      <c r="V1820" s="1696"/>
      <c r="W1820" s="1772"/>
      <c r="X1820" s="1696"/>
      <c r="Y1820" s="1696"/>
      <c r="Z1820" s="1773"/>
    </row>
    <row r="1821">
      <c r="A1821" s="1766"/>
      <c r="B1821" s="1780"/>
      <c r="C1821" s="1766"/>
      <c r="D1821" s="1766"/>
      <c r="E1821" s="1766"/>
      <c r="F1821" s="1766"/>
      <c r="G1821" s="1766"/>
      <c r="H1821" s="1766"/>
      <c r="I1821" s="1766"/>
      <c r="J1821" s="1766"/>
      <c r="K1821" s="1766"/>
      <c r="L1821" s="1766"/>
      <c r="M1821" s="1766"/>
      <c r="N1821" s="1781"/>
      <c r="O1821" s="1766"/>
      <c r="P1821" s="1766"/>
      <c r="Q1821" s="1766"/>
      <c r="R1821" s="1766"/>
      <c r="S1821" s="1696"/>
      <c r="T1821" s="1696"/>
      <c r="U1821" s="1772"/>
      <c r="V1821" s="1696"/>
      <c r="W1821" s="1772"/>
      <c r="X1821" s="1696"/>
      <c r="Y1821" s="1696"/>
      <c r="Z1821" s="1773"/>
    </row>
    <row r="1822">
      <c r="A1822" s="1765"/>
      <c r="B1822" s="1782"/>
      <c r="C1822" s="1765"/>
      <c r="D1822" s="1765"/>
      <c r="E1822" s="1765"/>
      <c r="F1822" s="1765"/>
      <c r="G1822" s="1765"/>
      <c r="H1822" s="1765"/>
      <c r="I1822" s="1765"/>
      <c r="J1822" s="1765"/>
      <c r="K1822" s="1765"/>
      <c r="L1822" s="1765"/>
      <c r="M1822" s="1765"/>
      <c r="N1822" s="1765"/>
      <c r="O1822" s="1765"/>
      <c r="P1822" s="1765"/>
      <c r="Q1822" s="1766"/>
      <c r="R1822" s="1766"/>
      <c r="S1822" s="1696"/>
      <c r="T1822" s="1696"/>
      <c r="U1822" s="1772"/>
      <c r="V1822" s="1696"/>
      <c r="W1822" s="1772"/>
      <c r="X1822" s="1696"/>
      <c r="Y1822" s="1696"/>
      <c r="Z1822" s="1773"/>
    </row>
    <row r="1823">
      <c r="A1823" s="1771"/>
      <c r="B1823" s="1777"/>
      <c r="C1823" s="1771"/>
      <c r="D1823" s="1771"/>
      <c r="E1823" s="1771"/>
      <c r="F1823" s="1771"/>
      <c r="G1823" s="1770"/>
      <c r="H1823" s="1771"/>
      <c r="I1823" s="1778"/>
      <c r="J1823" s="1771"/>
      <c r="K1823" s="1771"/>
      <c r="L1823" s="1771"/>
      <c r="M1823" s="1771"/>
      <c r="N1823" s="1779"/>
      <c r="O1823" s="1770"/>
      <c r="P1823" s="1771"/>
      <c r="Q1823" s="1766"/>
      <c r="R1823" s="1766"/>
      <c r="S1823" s="1696"/>
      <c r="T1823" s="1696"/>
      <c r="U1823" s="1772"/>
      <c r="V1823" s="1696"/>
      <c r="W1823" s="1772"/>
      <c r="X1823" s="1696"/>
      <c r="Y1823" s="1696"/>
      <c r="Z1823" s="1773"/>
    </row>
    <row r="1824">
      <c r="A1824" s="1766"/>
      <c r="B1824" s="1780"/>
      <c r="C1824" s="1766"/>
      <c r="D1824" s="1766"/>
      <c r="E1824" s="1766"/>
      <c r="F1824" s="1766"/>
      <c r="G1824" s="1766"/>
      <c r="H1824" s="1766"/>
      <c r="I1824" s="1766"/>
      <c r="J1824" s="1766"/>
      <c r="K1824" s="1766"/>
      <c r="L1824" s="1766"/>
      <c r="M1824" s="1766"/>
      <c r="N1824" s="1781"/>
      <c r="O1824" s="1766"/>
      <c r="P1824" s="1766"/>
      <c r="Q1824" s="1766"/>
      <c r="R1824" s="1766"/>
      <c r="S1824" s="1696"/>
      <c r="T1824" s="1696"/>
      <c r="U1824" s="1772"/>
      <c r="V1824" s="1696"/>
      <c r="W1824" s="1772"/>
      <c r="X1824" s="1696"/>
      <c r="Y1824" s="1696"/>
      <c r="Z1824" s="1773"/>
    </row>
    <row r="1825">
      <c r="A1825" s="1765"/>
      <c r="B1825" s="1782"/>
      <c r="C1825" s="1765"/>
      <c r="D1825" s="1765"/>
      <c r="E1825" s="1765"/>
      <c r="F1825" s="1765"/>
      <c r="G1825" s="1765"/>
      <c r="H1825" s="1765"/>
      <c r="I1825" s="1765"/>
      <c r="J1825" s="1765"/>
      <c r="K1825" s="1765"/>
      <c r="L1825" s="1765"/>
      <c r="M1825" s="1765"/>
      <c r="N1825" s="1765"/>
      <c r="O1825" s="1765"/>
      <c r="P1825" s="1765"/>
      <c r="Q1825" s="1766"/>
      <c r="R1825" s="1766"/>
      <c r="S1825" s="1696"/>
      <c r="T1825" s="1696"/>
      <c r="U1825" s="1772"/>
      <c r="V1825" s="1696"/>
      <c r="W1825" s="1772"/>
      <c r="X1825" s="1696"/>
      <c r="Y1825" s="1696"/>
      <c r="Z1825" s="1773"/>
    </row>
    <row r="1826">
      <c r="A1826" s="1771"/>
      <c r="B1826" s="1777"/>
      <c r="C1826" s="1771"/>
      <c r="D1826" s="1771"/>
      <c r="E1826" s="1771"/>
      <c r="F1826" s="1771"/>
      <c r="G1826" s="1770"/>
      <c r="H1826" s="1771"/>
      <c r="I1826" s="1770"/>
      <c r="J1826" s="1771"/>
      <c r="K1826" s="1771"/>
      <c r="L1826" s="1771"/>
      <c r="M1826" s="1771"/>
      <c r="N1826" s="1779"/>
      <c r="O1826" s="1770"/>
      <c r="P1826" s="1771"/>
      <c r="Q1826" s="1766"/>
      <c r="R1826" s="1766"/>
      <c r="S1826" s="1696"/>
      <c r="T1826" s="1696"/>
      <c r="U1826" s="1772"/>
      <c r="V1826" s="1696"/>
      <c r="W1826" s="1772"/>
      <c r="X1826" s="1696"/>
      <c r="Y1826" s="1696"/>
      <c r="Z1826" s="1773"/>
    </row>
    <row r="1827">
      <c r="A1827" s="1766"/>
      <c r="B1827" s="1780"/>
      <c r="C1827" s="1766"/>
      <c r="D1827" s="1766"/>
      <c r="E1827" s="1766"/>
      <c r="F1827" s="1766"/>
      <c r="G1827" s="1766"/>
      <c r="H1827" s="1766"/>
      <c r="I1827" s="1766"/>
      <c r="J1827" s="1766"/>
      <c r="K1827" s="1766"/>
      <c r="L1827" s="1766"/>
      <c r="M1827" s="1766"/>
      <c r="N1827" s="1781"/>
      <c r="O1827" s="1766"/>
      <c r="P1827" s="1766"/>
      <c r="Q1827" s="1766"/>
      <c r="R1827" s="1766"/>
      <c r="S1827" s="1696"/>
      <c r="T1827" s="1696"/>
      <c r="U1827" s="1772"/>
      <c r="V1827" s="1696"/>
      <c r="W1827" s="1772"/>
      <c r="X1827" s="1696"/>
      <c r="Y1827" s="1696"/>
      <c r="Z1827" s="1773"/>
    </row>
    <row r="1828">
      <c r="A1828" s="1765"/>
      <c r="B1828" s="1782"/>
      <c r="C1828" s="1765"/>
      <c r="D1828" s="1765"/>
      <c r="E1828" s="1765"/>
      <c r="F1828" s="1765"/>
      <c r="G1828" s="1765"/>
      <c r="H1828" s="1765"/>
      <c r="I1828" s="1765"/>
      <c r="J1828" s="1765"/>
      <c r="K1828" s="1765"/>
      <c r="L1828" s="1765"/>
      <c r="M1828" s="1765"/>
      <c r="N1828" s="1765"/>
      <c r="O1828" s="1765"/>
      <c r="P1828" s="1765"/>
      <c r="Q1828" s="1766"/>
      <c r="R1828" s="1766"/>
      <c r="S1828" s="1696"/>
      <c r="T1828" s="1696"/>
      <c r="U1828" s="1772"/>
      <c r="V1828" s="1696"/>
      <c r="W1828" s="1772"/>
      <c r="X1828" s="1696"/>
      <c r="Y1828" s="1696"/>
      <c r="Z1828" s="1773"/>
    </row>
    <row r="1829">
      <c r="A1829" s="1771"/>
      <c r="B1829" s="1777"/>
      <c r="C1829" s="1771"/>
      <c r="D1829" s="1771"/>
      <c r="E1829" s="1771"/>
      <c r="F1829" s="1771"/>
      <c r="G1829" s="1770"/>
      <c r="H1829" s="1771"/>
      <c r="I1829" s="1778"/>
      <c r="J1829" s="1771"/>
      <c r="K1829" s="1771"/>
      <c r="L1829" s="1771"/>
      <c r="M1829" s="1771"/>
      <c r="N1829" s="1779"/>
      <c r="O1829" s="1770"/>
      <c r="P1829" s="1771"/>
      <c r="Q1829" s="1766"/>
      <c r="R1829" s="1766"/>
      <c r="S1829" s="1696"/>
      <c r="T1829" s="1696"/>
      <c r="U1829" s="1772"/>
      <c r="V1829" s="1696"/>
      <c r="W1829" s="1772"/>
      <c r="X1829" s="1696"/>
      <c r="Y1829" s="1696"/>
      <c r="Z1829" s="1773"/>
    </row>
    <row r="1830">
      <c r="A1830" s="1766"/>
      <c r="B1830" s="1780"/>
      <c r="C1830" s="1766"/>
      <c r="D1830" s="1766"/>
      <c r="E1830" s="1766"/>
      <c r="F1830" s="1766"/>
      <c r="G1830" s="1766"/>
      <c r="H1830" s="1766"/>
      <c r="I1830" s="1766"/>
      <c r="J1830" s="1766"/>
      <c r="K1830" s="1766"/>
      <c r="L1830" s="1766"/>
      <c r="M1830" s="1766"/>
      <c r="N1830" s="1781"/>
      <c r="O1830" s="1766"/>
      <c r="P1830" s="1766"/>
      <c r="Q1830" s="1766"/>
      <c r="R1830" s="1766"/>
      <c r="S1830" s="1696"/>
      <c r="T1830" s="1696"/>
      <c r="U1830" s="1772"/>
      <c r="V1830" s="1696"/>
      <c r="W1830" s="1772"/>
      <c r="X1830" s="1696"/>
      <c r="Y1830" s="1696"/>
      <c r="Z1830" s="1773"/>
    </row>
    <row r="1831">
      <c r="A1831" s="1765"/>
      <c r="B1831" s="1782"/>
      <c r="C1831" s="1765"/>
      <c r="D1831" s="1765"/>
      <c r="E1831" s="1765"/>
      <c r="F1831" s="1765"/>
      <c r="G1831" s="1765"/>
      <c r="H1831" s="1765"/>
      <c r="I1831" s="1765"/>
      <c r="J1831" s="1765"/>
      <c r="K1831" s="1765"/>
      <c r="L1831" s="1765"/>
      <c r="M1831" s="1765"/>
      <c r="N1831" s="1765"/>
      <c r="O1831" s="1765"/>
      <c r="P1831" s="1765"/>
      <c r="Q1831" s="1766"/>
      <c r="R1831" s="1766"/>
      <c r="S1831" s="1696"/>
      <c r="T1831" s="1696"/>
      <c r="U1831" s="1772"/>
      <c r="V1831" s="1696"/>
      <c r="W1831" s="1772"/>
      <c r="X1831" s="1696"/>
      <c r="Y1831" s="1696"/>
      <c r="Z1831" s="1773"/>
    </row>
    <row r="1832">
      <c r="A1832" s="1771"/>
      <c r="B1832" s="1777"/>
      <c r="C1832" s="1771"/>
      <c r="D1832" s="1771"/>
      <c r="E1832" s="1771"/>
      <c r="F1832" s="1771"/>
      <c r="G1832" s="1770"/>
      <c r="H1832" s="1771"/>
      <c r="I1832" s="1785"/>
      <c r="J1832" s="1771"/>
      <c r="K1832" s="1771"/>
      <c r="L1832" s="1771"/>
      <c r="M1832" s="1771"/>
      <c r="N1832" s="1779"/>
      <c r="O1832" s="1770"/>
      <c r="P1832" s="1771"/>
      <c r="Q1832" s="1766"/>
      <c r="R1832" s="1766"/>
      <c r="S1832" s="1696"/>
      <c r="T1832" s="1696"/>
      <c r="U1832" s="1772"/>
      <c r="V1832" s="1696"/>
      <c r="W1832" s="1772"/>
      <c r="X1832" s="1696"/>
      <c r="Y1832" s="1696"/>
      <c r="Z1832" s="1773"/>
    </row>
    <row r="1833">
      <c r="A1833" s="1766"/>
      <c r="B1833" s="1780"/>
      <c r="C1833" s="1766"/>
      <c r="D1833" s="1766"/>
      <c r="E1833" s="1766"/>
      <c r="F1833" s="1766"/>
      <c r="G1833" s="1766"/>
      <c r="H1833" s="1766"/>
      <c r="I1833" s="1766"/>
      <c r="J1833" s="1766"/>
      <c r="K1833" s="1766"/>
      <c r="L1833" s="1766"/>
      <c r="M1833" s="1766"/>
      <c r="N1833" s="1781"/>
      <c r="O1833" s="1766"/>
      <c r="P1833" s="1766"/>
      <c r="Q1833" s="1766"/>
      <c r="R1833" s="1766"/>
      <c r="S1833" s="1696"/>
      <c r="T1833" s="1696"/>
      <c r="U1833" s="1772"/>
      <c r="V1833" s="1696"/>
      <c r="W1833" s="1772"/>
      <c r="X1833" s="1696"/>
      <c r="Y1833" s="1696"/>
      <c r="Z1833" s="1773"/>
    </row>
    <row r="1834">
      <c r="A1834" s="1765"/>
      <c r="B1834" s="1782"/>
      <c r="C1834" s="1765"/>
      <c r="D1834" s="1765"/>
      <c r="E1834" s="1765"/>
      <c r="F1834" s="1765"/>
      <c r="G1834" s="1765"/>
      <c r="H1834" s="1765"/>
      <c r="I1834" s="1765"/>
      <c r="J1834" s="1765"/>
      <c r="K1834" s="1765"/>
      <c r="L1834" s="1765"/>
      <c r="M1834" s="1765"/>
      <c r="N1834" s="1765"/>
      <c r="O1834" s="1765"/>
      <c r="P1834" s="1765"/>
      <c r="Q1834" s="1766"/>
      <c r="R1834" s="1766"/>
      <c r="S1834" s="1696"/>
      <c r="T1834" s="1696"/>
      <c r="U1834" s="1772"/>
      <c r="V1834" s="1696"/>
      <c r="W1834" s="1772"/>
      <c r="X1834" s="1696"/>
      <c r="Y1834" s="1696"/>
      <c r="Z1834" s="1773"/>
    </row>
    <row r="1835">
      <c r="A1835" s="1771"/>
      <c r="B1835" s="1777"/>
      <c r="C1835" s="1771"/>
      <c r="D1835" s="1771"/>
      <c r="E1835" s="1771"/>
      <c r="F1835" s="1771"/>
      <c r="G1835" s="1770"/>
      <c r="H1835" s="1771"/>
      <c r="I1835" s="1770"/>
      <c r="J1835" s="1771"/>
      <c r="K1835" s="1771"/>
      <c r="L1835" s="1771"/>
      <c r="M1835" s="1771"/>
      <c r="N1835" s="1779"/>
      <c r="O1835" s="1770"/>
      <c r="P1835" s="1771"/>
      <c r="Q1835" s="1766"/>
      <c r="R1835" s="1766"/>
      <c r="S1835" s="1696"/>
      <c r="T1835" s="1696"/>
      <c r="U1835" s="1772"/>
      <c r="V1835" s="1696"/>
      <c r="W1835" s="1772"/>
      <c r="X1835" s="1696"/>
      <c r="Y1835" s="1696"/>
      <c r="Z1835" s="1773"/>
    </row>
    <row r="1836">
      <c r="A1836" s="1766"/>
      <c r="B1836" s="1780"/>
      <c r="C1836" s="1766"/>
      <c r="D1836" s="1766"/>
      <c r="E1836" s="1766"/>
      <c r="F1836" s="1766"/>
      <c r="G1836" s="1766"/>
      <c r="H1836" s="1766"/>
      <c r="I1836" s="1766"/>
      <c r="J1836" s="1766"/>
      <c r="K1836" s="1766"/>
      <c r="L1836" s="1766"/>
      <c r="M1836" s="1766"/>
      <c r="N1836" s="1781"/>
      <c r="O1836" s="1766"/>
      <c r="P1836" s="1766"/>
      <c r="Q1836" s="1766"/>
      <c r="R1836" s="1766"/>
      <c r="S1836" s="1696"/>
      <c r="T1836" s="1696"/>
      <c r="U1836" s="1772"/>
      <c r="V1836" s="1696"/>
      <c r="W1836" s="1772"/>
      <c r="X1836" s="1696"/>
      <c r="Y1836" s="1696"/>
      <c r="Z1836" s="1773"/>
    </row>
    <row r="1837">
      <c r="A1837" s="1765"/>
      <c r="B1837" s="1782"/>
      <c r="C1837" s="1765"/>
      <c r="D1837" s="1765"/>
      <c r="E1837" s="1765"/>
      <c r="F1837" s="1765"/>
      <c r="G1837" s="1765"/>
      <c r="H1837" s="1765"/>
      <c r="I1837" s="1765"/>
      <c r="J1837" s="1765"/>
      <c r="K1837" s="1765"/>
      <c r="L1837" s="1765"/>
      <c r="M1837" s="1765"/>
      <c r="N1837" s="1765"/>
      <c r="O1837" s="1765"/>
      <c r="P1837" s="1765"/>
      <c r="Q1837" s="1766"/>
      <c r="R1837" s="1766"/>
      <c r="S1837" s="1696"/>
      <c r="T1837" s="1696"/>
      <c r="U1837" s="1772"/>
      <c r="V1837" s="1696"/>
      <c r="W1837" s="1772"/>
      <c r="X1837" s="1696"/>
      <c r="Y1837" s="1696"/>
      <c r="Z1837" s="1773"/>
    </row>
    <row r="1838">
      <c r="A1838" s="1771"/>
      <c r="B1838" s="1777"/>
      <c r="C1838" s="1771"/>
      <c r="D1838" s="1771"/>
      <c r="E1838" s="1771"/>
      <c r="F1838" s="1771"/>
      <c r="G1838" s="1770"/>
      <c r="H1838" s="1771"/>
      <c r="I1838" s="1770"/>
      <c r="J1838" s="1771"/>
      <c r="K1838" s="1771"/>
      <c r="L1838" s="1771"/>
      <c r="M1838" s="1771"/>
      <c r="N1838" s="1779"/>
      <c r="O1838" s="1770"/>
      <c r="P1838" s="1771"/>
      <c r="Q1838" s="1766"/>
      <c r="R1838" s="1766"/>
      <c r="S1838" s="1696"/>
      <c r="T1838" s="1696"/>
      <c r="U1838" s="1772"/>
      <c r="V1838" s="1696"/>
      <c r="W1838" s="1772"/>
      <c r="X1838" s="1696"/>
      <c r="Y1838" s="1696"/>
      <c r="Z1838" s="1773"/>
    </row>
    <row r="1839">
      <c r="A1839" s="1766"/>
      <c r="B1839" s="1780"/>
      <c r="C1839" s="1766"/>
      <c r="D1839" s="1766"/>
      <c r="E1839" s="1766"/>
      <c r="F1839" s="1766"/>
      <c r="G1839" s="1766"/>
      <c r="H1839" s="1766"/>
      <c r="I1839" s="1766"/>
      <c r="J1839" s="1766"/>
      <c r="K1839" s="1766"/>
      <c r="L1839" s="1766"/>
      <c r="M1839" s="1766"/>
      <c r="N1839" s="1781"/>
      <c r="O1839" s="1766"/>
      <c r="P1839" s="1766"/>
      <c r="Q1839" s="1766"/>
      <c r="R1839" s="1766"/>
      <c r="S1839" s="1696"/>
      <c r="T1839" s="1696"/>
      <c r="U1839" s="1772"/>
      <c r="V1839" s="1696"/>
      <c r="W1839" s="1772"/>
      <c r="X1839" s="1696"/>
      <c r="Y1839" s="1696"/>
      <c r="Z1839" s="1773"/>
    </row>
    <row r="1840">
      <c r="A1840" s="1765"/>
      <c r="B1840" s="1782"/>
      <c r="C1840" s="1765"/>
      <c r="D1840" s="1765"/>
      <c r="E1840" s="1765"/>
      <c r="F1840" s="1765"/>
      <c r="G1840" s="1765"/>
      <c r="H1840" s="1765"/>
      <c r="I1840" s="1765"/>
      <c r="J1840" s="1765"/>
      <c r="K1840" s="1765"/>
      <c r="L1840" s="1765"/>
      <c r="M1840" s="1765"/>
      <c r="N1840" s="1765"/>
      <c r="O1840" s="1765"/>
      <c r="P1840" s="1765"/>
      <c r="Q1840" s="1766"/>
      <c r="R1840" s="1766"/>
      <c r="S1840" s="1696"/>
      <c r="T1840" s="1696"/>
      <c r="U1840" s="1772"/>
      <c r="V1840" s="1696"/>
      <c r="W1840" s="1772"/>
      <c r="X1840" s="1696"/>
      <c r="Y1840" s="1696"/>
      <c r="Z1840" s="1773"/>
    </row>
    <row r="1841">
      <c r="A1841" s="1771"/>
      <c r="B1841" s="1777"/>
      <c r="C1841" s="1771"/>
      <c r="D1841" s="1771"/>
      <c r="E1841" s="1771"/>
      <c r="F1841" s="1771"/>
      <c r="G1841" s="1770"/>
      <c r="H1841" s="1771"/>
      <c r="I1841" s="1770"/>
      <c r="J1841" s="1771"/>
      <c r="K1841" s="1771"/>
      <c r="L1841" s="1771"/>
      <c r="M1841" s="1771"/>
      <c r="N1841" s="1779"/>
      <c r="O1841" s="1770"/>
      <c r="P1841" s="1771"/>
      <c r="Q1841" s="1766"/>
      <c r="R1841" s="1766"/>
      <c r="S1841" s="1696"/>
      <c r="T1841" s="1696"/>
      <c r="U1841" s="1772"/>
      <c r="V1841" s="1696"/>
      <c r="W1841" s="1772"/>
      <c r="X1841" s="1696"/>
      <c r="Y1841" s="1696"/>
      <c r="Z1841" s="1773"/>
    </row>
    <row r="1842">
      <c r="A1842" s="1766"/>
      <c r="B1842" s="1780"/>
      <c r="C1842" s="1766"/>
      <c r="D1842" s="1766"/>
      <c r="E1842" s="1766"/>
      <c r="F1842" s="1766"/>
      <c r="G1842" s="1766"/>
      <c r="H1842" s="1766"/>
      <c r="I1842" s="1766"/>
      <c r="J1842" s="1766"/>
      <c r="K1842" s="1766"/>
      <c r="L1842" s="1766"/>
      <c r="M1842" s="1766"/>
      <c r="N1842" s="1781"/>
      <c r="O1842" s="1766"/>
      <c r="P1842" s="1766"/>
      <c r="Q1842" s="1766"/>
      <c r="R1842" s="1766"/>
      <c r="S1842" s="1696"/>
      <c r="T1842" s="1696"/>
      <c r="U1842" s="1772"/>
      <c r="V1842" s="1696"/>
      <c r="W1842" s="1772"/>
      <c r="X1842" s="1696"/>
      <c r="Y1842" s="1696"/>
      <c r="Z1842" s="1773"/>
    </row>
    <row r="1843">
      <c r="A1843" s="1765"/>
      <c r="B1843" s="1782"/>
      <c r="C1843" s="1765"/>
      <c r="D1843" s="1765"/>
      <c r="E1843" s="1765"/>
      <c r="F1843" s="1765"/>
      <c r="G1843" s="1765"/>
      <c r="H1843" s="1765"/>
      <c r="I1843" s="1765"/>
      <c r="J1843" s="1765"/>
      <c r="K1843" s="1765"/>
      <c r="L1843" s="1765"/>
      <c r="M1843" s="1765"/>
      <c r="N1843" s="1765"/>
      <c r="O1843" s="1765"/>
      <c r="P1843" s="1765"/>
      <c r="Q1843" s="1766"/>
      <c r="R1843" s="1766"/>
      <c r="S1843" s="1696"/>
      <c r="T1843" s="1696"/>
      <c r="U1843" s="1772"/>
      <c r="V1843" s="1696"/>
      <c r="W1843" s="1772"/>
      <c r="X1843" s="1696"/>
      <c r="Y1843" s="1696"/>
      <c r="Z1843" s="1773"/>
    </row>
    <row r="1844">
      <c r="A1844" s="1771"/>
      <c r="B1844" s="1777"/>
      <c r="C1844" s="1771"/>
      <c r="D1844" s="1771"/>
      <c r="E1844" s="1771"/>
      <c r="F1844" s="1771"/>
      <c r="G1844" s="1770"/>
      <c r="H1844" s="1771"/>
      <c r="I1844" s="1770"/>
      <c r="J1844" s="1771"/>
      <c r="K1844" s="1771"/>
      <c r="L1844" s="1771"/>
      <c r="M1844" s="1771"/>
      <c r="N1844" s="1779"/>
      <c r="O1844" s="1770"/>
      <c r="P1844" s="1771"/>
      <c r="Q1844" s="1766"/>
      <c r="R1844" s="1766"/>
      <c r="S1844" s="1696"/>
      <c r="T1844" s="1696"/>
      <c r="U1844" s="1772"/>
      <c r="V1844" s="1696"/>
      <c r="W1844" s="1772"/>
      <c r="X1844" s="1696"/>
      <c r="Y1844" s="1696"/>
      <c r="Z1844" s="1773"/>
    </row>
    <row r="1845">
      <c r="A1845" s="1766"/>
      <c r="B1845" s="1780"/>
      <c r="C1845" s="1766"/>
      <c r="D1845" s="1766"/>
      <c r="E1845" s="1766"/>
      <c r="F1845" s="1766"/>
      <c r="G1845" s="1766"/>
      <c r="H1845" s="1766"/>
      <c r="I1845" s="1766"/>
      <c r="J1845" s="1766"/>
      <c r="K1845" s="1766"/>
      <c r="L1845" s="1766"/>
      <c r="M1845" s="1766"/>
      <c r="N1845" s="1781"/>
      <c r="O1845" s="1766"/>
      <c r="P1845" s="1766"/>
      <c r="Q1845" s="1766"/>
      <c r="R1845" s="1766"/>
      <c r="S1845" s="1696"/>
      <c r="T1845" s="1696"/>
      <c r="U1845" s="1772"/>
      <c r="V1845" s="1696"/>
      <c r="W1845" s="1772"/>
      <c r="X1845" s="1696"/>
      <c r="Y1845" s="1696"/>
      <c r="Z1845" s="1773"/>
    </row>
    <row r="1846">
      <c r="A1846" s="1765"/>
      <c r="B1846" s="1782"/>
      <c r="C1846" s="1765"/>
      <c r="D1846" s="1765"/>
      <c r="E1846" s="1765"/>
      <c r="F1846" s="1765"/>
      <c r="G1846" s="1765"/>
      <c r="H1846" s="1765"/>
      <c r="I1846" s="1765"/>
      <c r="J1846" s="1765"/>
      <c r="K1846" s="1765"/>
      <c r="L1846" s="1765"/>
      <c r="M1846" s="1765"/>
      <c r="N1846" s="1765"/>
      <c r="O1846" s="1765"/>
      <c r="P1846" s="1765"/>
      <c r="Q1846" s="1766"/>
      <c r="R1846" s="1766"/>
      <c r="S1846" s="1696"/>
      <c r="T1846" s="1696"/>
      <c r="U1846" s="1772"/>
      <c r="V1846" s="1696"/>
      <c r="W1846" s="1772"/>
      <c r="X1846" s="1696"/>
      <c r="Y1846" s="1696"/>
      <c r="Z1846" s="1773"/>
    </row>
    <row r="1847">
      <c r="A1847" s="1771"/>
      <c r="B1847" s="1777"/>
      <c r="C1847" s="1771"/>
      <c r="D1847" s="1771"/>
      <c r="E1847" s="1771"/>
      <c r="F1847" s="1771"/>
      <c r="G1847" s="1770"/>
      <c r="H1847" s="1771"/>
      <c r="I1847" s="1778"/>
      <c r="J1847" s="1771"/>
      <c r="K1847" s="1771"/>
      <c r="L1847" s="1771"/>
      <c r="M1847" s="1771"/>
      <c r="N1847" s="1779"/>
      <c r="O1847" s="1770"/>
      <c r="P1847" s="1771"/>
      <c r="Q1847" s="1766"/>
      <c r="R1847" s="1766"/>
      <c r="S1847" s="1696"/>
      <c r="T1847" s="1696"/>
      <c r="U1847" s="1772"/>
      <c r="V1847" s="1696"/>
      <c r="W1847" s="1772"/>
      <c r="X1847" s="1696"/>
      <c r="Y1847" s="1696"/>
      <c r="Z1847" s="1773"/>
    </row>
    <row r="1848">
      <c r="A1848" s="1766"/>
      <c r="B1848" s="1780"/>
      <c r="C1848" s="1766"/>
      <c r="D1848" s="1766"/>
      <c r="E1848" s="1766"/>
      <c r="F1848" s="1766"/>
      <c r="G1848" s="1766"/>
      <c r="H1848" s="1766"/>
      <c r="I1848" s="1766"/>
      <c r="J1848" s="1766"/>
      <c r="K1848" s="1766"/>
      <c r="L1848" s="1766"/>
      <c r="M1848" s="1766"/>
      <c r="N1848" s="1781"/>
      <c r="O1848" s="1766"/>
      <c r="P1848" s="1766"/>
      <c r="Q1848" s="1766"/>
      <c r="R1848" s="1766"/>
      <c r="S1848" s="1696"/>
      <c r="T1848" s="1696"/>
      <c r="U1848" s="1772"/>
      <c r="V1848" s="1696"/>
      <c r="W1848" s="1772"/>
      <c r="X1848" s="1696"/>
      <c r="Y1848" s="1696"/>
      <c r="Z1848" s="1773"/>
    </row>
    <row r="1849">
      <c r="A1849" s="1765"/>
      <c r="B1849" s="1782"/>
      <c r="C1849" s="1765"/>
      <c r="D1849" s="1765"/>
      <c r="E1849" s="1765"/>
      <c r="F1849" s="1765"/>
      <c r="G1849" s="1765"/>
      <c r="H1849" s="1765"/>
      <c r="I1849" s="1765"/>
      <c r="J1849" s="1765"/>
      <c r="K1849" s="1765"/>
      <c r="L1849" s="1765"/>
      <c r="M1849" s="1765"/>
      <c r="N1849" s="1765"/>
      <c r="O1849" s="1765"/>
      <c r="P1849" s="1765"/>
      <c r="Q1849" s="1766"/>
      <c r="R1849" s="1766"/>
      <c r="S1849" s="1696"/>
      <c r="T1849" s="1696"/>
      <c r="U1849" s="1772"/>
      <c r="V1849" s="1696"/>
      <c r="W1849" s="1772"/>
      <c r="X1849" s="1696"/>
      <c r="Y1849" s="1696"/>
      <c r="Z1849" s="1773"/>
    </row>
    <row r="1850">
      <c r="A1850" s="1771"/>
      <c r="B1850" s="1777"/>
      <c r="C1850" s="1771"/>
      <c r="D1850" s="1771"/>
      <c r="E1850" s="1771"/>
      <c r="F1850" s="1771"/>
      <c r="G1850" s="1771"/>
      <c r="H1850" s="1771"/>
      <c r="I1850" s="1770"/>
      <c r="J1850" s="1771"/>
      <c r="K1850" s="1771"/>
      <c r="L1850" s="1770"/>
      <c r="M1850" s="1771"/>
      <c r="N1850" s="1779"/>
      <c r="O1850" s="1770"/>
      <c r="P1850" s="1771"/>
      <c r="Q1850" s="1766"/>
      <c r="R1850" s="1766"/>
      <c r="S1850" s="1696"/>
      <c r="T1850" s="1696"/>
      <c r="U1850" s="1772"/>
      <c r="V1850" s="1696"/>
      <c r="W1850" s="1772"/>
      <c r="X1850" s="1696"/>
      <c r="Y1850" s="1696"/>
      <c r="Z1850" s="1773"/>
    </row>
    <row r="1851">
      <c r="A1851" s="1766"/>
      <c r="B1851" s="1780"/>
      <c r="C1851" s="1766"/>
      <c r="D1851" s="1766"/>
      <c r="E1851" s="1766"/>
      <c r="F1851" s="1766"/>
      <c r="G1851" s="1766"/>
      <c r="H1851" s="1766"/>
      <c r="I1851" s="1766"/>
      <c r="J1851" s="1766"/>
      <c r="K1851" s="1766"/>
      <c r="L1851" s="1766"/>
      <c r="M1851" s="1766"/>
      <c r="N1851" s="1781"/>
      <c r="O1851" s="1766"/>
      <c r="P1851" s="1766"/>
      <c r="Q1851" s="1766"/>
      <c r="R1851" s="1766"/>
      <c r="S1851" s="1696"/>
      <c r="T1851" s="1696"/>
      <c r="U1851" s="1772"/>
      <c r="V1851" s="1696"/>
      <c r="W1851" s="1772"/>
      <c r="X1851" s="1696"/>
      <c r="Y1851" s="1696"/>
      <c r="Z1851" s="1773"/>
    </row>
    <row r="1852">
      <c r="A1852" s="1765"/>
      <c r="B1852" s="1782"/>
      <c r="C1852" s="1765"/>
      <c r="D1852" s="1765"/>
      <c r="E1852" s="1765"/>
      <c r="F1852" s="1765"/>
      <c r="G1852" s="1765"/>
      <c r="H1852" s="1765"/>
      <c r="I1852" s="1765"/>
      <c r="J1852" s="1765"/>
      <c r="K1852" s="1765"/>
      <c r="L1852" s="1765"/>
      <c r="M1852" s="1765"/>
      <c r="N1852" s="1765"/>
      <c r="O1852" s="1765"/>
      <c r="P1852" s="1765"/>
      <c r="Q1852" s="1766"/>
      <c r="R1852" s="1766"/>
      <c r="S1852" s="1696"/>
      <c r="T1852" s="1696"/>
      <c r="U1852" s="1772"/>
      <c r="V1852" s="1696"/>
      <c r="W1852" s="1772"/>
      <c r="X1852" s="1696"/>
      <c r="Y1852" s="1696"/>
      <c r="Z1852" s="1773"/>
    </row>
    <row r="1853">
      <c r="A1853" s="1771"/>
      <c r="B1853" s="1777"/>
      <c r="C1853" s="1771"/>
      <c r="D1853" s="1771"/>
      <c r="E1853" s="1771"/>
      <c r="F1853" s="1771"/>
      <c r="G1853" s="1770"/>
      <c r="H1853" s="1771"/>
      <c r="I1853" s="1770"/>
      <c r="J1853" s="1771"/>
      <c r="K1853" s="1771"/>
      <c r="L1853" s="1771"/>
      <c r="M1853" s="1771"/>
      <c r="N1853" s="1779"/>
      <c r="O1853" s="1770"/>
      <c r="P1853" s="1771"/>
      <c r="Q1853" s="1766"/>
      <c r="R1853" s="1766"/>
      <c r="S1853" s="1696"/>
      <c r="T1853" s="1696"/>
      <c r="U1853" s="1772"/>
      <c r="V1853" s="1696"/>
      <c r="W1853" s="1772"/>
      <c r="X1853" s="1696"/>
      <c r="Y1853" s="1696"/>
      <c r="Z1853" s="1773"/>
    </row>
    <row r="1854">
      <c r="A1854" s="1766"/>
      <c r="B1854" s="1780"/>
      <c r="C1854" s="1766"/>
      <c r="D1854" s="1766"/>
      <c r="E1854" s="1766"/>
      <c r="F1854" s="1766"/>
      <c r="G1854" s="1766"/>
      <c r="H1854" s="1766"/>
      <c r="I1854" s="1766"/>
      <c r="J1854" s="1766"/>
      <c r="K1854" s="1766"/>
      <c r="L1854" s="1766"/>
      <c r="M1854" s="1766"/>
      <c r="N1854" s="1781"/>
      <c r="O1854" s="1766"/>
      <c r="P1854" s="1766"/>
      <c r="Q1854" s="1766"/>
      <c r="R1854" s="1766"/>
      <c r="S1854" s="1696"/>
      <c r="T1854" s="1696"/>
      <c r="U1854" s="1772"/>
      <c r="V1854" s="1696"/>
      <c r="W1854" s="1772"/>
      <c r="X1854" s="1696"/>
      <c r="Y1854" s="1696"/>
      <c r="Z1854" s="1773"/>
    </row>
    <row r="1855">
      <c r="A1855" s="1765"/>
      <c r="B1855" s="1782"/>
      <c r="C1855" s="1765"/>
      <c r="D1855" s="1765"/>
      <c r="E1855" s="1765"/>
      <c r="F1855" s="1765"/>
      <c r="G1855" s="1765"/>
      <c r="H1855" s="1765"/>
      <c r="I1855" s="1765"/>
      <c r="J1855" s="1765"/>
      <c r="K1855" s="1765"/>
      <c r="L1855" s="1765"/>
      <c r="M1855" s="1765"/>
      <c r="N1855" s="1765"/>
      <c r="O1855" s="1765"/>
      <c r="P1855" s="1765"/>
      <c r="Q1855" s="1766"/>
      <c r="R1855" s="1766"/>
      <c r="S1855" s="1696"/>
      <c r="T1855" s="1696"/>
      <c r="U1855" s="1772"/>
      <c r="V1855" s="1696"/>
      <c r="W1855" s="1772"/>
      <c r="X1855" s="1696"/>
      <c r="Y1855" s="1696"/>
      <c r="Z1855" s="1773"/>
    </row>
    <row r="1856">
      <c r="A1856" s="1771"/>
      <c r="B1856" s="1777"/>
      <c r="C1856" s="1771"/>
      <c r="D1856" s="1771"/>
      <c r="E1856" s="1771"/>
      <c r="F1856" s="1771"/>
      <c r="G1856" s="1770"/>
      <c r="H1856" s="1771"/>
      <c r="I1856" s="1770"/>
      <c r="J1856" s="1771"/>
      <c r="K1856" s="1771"/>
      <c r="L1856" s="1771"/>
      <c r="M1856" s="1771"/>
      <c r="N1856" s="1779"/>
      <c r="O1856" s="1770"/>
      <c r="P1856" s="1771"/>
      <c r="Q1856" s="1766"/>
      <c r="R1856" s="1766"/>
      <c r="S1856" s="1696"/>
      <c r="T1856" s="1696"/>
      <c r="U1856" s="1772"/>
      <c r="V1856" s="1696"/>
      <c r="W1856" s="1772"/>
      <c r="X1856" s="1696"/>
      <c r="Y1856" s="1696"/>
      <c r="Z1856" s="1773"/>
    </row>
    <row r="1857">
      <c r="A1857" s="1766"/>
      <c r="B1857" s="1780"/>
      <c r="C1857" s="1766"/>
      <c r="D1857" s="1766"/>
      <c r="E1857" s="1766"/>
      <c r="F1857" s="1766"/>
      <c r="G1857" s="1766"/>
      <c r="H1857" s="1766"/>
      <c r="I1857" s="1766"/>
      <c r="J1857" s="1766"/>
      <c r="K1857" s="1766"/>
      <c r="L1857" s="1766"/>
      <c r="M1857" s="1766"/>
      <c r="N1857" s="1781"/>
      <c r="O1857" s="1766"/>
      <c r="P1857" s="1766"/>
      <c r="Q1857" s="1766"/>
      <c r="R1857" s="1766"/>
      <c r="S1857" s="1696"/>
      <c r="T1857" s="1696"/>
      <c r="U1857" s="1772"/>
      <c r="V1857" s="1696"/>
      <c r="W1857" s="1772"/>
      <c r="X1857" s="1696"/>
      <c r="Y1857" s="1696"/>
      <c r="Z1857" s="1773"/>
    </row>
    <row r="1858">
      <c r="A1858" s="1765"/>
      <c r="B1858" s="1782"/>
      <c r="C1858" s="1765"/>
      <c r="D1858" s="1765"/>
      <c r="E1858" s="1765"/>
      <c r="F1858" s="1765"/>
      <c r="G1858" s="1765"/>
      <c r="H1858" s="1765"/>
      <c r="I1858" s="1765"/>
      <c r="J1858" s="1765"/>
      <c r="K1858" s="1765"/>
      <c r="L1858" s="1765"/>
      <c r="M1858" s="1765"/>
      <c r="N1858" s="1765"/>
      <c r="O1858" s="1765"/>
      <c r="P1858" s="1765"/>
      <c r="Q1858" s="1766"/>
      <c r="R1858" s="1766"/>
      <c r="S1858" s="1696"/>
      <c r="T1858" s="1696"/>
      <c r="U1858" s="1772"/>
      <c r="V1858" s="1696"/>
      <c r="W1858" s="1772"/>
      <c r="X1858" s="1696"/>
      <c r="Y1858" s="1696"/>
      <c r="Z1858" s="1773"/>
    </row>
    <row r="1859">
      <c r="A1859" s="1771"/>
      <c r="B1859" s="1777"/>
      <c r="C1859" s="1771"/>
      <c r="D1859" s="1771"/>
      <c r="E1859" s="1771"/>
      <c r="F1859" s="1771"/>
      <c r="G1859" s="1770"/>
      <c r="H1859" s="1771"/>
      <c r="I1859" s="1770"/>
      <c r="J1859" s="1771"/>
      <c r="K1859" s="1771"/>
      <c r="L1859" s="1771"/>
      <c r="M1859" s="1771"/>
      <c r="N1859" s="1779"/>
      <c r="O1859" s="1770"/>
      <c r="P1859" s="1771"/>
      <c r="Q1859" s="1766"/>
      <c r="R1859" s="1766"/>
      <c r="S1859" s="1696"/>
      <c r="T1859" s="1696"/>
      <c r="U1859" s="1772"/>
      <c r="V1859" s="1696"/>
      <c r="W1859" s="1772"/>
      <c r="X1859" s="1696"/>
      <c r="Y1859" s="1696"/>
      <c r="Z1859" s="1773"/>
    </row>
    <row r="1860">
      <c r="A1860" s="1766"/>
      <c r="B1860" s="1780"/>
      <c r="C1860" s="1766"/>
      <c r="D1860" s="1766"/>
      <c r="E1860" s="1766"/>
      <c r="F1860" s="1766"/>
      <c r="G1860" s="1766"/>
      <c r="H1860" s="1766"/>
      <c r="I1860" s="1766"/>
      <c r="J1860" s="1766"/>
      <c r="K1860" s="1766"/>
      <c r="L1860" s="1766"/>
      <c r="M1860" s="1766"/>
      <c r="N1860" s="1781"/>
      <c r="O1860" s="1766"/>
      <c r="P1860" s="1766"/>
      <c r="Q1860" s="1766"/>
      <c r="R1860" s="1766"/>
      <c r="S1860" s="1696"/>
      <c r="T1860" s="1696"/>
      <c r="U1860" s="1772"/>
      <c r="V1860" s="1696"/>
      <c r="W1860" s="1772"/>
      <c r="X1860" s="1696"/>
      <c r="Y1860" s="1696"/>
      <c r="Z1860" s="1773"/>
    </row>
    <row r="1861">
      <c r="A1861" s="1765"/>
      <c r="B1861" s="1782"/>
      <c r="C1861" s="1765"/>
      <c r="D1861" s="1765"/>
      <c r="E1861" s="1765"/>
      <c r="F1861" s="1765"/>
      <c r="G1861" s="1765"/>
      <c r="H1861" s="1765"/>
      <c r="I1861" s="1765"/>
      <c r="J1861" s="1765"/>
      <c r="K1861" s="1765"/>
      <c r="L1861" s="1765"/>
      <c r="M1861" s="1765"/>
      <c r="N1861" s="1765"/>
      <c r="O1861" s="1765"/>
      <c r="P1861" s="1765"/>
      <c r="Q1861" s="1766"/>
      <c r="R1861" s="1766"/>
      <c r="S1861" s="1696"/>
      <c r="T1861" s="1696"/>
      <c r="U1861" s="1772"/>
      <c r="V1861" s="1696"/>
      <c r="W1861" s="1772"/>
      <c r="X1861" s="1696"/>
      <c r="Y1861" s="1696"/>
      <c r="Z1861" s="1773"/>
    </row>
    <row r="1862">
      <c r="A1862" s="1771"/>
      <c r="B1862" s="1777"/>
      <c r="C1862" s="1771"/>
      <c r="D1862" s="1771"/>
      <c r="E1862" s="1771"/>
      <c r="F1862" s="1771"/>
      <c r="G1862" s="1770"/>
      <c r="H1862" s="1771"/>
      <c r="I1862" s="1770"/>
      <c r="J1862" s="1771"/>
      <c r="K1862" s="1771"/>
      <c r="L1862" s="1771"/>
      <c r="M1862" s="1771"/>
      <c r="N1862" s="1779"/>
      <c r="O1862" s="1770"/>
      <c r="P1862" s="1771"/>
      <c r="Q1862" s="1766"/>
      <c r="R1862" s="1766"/>
      <c r="S1862" s="1696"/>
      <c r="T1862" s="1696"/>
      <c r="U1862" s="1772"/>
      <c r="V1862" s="1696"/>
      <c r="W1862" s="1772"/>
      <c r="X1862" s="1696"/>
      <c r="Y1862" s="1696"/>
      <c r="Z1862" s="1773"/>
    </row>
    <row r="1863">
      <c r="A1863" s="1766"/>
      <c r="B1863" s="1780"/>
      <c r="C1863" s="1766"/>
      <c r="D1863" s="1766"/>
      <c r="E1863" s="1766"/>
      <c r="F1863" s="1766"/>
      <c r="G1863" s="1766"/>
      <c r="H1863" s="1766"/>
      <c r="I1863" s="1766"/>
      <c r="J1863" s="1766"/>
      <c r="K1863" s="1766"/>
      <c r="L1863" s="1766"/>
      <c r="M1863" s="1766"/>
      <c r="N1863" s="1781"/>
      <c r="O1863" s="1766"/>
      <c r="P1863" s="1766"/>
      <c r="Q1863" s="1766"/>
      <c r="R1863" s="1766"/>
      <c r="S1863" s="1696"/>
      <c r="T1863" s="1696"/>
      <c r="U1863" s="1772"/>
      <c r="V1863" s="1696"/>
      <c r="W1863" s="1772"/>
      <c r="X1863" s="1696"/>
      <c r="Y1863" s="1696"/>
      <c r="Z1863" s="1773"/>
    </row>
    <row r="1864">
      <c r="A1864" s="1765"/>
      <c r="B1864" s="1782"/>
      <c r="C1864" s="1765"/>
      <c r="D1864" s="1765"/>
      <c r="E1864" s="1765"/>
      <c r="F1864" s="1765"/>
      <c r="G1864" s="1765"/>
      <c r="H1864" s="1765"/>
      <c r="I1864" s="1765"/>
      <c r="J1864" s="1765"/>
      <c r="K1864" s="1765"/>
      <c r="L1864" s="1765"/>
      <c r="M1864" s="1765"/>
      <c r="N1864" s="1765"/>
      <c r="O1864" s="1765"/>
      <c r="P1864" s="1765"/>
      <c r="Q1864" s="1766"/>
      <c r="R1864" s="1766"/>
      <c r="S1864" s="1696"/>
      <c r="T1864" s="1696"/>
      <c r="U1864" s="1772"/>
      <c r="V1864" s="1696"/>
      <c r="W1864" s="1772"/>
      <c r="X1864" s="1696"/>
      <c r="Y1864" s="1696"/>
      <c r="Z1864" s="1773"/>
    </row>
    <row r="1865">
      <c r="A1865" s="1771"/>
      <c r="B1865" s="1777"/>
      <c r="C1865" s="1771"/>
      <c r="D1865" s="1771"/>
      <c r="E1865" s="1771"/>
      <c r="F1865" s="1771"/>
      <c r="G1865" s="1777"/>
      <c r="H1865" s="1771"/>
      <c r="I1865" s="1770"/>
      <c r="J1865" s="1771"/>
      <c r="K1865" s="1771"/>
      <c r="L1865" s="1771"/>
      <c r="M1865" s="1771"/>
      <c r="N1865" s="1779"/>
      <c r="O1865" s="1770"/>
      <c r="P1865" s="1771"/>
      <c r="Q1865" s="1766"/>
      <c r="R1865" s="1766"/>
      <c r="S1865" s="1696"/>
      <c r="T1865" s="1696"/>
      <c r="U1865" s="1772"/>
      <c r="V1865" s="1696"/>
      <c r="W1865" s="1772"/>
      <c r="X1865" s="1696"/>
      <c r="Y1865" s="1696"/>
      <c r="Z1865" s="1773"/>
    </row>
    <row r="1866">
      <c r="A1866" s="1766"/>
      <c r="B1866" s="1780"/>
      <c r="C1866" s="1766"/>
      <c r="D1866" s="1766"/>
      <c r="E1866" s="1766"/>
      <c r="F1866" s="1766"/>
      <c r="G1866" s="1766"/>
      <c r="H1866" s="1766"/>
      <c r="I1866" s="1766"/>
      <c r="J1866" s="1766"/>
      <c r="K1866" s="1766"/>
      <c r="L1866" s="1766"/>
      <c r="M1866" s="1766"/>
      <c r="N1866" s="1781"/>
      <c r="O1866" s="1766"/>
      <c r="P1866" s="1766"/>
      <c r="Q1866" s="1766"/>
      <c r="R1866" s="1766"/>
      <c r="S1866" s="1696"/>
      <c r="T1866" s="1696"/>
      <c r="U1866" s="1772"/>
      <c r="V1866" s="1696"/>
      <c r="W1866" s="1772"/>
      <c r="X1866" s="1696"/>
      <c r="Y1866" s="1696"/>
      <c r="Z1866" s="1773"/>
    </row>
    <row r="1867">
      <c r="A1867" s="1765"/>
      <c r="B1867" s="1782"/>
      <c r="C1867" s="1765"/>
      <c r="D1867" s="1765"/>
      <c r="E1867" s="1765"/>
      <c r="F1867" s="1765"/>
      <c r="G1867" s="1765"/>
      <c r="H1867" s="1765"/>
      <c r="I1867" s="1765"/>
      <c r="J1867" s="1765"/>
      <c r="K1867" s="1765"/>
      <c r="L1867" s="1765"/>
      <c r="M1867" s="1765"/>
      <c r="N1867" s="1765"/>
      <c r="O1867" s="1765"/>
      <c r="P1867" s="1765"/>
      <c r="Q1867" s="1766"/>
      <c r="R1867" s="1766"/>
      <c r="S1867" s="1696"/>
      <c r="T1867" s="1696"/>
      <c r="U1867" s="1772"/>
      <c r="V1867" s="1696"/>
      <c r="W1867" s="1772"/>
      <c r="X1867" s="1696"/>
      <c r="Y1867" s="1696"/>
      <c r="Z1867" s="1773"/>
    </row>
    <row r="1868">
      <c r="A1868" s="1771"/>
      <c r="B1868" s="1777"/>
      <c r="C1868" s="1771"/>
      <c r="D1868" s="1771"/>
      <c r="E1868" s="1771"/>
      <c r="F1868" s="1771"/>
      <c r="G1868" s="1770"/>
      <c r="H1868" s="1771"/>
      <c r="I1868" s="1770"/>
      <c r="J1868" s="1771"/>
      <c r="K1868" s="1771"/>
      <c r="L1868" s="1771"/>
      <c r="M1868" s="1771"/>
      <c r="N1868" s="1779"/>
      <c r="O1868" s="1770"/>
      <c r="P1868" s="1771"/>
      <c r="Q1868" s="1766"/>
      <c r="R1868" s="1766"/>
      <c r="S1868" s="1696"/>
      <c r="T1868" s="1696"/>
      <c r="U1868" s="1772"/>
      <c r="V1868" s="1696"/>
      <c r="W1868" s="1772"/>
      <c r="X1868" s="1696"/>
      <c r="Y1868" s="1696"/>
      <c r="Z1868" s="1773"/>
    </row>
    <row r="1869">
      <c r="A1869" s="1766"/>
      <c r="B1869" s="1780"/>
      <c r="C1869" s="1766"/>
      <c r="D1869" s="1766"/>
      <c r="E1869" s="1766"/>
      <c r="F1869" s="1766"/>
      <c r="G1869" s="1766"/>
      <c r="H1869" s="1766"/>
      <c r="I1869" s="1766"/>
      <c r="J1869" s="1766"/>
      <c r="K1869" s="1766"/>
      <c r="L1869" s="1766"/>
      <c r="M1869" s="1766"/>
      <c r="N1869" s="1781"/>
      <c r="O1869" s="1766"/>
      <c r="P1869" s="1766"/>
      <c r="Q1869" s="1766"/>
      <c r="R1869" s="1766"/>
      <c r="S1869" s="1696"/>
      <c r="T1869" s="1696"/>
      <c r="U1869" s="1772"/>
      <c r="V1869" s="1696"/>
      <c r="W1869" s="1772"/>
      <c r="X1869" s="1696"/>
      <c r="Y1869" s="1696"/>
      <c r="Z1869" s="1773"/>
    </row>
    <row r="1870">
      <c r="A1870" s="1765"/>
      <c r="B1870" s="1782"/>
      <c r="C1870" s="1765"/>
      <c r="D1870" s="1765"/>
      <c r="E1870" s="1765"/>
      <c r="F1870" s="1765"/>
      <c r="G1870" s="1765"/>
      <c r="H1870" s="1765"/>
      <c r="I1870" s="1765"/>
      <c r="J1870" s="1765"/>
      <c r="K1870" s="1765"/>
      <c r="L1870" s="1765"/>
      <c r="M1870" s="1765"/>
      <c r="N1870" s="1765"/>
      <c r="O1870" s="1765"/>
      <c r="P1870" s="1765"/>
      <c r="Q1870" s="1766"/>
      <c r="R1870" s="1766"/>
      <c r="S1870" s="1696"/>
      <c r="T1870" s="1696"/>
      <c r="U1870" s="1772"/>
      <c r="V1870" s="1696"/>
      <c r="W1870" s="1772"/>
      <c r="X1870" s="1696"/>
      <c r="Y1870" s="1696"/>
      <c r="Z1870" s="1773"/>
    </row>
    <row r="1871">
      <c r="A1871" s="1771"/>
      <c r="B1871" s="1777"/>
      <c r="C1871" s="1771"/>
      <c r="D1871" s="1771"/>
      <c r="E1871" s="1771"/>
      <c r="F1871" s="1771"/>
      <c r="G1871" s="1770"/>
      <c r="H1871" s="1771"/>
      <c r="I1871" s="1770"/>
      <c r="J1871" s="1771"/>
      <c r="K1871" s="1771"/>
      <c r="L1871" s="1771"/>
      <c r="M1871" s="1771"/>
      <c r="N1871" s="1779"/>
      <c r="O1871" s="1770"/>
      <c r="P1871" s="1771"/>
      <c r="Q1871" s="1766"/>
      <c r="R1871" s="1766"/>
      <c r="S1871" s="1696"/>
      <c r="T1871" s="1696"/>
      <c r="U1871" s="1772"/>
      <c r="V1871" s="1696"/>
      <c r="W1871" s="1772"/>
      <c r="X1871" s="1696"/>
      <c r="Y1871" s="1696"/>
      <c r="Z1871" s="1773"/>
    </row>
    <row r="1872">
      <c r="A1872" s="1766"/>
      <c r="B1872" s="1780"/>
      <c r="C1872" s="1766"/>
      <c r="D1872" s="1766"/>
      <c r="E1872" s="1766"/>
      <c r="F1872" s="1766"/>
      <c r="G1872" s="1766"/>
      <c r="H1872" s="1766"/>
      <c r="I1872" s="1766"/>
      <c r="J1872" s="1766"/>
      <c r="K1872" s="1766"/>
      <c r="L1872" s="1766"/>
      <c r="M1872" s="1766"/>
      <c r="N1872" s="1781"/>
      <c r="O1872" s="1766"/>
      <c r="P1872" s="1766"/>
      <c r="Q1872" s="1766"/>
      <c r="R1872" s="1766"/>
      <c r="S1872" s="1696"/>
      <c r="T1872" s="1696"/>
      <c r="U1872" s="1772"/>
      <c r="V1872" s="1696"/>
      <c r="W1872" s="1772"/>
      <c r="X1872" s="1696"/>
      <c r="Y1872" s="1696"/>
      <c r="Z1872" s="1773"/>
    </row>
    <row r="1873">
      <c r="A1873" s="1765"/>
      <c r="B1873" s="1782"/>
      <c r="C1873" s="1765"/>
      <c r="D1873" s="1765"/>
      <c r="E1873" s="1765"/>
      <c r="F1873" s="1765"/>
      <c r="G1873" s="1765"/>
      <c r="H1873" s="1765"/>
      <c r="I1873" s="1765"/>
      <c r="J1873" s="1765"/>
      <c r="K1873" s="1765"/>
      <c r="L1873" s="1765"/>
      <c r="M1873" s="1765"/>
      <c r="N1873" s="1765"/>
      <c r="O1873" s="1765"/>
      <c r="P1873" s="1765"/>
      <c r="Q1873" s="1766"/>
      <c r="R1873" s="1766"/>
      <c r="S1873" s="1696"/>
      <c r="T1873" s="1696"/>
      <c r="U1873" s="1772"/>
      <c r="V1873" s="1696"/>
      <c r="W1873" s="1772"/>
      <c r="X1873" s="1696"/>
      <c r="Y1873" s="1696"/>
      <c r="Z1873" s="1773"/>
    </row>
    <row r="1874">
      <c r="A1874" s="1771"/>
      <c r="B1874" s="1777"/>
      <c r="C1874" s="1771"/>
      <c r="D1874" s="1771"/>
      <c r="E1874" s="1771"/>
      <c r="F1874" s="1771"/>
      <c r="G1874" s="1770"/>
      <c r="H1874" s="1771"/>
      <c r="I1874" s="1770"/>
      <c r="J1874" s="1771"/>
      <c r="K1874" s="1771"/>
      <c r="L1874" s="1771"/>
      <c r="M1874" s="1771"/>
      <c r="N1874" s="1779"/>
      <c r="O1874" s="1770"/>
      <c r="P1874" s="1771"/>
      <c r="Q1874" s="1766"/>
      <c r="R1874" s="1766"/>
      <c r="S1874" s="1696"/>
      <c r="T1874" s="1696"/>
      <c r="U1874" s="1772"/>
      <c r="V1874" s="1696"/>
      <c r="W1874" s="1772"/>
      <c r="X1874" s="1696"/>
      <c r="Y1874" s="1696"/>
      <c r="Z1874" s="1773"/>
    </row>
    <row r="1875">
      <c r="A1875" s="1766"/>
      <c r="B1875" s="1780"/>
      <c r="C1875" s="1766"/>
      <c r="D1875" s="1766"/>
      <c r="E1875" s="1766"/>
      <c r="F1875" s="1766"/>
      <c r="G1875" s="1766"/>
      <c r="H1875" s="1766"/>
      <c r="I1875" s="1766"/>
      <c r="J1875" s="1766"/>
      <c r="K1875" s="1766"/>
      <c r="L1875" s="1766"/>
      <c r="M1875" s="1766"/>
      <c r="N1875" s="1781"/>
      <c r="O1875" s="1766"/>
      <c r="P1875" s="1766"/>
      <c r="Q1875" s="1766"/>
      <c r="R1875" s="1766"/>
      <c r="S1875" s="1696"/>
      <c r="T1875" s="1696"/>
      <c r="U1875" s="1772"/>
      <c r="V1875" s="1696"/>
      <c r="W1875" s="1772"/>
      <c r="X1875" s="1696"/>
      <c r="Y1875" s="1696"/>
      <c r="Z1875" s="1773"/>
    </row>
    <row r="1876">
      <c r="A1876" s="1765"/>
      <c r="B1876" s="1782"/>
      <c r="C1876" s="1765"/>
      <c r="D1876" s="1765"/>
      <c r="E1876" s="1765"/>
      <c r="F1876" s="1765"/>
      <c r="G1876" s="1765"/>
      <c r="H1876" s="1765"/>
      <c r="I1876" s="1765"/>
      <c r="J1876" s="1765"/>
      <c r="K1876" s="1765"/>
      <c r="L1876" s="1765"/>
      <c r="M1876" s="1765"/>
      <c r="N1876" s="1765"/>
      <c r="O1876" s="1765"/>
      <c r="P1876" s="1765"/>
      <c r="Q1876" s="1766"/>
      <c r="R1876" s="1766"/>
      <c r="S1876" s="1696"/>
      <c r="T1876" s="1696"/>
      <c r="U1876" s="1772"/>
      <c r="V1876" s="1696"/>
      <c r="W1876" s="1772"/>
      <c r="X1876" s="1696"/>
      <c r="Y1876" s="1696"/>
      <c r="Z1876" s="1773"/>
    </row>
    <row r="1877">
      <c r="A1877" s="1771"/>
      <c r="B1877" s="1777"/>
      <c r="C1877" s="1771"/>
      <c r="D1877" s="1771"/>
      <c r="E1877" s="1771"/>
      <c r="F1877" s="1771"/>
      <c r="G1877" s="1771"/>
      <c r="H1877" s="1771"/>
      <c r="I1877" s="1770"/>
      <c r="J1877" s="1771"/>
      <c r="K1877" s="1770"/>
      <c r="L1877" s="1770"/>
      <c r="M1877" s="1771"/>
      <c r="N1877" s="1779"/>
      <c r="O1877" s="1770"/>
      <c r="P1877" s="1770"/>
      <c r="Q1877" s="1766"/>
      <c r="R1877" s="1766"/>
      <c r="S1877" s="1696"/>
      <c r="T1877" s="1696"/>
      <c r="U1877" s="1772"/>
      <c r="V1877" s="1696"/>
      <c r="W1877" s="1772"/>
      <c r="X1877" s="1696"/>
      <c r="Y1877" s="1696"/>
      <c r="Z1877" s="1773"/>
    </row>
    <row r="1878">
      <c r="A1878" s="1766"/>
      <c r="B1878" s="1780"/>
      <c r="C1878" s="1766"/>
      <c r="D1878" s="1766"/>
      <c r="E1878" s="1766"/>
      <c r="F1878" s="1766"/>
      <c r="G1878" s="1766"/>
      <c r="H1878" s="1766"/>
      <c r="I1878" s="1766"/>
      <c r="J1878" s="1766"/>
      <c r="K1878" s="1766"/>
      <c r="L1878" s="1766"/>
      <c r="M1878" s="1766"/>
      <c r="N1878" s="1781"/>
      <c r="O1878" s="1766"/>
      <c r="P1878" s="1766"/>
      <c r="Q1878" s="1766"/>
      <c r="R1878" s="1766"/>
      <c r="S1878" s="1696"/>
      <c r="T1878" s="1696"/>
      <c r="U1878" s="1772"/>
      <c r="V1878" s="1696"/>
      <c r="W1878" s="1772"/>
      <c r="X1878" s="1696"/>
      <c r="Y1878" s="1696"/>
      <c r="Z1878" s="1773"/>
    </row>
    <row r="1879">
      <c r="A1879" s="1765"/>
      <c r="B1879" s="1782"/>
      <c r="C1879" s="1765"/>
      <c r="D1879" s="1765"/>
      <c r="E1879" s="1765"/>
      <c r="F1879" s="1765"/>
      <c r="G1879" s="1765"/>
      <c r="H1879" s="1765"/>
      <c r="I1879" s="1765"/>
      <c r="J1879" s="1765"/>
      <c r="K1879" s="1765"/>
      <c r="L1879" s="1765"/>
      <c r="M1879" s="1765"/>
      <c r="N1879" s="1765"/>
      <c r="O1879" s="1765"/>
      <c r="P1879" s="1765"/>
      <c r="Q1879" s="1766"/>
      <c r="R1879" s="1766"/>
      <c r="S1879" s="1696"/>
      <c r="T1879" s="1696"/>
      <c r="U1879" s="1772"/>
      <c r="V1879" s="1696"/>
      <c r="W1879" s="1772"/>
      <c r="X1879" s="1696"/>
      <c r="Y1879" s="1696"/>
      <c r="Z1879" s="1773"/>
    </row>
    <row r="1880">
      <c r="A1880" s="1771"/>
      <c r="B1880" s="1777"/>
      <c r="C1880" s="1771"/>
      <c r="D1880" s="1771"/>
      <c r="E1880" s="1771"/>
      <c r="F1880" s="1771"/>
      <c r="G1880" s="1771"/>
      <c r="H1880" s="1771"/>
      <c r="I1880" s="1778"/>
      <c r="J1880" s="1771"/>
      <c r="K1880" s="1771"/>
      <c r="L1880" s="1771"/>
      <c r="M1880" s="1771"/>
      <c r="N1880" s="1779"/>
      <c r="O1880" s="1770"/>
      <c r="P1880" s="1771"/>
      <c r="Q1880" s="1766"/>
      <c r="R1880" s="1766"/>
      <c r="S1880" s="1696"/>
      <c r="T1880" s="1696"/>
      <c r="U1880" s="1772"/>
      <c r="V1880" s="1696"/>
      <c r="W1880" s="1772"/>
      <c r="X1880" s="1696"/>
      <c r="Y1880" s="1696"/>
      <c r="Z1880" s="1773"/>
    </row>
    <row r="1881">
      <c r="A1881" s="1766"/>
      <c r="B1881" s="1780"/>
      <c r="C1881" s="1766"/>
      <c r="D1881" s="1766"/>
      <c r="E1881" s="1766"/>
      <c r="F1881" s="1766"/>
      <c r="G1881" s="1766"/>
      <c r="H1881" s="1766"/>
      <c r="I1881" s="1766"/>
      <c r="J1881" s="1766"/>
      <c r="K1881" s="1766"/>
      <c r="L1881" s="1766"/>
      <c r="M1881" s="1766"/>
      <c r="N1881" s="1781"/>
      <c r="O1881" s="1766"/>
      <c r="P1881" s="1766"/>
      <c r="Q1881" s="1766"/>
      <c r="R1881" s="1766"/>
      <c r="S1881" s="1696"/>
      <c r="T1881" s="1696"/>
      <c r="U1881" s="1772"/>
      <c r="V1881" s="1696"/>
      <c r="W1881" s="1772"/>
      <c r="X1881" s="1696"/>
      <c r="Y1881" s="1696"/>
      <c r="Z1881" s="1773"/>
    </row>
    <row r="1882">
      <c r="A1882" s="1765"/>
      <c r="B1882" s="1782"/>
      <c r="C1882" s="1765"/>
      <c r="D1882" s="1765"/>
      <c r="E1882" s="1765"/>
      <c r="F1882" s="1765"/>
      <c r="G1882" s="1765"/>
      <c r="H1882" s="1765"/>
      <c r="I1882" s="1765"/>
      <c r="J1882" s="1765"/>
      <c r="K1882" s="1765"/>
      <c r="L1882" s="1765"/>
      <c r="M1882" s="1765"/>
      <c r="N1882" s="1765"/>
      <c r="O1882" s="1765"/>
      <c r="P1882" s="1765"/>
      <c r="Q1882" s="1766"/>
      <c r="R1882" s="1766"/>
      <c r="S1882" s="1696"/>
      <c r="T1882" s="1696"/>
      <c r="U1882" s="1772"/>
      <c r="V1882" s="1696"/>
      <c r="W1882" s="1772"/>
      <c r="X1882" s="1696"/>
      <c r="Y1882" s="1696"/>
      <c r="Z1882" s="1773"/>
    </row>
    <row r="1883">
      <c r="A1883" s="1771"/>
      <c r="B1883" s="1777"/>
      <c r="C1883" s="1771"/>
      <c r="D1883" s="1771"/>
      <c r="E1883" s="1770"/>
      <c r="F1883" s="1771"/>
      <c r="G1883" s="1770"/>
      <c r="H1883" s="1771"/>
      <c r="I1883" s="1778"/>
      <c r="J1883" s="1771"/>
      <c r="K1883" s="1771"/>
      <c r="L1883" s="1771"/>
      <c r="M1883" s="1771"/>
      <c r="N1883" s="1771"/>
      <c r="O1883" s="1771"/>
      <c r="P1883" s="1771"/>
      <c r="Q1883" s="1766"/>
      <c r="R1883" s="1766"/>
      <c r="S1883" s="1696"/>
      <c r="T1883" s="1696"/>
      <c r="U1883" s="1772"/>
      <c r="V1883" s="1696"/>
      <c r="W1883" s="1772"/>
      <c r="X1883" s="1696"/>
      <c r="Y1883" s="1696"/>
      <c r="Z1883" s="1773"/>
    </row>
    <row r="1884">
      <c r="A1884" s="1771"/>
      <c r="B1884" s="1777"/>
      <c r="C1884" s="1771"/>
      <c r="D1884" s="1771"/>
      <c r="E1884" s="1770"/>
      <c r="F1884" s="1771"/>
      <c r="G1884" s="1770"/>
      <c r="H1884" s="1771"/>
      <c r="I1884" s="1778"/>
      <c r="J1884" s="1771"/>
      <c r="K1884" s="1771"/>
      <c r="L1884" s="1770"/>
      <c r="M1884" s="1771"/>
      <c r="N1884" s="1771"/>
      <c r="O1884" s="1771"/>
      <c r="P1884" s="1771"/>
      <c r="Q1884" s="1766"/>
      <c r="R1884" s="1766"/>
      <c r="S1884" s="1696"/>
      <c r="T1884" s="1696"/>
      <c r="U1884" s="1772"/>
      <c r="V1884" s="1696"/>
      <c r="W1884" s="1772"/>
      <c r="X1884" s="1696"/>
      <c r="Y1884" s="1696"/>
      <c r="Z1884" s="1773"/>
    </row>
    <row r="1885">
      <c r="A1885" s="1771"/>
      <c r="B1885" s="1777"/>
      <c r="C1885" s="1771"/>
      <c r="D1885" s="1771"/>
      <c r="E1885" s="1770"/>
      <c r="F1885" s="1771"/>
      <c r="G1885" s="1771"/>
      <c r="H1885" s="1771"/>
      <c r="I1885" s="1778"/>
      <c r="J1885" s="1771"/>
      <c r="K1885" s="1771"/>
      <c r="L1885" s="1771"/>
      <c r="M1885" s="1771"/>
      <c r="N1885" s="1771"/>
      <c r="O1885" s="1771"/>
      <c r="P1885" s="1771"/>
      <c r="Q1885" s="1766"/>
      <c r="R1885" s="1766"/>
      <c r="S1885" s="1696"/>
      <c r="T1885" s="1696"/>
      <c r="U1885" s="1772"/>
      <c r="V1885" s="1696"/>
      <c r="W1885" s="1772"/>
      <c r="X1885" s="1696"/>
      <c r="Y1885" s="1696"/>
      <c r="Z1885" s="1773"/>
    </row>
    <row r="1886">
      <c r="A1886" s="1771"/>
      <c r="B1886" s="1777"/>
      <c r="C1886" s="1771"/>
      <c r="D1886" s="1771"/>
      <c r="E1886" s="1770"/>
      <c r="F1886" s="1771"/>
      <c r="G1886" s="1770"/>
      <c r="H1886" s="1771"/>
      <c r="I1886" s="1778"/>
      <c r="J1886" s="1771"/>
      <c r="K1886" s="1771"/>
      <c r="L1886" s="1771"/>
      <c r="M1886" s="1771"/>
      <c r="N1886" s="1771"/>
      <c r="O1886" s="1771"/>
      <c r="P1886" s="1771"/>
      <c r="Q1886" s="1766"/>
      <c r="R1886" s="1766"/>
      <c r="S1886" s="1696"/>
      <c r="T1886" s="1696"/>
      <c r="U1886" s="1772"/>
      <c r="V1886" s="1696"/>
      <c r="W1886" s="1772"/>
      <c r="X1886" s="1696"/>
      <c r="Y1886" s="1696"/>
      <c r="Z1886" s="1773"/>
    </row>
    <row r="1887">
      <c r="A1887" s="1771"/>
      <c r="B1887" s="1777"/>
      <c r="C1887" s="1771"/>
      <c r="D1887" s="1771"/>
      <c r="E1887" s="1770"/>
      <c r="F1887" s="1771"/>
      <c r="G1887" s="1770"/>
      <c r="H1887" s="1771"/>
      <c r="I1887" s="1770"/>
      <c r="J1887" s="1771"/>
      <c r="K1887" s="1771"/>
      <c r="L1887" s="1771"/>
      <c r="M1887" s="1771"/>
      <c r="N1887" s="1779"/>
      <c r="O1887" s="1770"/>
      <c r="P1887" s="1771"/>
      <c r="Q1887" s="1766"/>
      <c r="R1887" s="1766"/>
      <c r="S1887" s="1696"/>
      <c r="T1887" s="1696"/>
      <c r="U1887" s="1772"/>
      <c r="V1887" s="1696"/>
      <c r="W1887" s="1772"/>
      <c r="X1887" s="1696"/>
      <c r="Y1887" s="1696"/>
      <c r="Z1887" s="1773"/>
    </row>
    <row r="1888">
      <c r="A1888" s="1771"/>
      <c r="B1888" s="1777"/>
      <c r="C1888" s="1771"/>
      <c r="D1888" s="1771"/>
      <c r="E1888" s="1770"/>
      <c r="F1888" s="1771"/>
      <c r="G1888" s="1770"/>
      <c r="H1888" s="1771"/>
      <c r="I1888" s="1778"/>
      <c r="J1888" s="1771"/>
      <c r="K1888" s="1771"/>
      <c r="L1888" s="1771"/>
      <c r="M1888" s="1771"/>
      <c r="N1888" s="1779"/>
      <c r="O1888" s="1770"/>
      <c r="P1888" s="1771"/>
      <c r="Q1888" s="1766"/>
      <c r="R1888" s="1766"/>
      <c r="S1888" s="1696"/>
      <c r="T1888" s="1696"/>
      <c r="U1888" s="1772"/>
      <c r="V1888" s="1696"/>
      <c r="W1888" s="1772"/>
      <c r="X1888" s="1696"/>
      <c r="Y1888" s="1696"/>
      <c r="Z1888" s="1773"/>
    </row>
    <row r="1889">
      <c r="A1889" s="1771"/>
      <c r="B1889" s="1777"/>
      <c r="C1889" s="1771"/>
      <c r="D1889" s="1771"/>
      <c r="E1889" s="1770"/>
      <c r="F1889" s="1771"/>
      <c r="G1889" s="1770"/>
      <c r="H1889" s="1771"/>
      <c r="I1889" s="1778"/>
      <c r="J1889" s="1771"/>
      <c r="K1889" s="1771"/>
      <c r="L1889" s="1771"/>
      <c r="M1889" s="1771"/>
      <c r="N1889" s="1771"/>
      <c r="O1889" s="1771"/>
      <c r="P1889" s="1771"/>
      <c r="Q1889" s="1766"/>
      <c r="R1889" s="1766"/>
      <c r="S1889" s="1696"/>
      <c r="T1889" s="1696"/>
      <c r="U1889" s="1772"/>
      <c r="V1889" s="1696"/>
      <c r="W1889" s="1772"/>
      <c r="X1889" s="1696"/>
      <c r="Y1889" s="1696"/>
      <c r="Z1889" s="1773"/>
    </row>
    <row r="1890">
      <c r="A1890" s="1771"/>
      <c r="B1890" s="1777"/>
      <c r="C1890" s="1771"/>
      <c r="D1890" s="1771"/>
      <c r="E1890" s="1770"/>
      <c r="F1890" s="1771"/>
      <c r="G1890" s="1771"/>
      <c r="H1890" s="1771"/>
      <c r="I1890" s="1778"/>
      <c r="J1890" s="1771"/>
      <c r="K1890" s="1771"/>
      <c r="L1890" s="1771"/>
      <c r="M1890" s="1771"/>
      <c r="N1890" s="1779"/>
      <c r="O1890" s="1770"/>
      <c r="P1890" s="1771"/>
      <c r="Q1890" s="1766"/>
      <c r="R1890" s="1766"/>
      <c r="S1890" s="1696"/>
      <c r="T1890" s="1696"/>
      <c r="U1890" s="1772"/>
      <c r="V1890" s="1696"/>
      <c r="W1890" s="1772"/>
      <c r="X1890" s="1696"/>
      <c r="Y1890" s="1696"/>
      <c r="Z1890" s="1773"/>
    </row>
    <row r="1891">
      <c r="A1891" s="1771"/>
      <c r="B1891" s="1777"/>
      <c r="C1891" s="1771"/>
      <c r="D1891" s="1771"/>
      <c r="E1891" s="1770"/>
      <c r="F1891" s="1771"/>
      <c r="G1891" s="1770"/>
      <c r="H1891" s="1771"/>
      <c r="I1891" s="1778"/>
      <c r="J1891" s="1771"/>
      <c r="K1891" s="1771"/>
      <c r="L1891" s="1771"/>
      <c r="M1891" s="1771"/>
      <c r="N1891" s="1779"/>
      <c r="O1891" s="1770"/>
      <c r="P1891" s="1771"/>
      <c r="Q1891" s="1766"/>
      <c r="R1891" s="1766"/>
      <c r="S1891" s="1696"/>
      <c r="T1891" s="1696"/>
      <c r="U1891" s="1772"/>
      <c r="V1891" s="1696"/>
      <c r="W1891" s="1772"/>
      <c r="X1891" s="1696"/>
      <c r="Y1891" s="1696"/>
      <c r="Z1891" s="1773"/>
    </row>
    <row r="1892">
      <c r="A1892" s="1771"/>
      <c r="B1892" s="1777"/>
      <c r="C1892" s="1771"/>
      <c r="D1892" s="1771"/>
      <c r="E1892" s="1770"/>
      <c r="F1892" s="1771"/>
      <c r="G1892" s="1770"/>
      <c r="H1892" s="1771"/>
      <c r="I1892" s="1770"/>
      <c r="J1892" s="1771"/>
      <c r="K1892" s="1771"/>
      <c r="L1892" s="1771"/>
      <c r="M1892" s="1771"/>
      <c r="N1892" s="1779"/>
      <c r="O1892" s="1770"/>
      <c r="P1892" s="1771"/>
      <c r="Q1892" s="1766"/>
      <c r="R1892" s="1766"/>
      <c r="S1892" s="1696"/>
      <c r="T1892" s="1696"/>
      <c r="U1892" s="1772"/>
      <c r="V1892" s="1696"/>
      <c r="W1892" s="1772"/>
      <c r="X1892" s="1696"/>
      <c r="Y1892" s="1696"/>
      <c r="Z1892" s="1773"/>
    </row>
    <row r="1893">
      <c r="A1893" s="1771"/>
      <c r="B1893" s="1777"/>
      <c r="C1893" s="1771"/>
      <c r="D1893" s="1771"/>
      <c r="E1893" s="1770"/>
      <c r="F1893" s="1771"/>
      <c r="G1893" s="1770"/>
      <c r="H1893" s="1771"/>
      <c r="I1893" s="1770"/>
      <c r="J1893" s="1771"/>
      <c r="K1893" s="1771"/>
      <c r="L1893" s="1771"/>
      <c r="M1893" s="1771"/>
      <c r="N1893" s="1779"/>
      <c r="O1893" s="1770"/>
      <c r="P1893" s="1771"/>
      <c r="Q1893" s="1766"/>
      <c r="R1893" s="1766"/>
      <c r="S1893" s="1696"/>
      <c r="T1893" s="1696"/>
      <c r="U1893" s="1772"/>
      <c r="V1893" s="1696"/>
      <c r="W1893" s="1772"/>
      <c r="X1893" s="1696"/>
      <c r="Y1893" s="1696"/>
      <c r="Z1893" s="1773"/>
    </row>
    <row r="1894">
      <c r="A1894" s="1771"/>
      <c r="B1894" s="1777"/>
      <c r="C1894" s="1771"/>
      <c r="D1894" s="1771"/>
      <c r="E1894" s="1770"/>
      <c r="F1894" s="1771"/>
      <c r="G1894" s="1770"/>
      <c r="H1894" s="1771"/>
      <c r="I1894" s="1778"/>
      <c r="J1894" s="1771"/>
      <c r="K1894" s="1771"/>
      <c r="L1894" s="1771"/>
      <c r="M1894" s="1771"/>
      <c r="N1894" s="1779"/>
      <c r="O1894" s="1770"/>
      <c r="P1894" s="1771"/>
      <c r="Q1894" s="1766"/>
      <c r="R1894" s="1766"/>
      <c r="S1894" s="1696"/>
      <c r="T1894" s="1696"/>
      <c r="U1894" s="1772"/>
      <c r="V1894" s="1696"/>
      <c r="W1894" s="1772"/>
      <c r="X1894" s="1696"/>
      <c r="Y1894" s="1696"/>
      <c r="Z1894" s="1773"/>
    </row>
    <row r="1895">
      <c r="A1895" s="1771"/>
      <c r="B1895" s="1777"/>
      <c r="C1895" s="1771"/>
      <c r="D1895" s="1771"/>
      <c r="E1895" s="1770"/>
      <c r="F1895" s="1771"/>
      <c r="G1895" s="1770"/>
      <c r="H1895" s="1771"/>
      <c r="I1895" s="1778"/>
      <c r="J1895" s="1771"/>
      <c r="K1895" s="1771"/>
      <c r="L1895" s="1771"/>
      <c r="M1895" s="1771"/>
      <c r="N1895" s="1771"/>
      <c r="O1895" s="1771"/>
      <c r="P1895" s="1771"/>
      <c r="Q1895" s="1766"/>
      <c r="R1895" s="1766"/>
      <c r="S1895" s="1696"/>
      <c r="T1895" s="1696"/>
      <c r="U1895" s="1772"/>
      <c r="V1895" s="1696"/>
      <c r="W1895" s="1772"/>
      <c r="X1895" s="1696"/>
      <c r="Y1895" s="1696"/>
      <c r="Z1895" s="1773"/>
    </row>
    <row r="1896">
      <c r="A1896" s="1771"/>
      <c r="B1896" s="1777"/>
      <c r="C1896" s="1771"/>
      <c r="D1896" s="1771"/>
      <c r="E1896" s="1770"/>
      <c r="F1896" s="1771"/>
      <c r="G1896" s="1770"/>
      <c r="H1896" s="1771"/>
      <c r="I1896" s="1778"/>
      <c r="J1896" s="1771"/>
      <c r="K1896" s="1771"/>
      <c r="L1896" s="1771"/>
      <c r="M1896" s="1771"/>
      <c r="N1896" s="1779"/>
      <c r="O1896" s="1770"/>
      <c r="P1896" s="1771"/>
      <c r="Q1896" s="1766"/>
      <c r="R1896" s="1766"/>
      <c r="S1896" s="1696"/>
      <c r="T1896" s="1696"/>
      <c r="U1896" s="1772"/>
      <c r="V1896" s="1696"/>
      <c r="W1896" s="1772"/>
      <c r="X1896" s="1696"/>
      <c r="Y1896" s="1696"/>
      <c r="Z1896" s="1773"/>
    </row>
    <row r="1897">
      <c r="A1897" s="1771"/>
      <c r="B1897" s="1777"/>
      <c r="C1897" s="1771"/>
      <c r="D1897" s="1771"/>
      <c r="E1897" s="1770"/>
      <c r="F1897" s="1771"/>
      <c r="G1897" s="1770"/>
      <c r="H1897" s="1771"/>
      <c r="I1897" s="1778"/>
      <c r="J1897" s="1771"/>
      <c r="K1897" s="1771"/>
      <c r="L1897" s="1771"/>
      <c r="M1897" s="1771"/>
      <c r="N1897" s="1771"/>
      <c r="O1897" s="1771"/>
      <c r="P1897" s="1771"/>
      <c r="Q1897" s="1766"/>
      <c r="R1897" s="1766"/>
      <c r="S1897" s="1696"/>
      <c r="T1897" s="1696"/>
      <c r="U1897" s="1772"/>
      <c r="V1897" s="1696"/>
      <c r="W1897" s="1772"/>
      <c r="X1897" s="1696"/>
      <c r="Y1897" s="1696"/>
      <c r="Z1897" s="1773"/>
    </row>
    <row r="1898">
      <c r="A1898" s="1771"/>
      <c r="B1898" s="1777"/>
      <c r="C1898" s="1771"/>
      <c r="D1898" s="1771"/>
      <c r="E1898" s="1770"/>
      <c r="F1898" s="1771"/>
      <c r="G1898" s="1770"/>
      <c r="H1898" s="1771"/>
      <c r="I1898" s="1778"/>
      <c r="J1898" s="1771"/>
      <c r="K1898" s="1771"/>
      <c r="L1898" s="1771"/>
      <c r="M1898" s="1771"/>
      <c r="N1898" s="1779"/>
      <c r="O1898" s="1770"/>
      <c r="P1898" s="1771"/>
      <c r="Q1898" s="1766"/>
      <c r="R1898" s="1766"/>
      <c r="S1898" s="1696"/>
      <c r="T1898" s="1696"/>
      <c r="U1898" s="1772"/>
      <c r="V1898" s="1696"/>
      <c r="W1898" s="1772"/>
      <c r="X1898" s="1696"/>
      <c r="Y1898" s="1696"/>
      <c r="Z1898" s="1773"/>
    </row>
    <row r="1899">
      <c r="A1899" s="1771"/>
      <c r="B1899" s="1777"/>
      <c r="C1899" s="1771"/>
      <c r="D1899" s="1771"/>
      <c r="E1899" s="1770"/>
      <c r="F1899" s="1771"/>
      <c r="G1899" s="1770"/>
      <c r="H1899" s="1771"/>
      <c r="I1899" s="1778"/>
      <c r="J1899" s="1771"/>
      <c r="K1899" s="1771"/>
      <c r="L1899" s="1771"/>
      <c r="M1899" s="1771"/>
      <c r="N1899" s="1779"/>
      <c r="O1899" s="1770"/>
      <c r="P1899" s="1771"/>
      <c r="Q1899" s="1766"/>
      <c r="R1899" s="1766"/>
      <c r="S1899" s="1696"/>
      <c r="T1899" s="1696"/>
      <c r="U1899" s="1772"/>
      <c r="V1899" s="1696"/>
      <c r="W1899" s="1772"/>
      <c r="X1899" s="1696"/>
      <c r="Y1899" s="1696"/>
      <c r="Z1899" s="1773"/>
    </row>
    <row r="1900">
      <c r="A1900" s="1771"/>
      <c r="B1900" s="1777"/>
      <c r="C1900" s="1771"/>
      <c r="D1900" s="1771"/>
      <c r="E1900" s="1770"/>
      <c r="F1900" s="1771"/>
      <c r="G1900" s="1770"/>
      <c r="H1900" s="1771"/>
      <c r="I1900" s="1778"/>
      <c r="J1900" s="1771"/>
      <c r="K1900" s="1771"/>
      <c r="L1900" s="1771"/>
      <c r="M1900" s="1771"/>
      <c r="N1900" s="1779"/>
      <c r="O1900" s="1770"/>
      <c r="P1900" s="1771"/>
      <c r="Q1900" s="1766"/>
      <c r="R1900" s="1766"/>
      <c r="S1900" s="1696"/>
      <c r="T1900" s="1696"/>
      <c r="U1900" s="1772"/>
      <c r="V1900" s="1696"/>
      <c r="W1900" s="1772"/>
      <c r="X1900" s="1696"/>
      <c r="Y1900" s="1696"/>
      <c r="Z1900" s="1773"/>
    </row>
    <row r="1901">
      <c r="A1901" s="1771"/>
      <c r="B1901" s="1777"/>
      <c r="C1901" s="1771"/>
      <c r="D1901" s="1771"/>
      <c r="E1901" s="1770"/>
      <c r="F1901" s="1771"/>
      <c r="G1901" s="1770"/>
      <c r="H1901" s="1771"/>
      <c r="I1901" s="1770"/>
      <c r="J1901" s="1771"/>
      <c r="K1901" s="1771"/>
      <c r="L1901" s="1771"/>
      <c r="M1901" s="1771"/>
      <c r="N1901" s="1779"/>
      <c r="O1901" s="1770"/>
      <c r="P1901" s="1771"/>
      <c r="Q1901" s="1766"/>
      <c r="R1901" s="1766"/>
      <c r="S1901" s="1696"/>
      <c r="T1901" s="1696"/>
      <c r="U1901" s="1772"/>
      <c r="V1901" s="1696"/>
      <c r="W1901" s="1772"/>
      <c r="X1901" s="1696"/>
      <c r="Y1901" s="1696"/>
      <c r="Z1901" s="1773"/>
    </row>
    <row r="1902">
      <c r="A1902" s="1771"/>
      <c r="B1902" s="1777"/>
      <c r="C1902" s="1771"/>
      <c r="D1902" s="1771"/>
      <c r="E1902" s="1770"/>
      <c r="F1902" s="1771"/>
      <c r="G1902" s="1770"/>
      <c r="H1902" s="1771"/>
      <c r="I1902" s="1770"/>
      <c r="J1902" s="1771"/>
      <c r="K1902" s="1771"/>
      <c r="L1902" s="1771"/>
      <c r="M1902" s="1771"/>
      <c r="N1902" s="1779"/>
      <c r="O1902" s="1770"/>
      <c r="P1902" s="1771"/>
      <c r="Q1902" s="1766"/>
      <c r="R1902" s="1766"/>
      <c r="S1902" s="1696"/>
      <c r="T1902" s="1696"/>
      <c r="U1902" s="1772"/>
      <c r="V1902" s="1696"/>
      <c r="W1902" s="1772"/>
      <c r="X1902" s="1696"/>
      <c r="Y1902" s="1696"/>
      <c r="Z1902" s="1773"/>
    </row>
    <row r="1903">
      <c r="A1903" s="1771"/>
      <c r="B1903" s="1777"/>
      <c r="C1903" s="1771"/>
      <c r="D1903" s="1771"/>
      <c r="E1903" s="1770"/>
      <c r="F1903" s="1771"/>
      <c r="G1903" s="1770"/>
      <c r="H1903" s="1771"/>
      <c r="I1903" s="1778"/>
      <c r="J1903" s="1771"/>
      <c r="K1903" s="1771"/>
      <c r="L1903" s="1771"/>
      <c r="M1903" s="1771"/>
      <c r="N1903" s="1771"/>
      <c r="O1903" s="1771"/>
      <c r="P1903" s="1771"/>
      <c r="Q1903" s="1766"/>
      <c r="R1903" s="1766"/>
      <c r="S1903" s="1696"/>
      <c r="T1903" s="1696"/>
      <c r="U1903" s="1772"/>
      <c r="V1903" s="1696"/>
      <c r="W1903" s="1772"/>
      <c r="X1903" s="1696"/>
      <c r="Y1903" s="1696"/>
      <c r="Z1903" s="1773"/>
    </row>
    <row r="1904">
      <c r="A1904" s="1771"/>
      <c r="B1904" s="1777"/>
      <c r="C1904" s="1771"/>
      <c r="D1904" s="1771"/>
      <c r="E1904" s="1770"/>
      <c r="F1904" s="1771"/>
      <c r="G1904" s="1770"/>
      <c r="H1904" s="1771"/>
      <c r="I1904" s="1770"/>
      <c r="J1904" s="1771"/>
      <c r="K1904" s="1771"/>
      <c r="L1904" s="1771"/>
      <c r="M1904" s="1771"/>
      <c r="N1904" s="1779"/>
      <c r="O1904" s="1770"/>
      <c r="P1904" s="1771"/>
      <c r="Q1904" s="1766"/>
      <c r="R1904" s="1766"/>
      <c r="S1904" s="1696"/>
      <c r="T1904" s="1696"/>
      <c r="U1904" s="1772"/>
      <c r="V1904" s="1696"/>
      <c r="W1904" s="1772"/>
      <c r="X1904" s="1696"/>
      <c r="Y1904" s="1696"/>
      <c r="Z1904" s="1773"/>
    </row>
    <row r="1905">
      <c r="A1905" s="1771"/>
      <c r="B1905" s="1777"/>
      <c r="C1905" s="1771"/>
      <c r="D1905" s="1771"/>
      <c r="E1905" s="1770"/>
      <c r="F1905" s="1771"/>
      <c r="G1905" s="1770"/>
      <c r="H1905" s="1771"/>
      <c r="I1905" s="1778"/>
      <c r="J1905" s="1771"/>
      <c r="K1905" s="1771"/>
      <c r="L1905" s="1771"/>
      <c r="M1905" s="1771"/>
      <c r="N1905" s="1771"/>
      <c r="O1905" s="1771"/>
      <c r="P1905" s="1771"/>
      <c r="Q1905" s="1766"/>
      <c r="R1905" s="1766"/>
      <c r="S1905" s="1696"/>
      <c r="T1905" s="1696"/>
      <c r="U1905" s="1772"/>
      <c r="V1905" s="1696"/>
      <c r="W1905" s="1772"/>
      <c r="X1905" s="1696"/>
      <c r="Y1905" s="1696"/>
      <c r="Z1905" s="1773"/>
    </row>
    <row r="1906">
      <c r="A1906" s="1771"/>
      <c r="B1906" s="1777"/>
      <c r="C1906" s="1771"/>
      <c r="D1906" s="1771"/>
      <c r="E1906" s="1770"/>
      <c r="F1906" s="1771"/>
      <c r="G1906" s="1770"/>
      <c r="H1906" s="1771"/>
      <c r="I1906" s="1778"/>
      <c r="J1906" s="1771"/>
      <c r="K1906" s="1771"/>
      <c r="L1906" s="1771"/>
      <c r="M1906" s="1771"/>
      <c r="N1906" s="1779"/>
      <c r="O1906" s="1770"/>
      <c r="P1906" s="1771"/>
      <c r="Q1906" s="1766"/>
      <c r="R1906" s="1766"/>
      <c r="S1906" s="1696"/>
      <c r="T1906" s="1696"/>
      <c r="U1906" s="1772"/>
      <c r="V1906" s="1696"/>
      <c r="W1906" s="1772"/>
      <c r="X1906" s="1696"/>
      <c r="Y1906" s="1696"/>
      <c r="Z1906" s="1773"/>
    </row>
    <row r="1907">
      <c r="A1907" s="1771"/>
      <c r="B1907" s="1777"/>
      <c r="C1907" s="1771"/>
      <c r="D1907" s="1771"/>
      <c r="E1907" s="1770"/>
      <c r="F1907" s="1771"/>
      <c r="G1907" s="1770"/>
      <c r="H1907" s="1771"/>
      <c r="I1907" s="1778"/>
      <c r="J1907" s="1771"/>
      <c r="K1907" s="1771"/>
      <c r="L1907" s="1771"/>
      <c r="M1907" s="1771"/>
      <c r="N1907" s="1771"/>
      <c r="O1907" s="1770"/>
      <c r="P1907" s="1771"/>
      <c r="Q1907" s="1766"/>
      <c r="R1907" s="1766"/>
      <c r="S1907" s="1696"/>
      <c r="T1907" s="1696"/>
      <c r="U1907" s="1772"/>
      <c r="V1907" s="1696"/>
      <c r="W1907" s="1772"/>
      <c r="X1907" s="1696"/>
      <c r="Y1907" s="1696"/>
      <c r="Z1907" s="1773"/>
    </row>
    <row r="1908">
      <c r="A1908" s="1771"/>
      <c r="B1908" s="1777"/>
      <c r="C1908" s="1771"/>
      <c r="D1908" s="1771"/>
      <c r="E1908" s="1770"/>
      <c r="F1908" s="1771"/>
      <c r="G1908" s="1770"/>
      <c r="H1908" s="1771"/>
      <c r="I1908" s="1770"/>
      <c r="J1908" s="1771"/>
      <c r="K1908" s="1771"/>
      <c r="L1908" s="1771"/>
      <c r="M1908" s="1771"/>
      <c r="N1908" s="1779"/>
      <c r="O1908" s="1770"/>
      <c r="P1908" s="1771"/>
      <c r="Q1908" s="1766"/>
      <c r="R1908" s="1766"/>
      <c r="S1908" s="1696"/>
      <c r="T1908" s="1696"/>
      <c r="U1908" s="1772"/>
      <c r="V1908" s="1696"/>
      <c r="W1908" s="1772"/>
      <c r="X1908" s="1696"/>
      <c r="Y1908" s="1696"/>
      <c r="Z1908" s="1773"/>
    </row>
    <row r="1909">
      <c r="A1909" s="1771"/>
      <c r="B1909" s="1777"/>
      <c r="C1909" s="1771"/>
      <c r="D1909" s="1771"/>
      <c r="E1909" s="1770"/>
      <c r="F1909" s="1771"/>
      <c r="G1909" s="1770"/>
      <c r="H1909" s="1771"/>
      <c r="I1909" s="1778"/>
      <c r="J1909" s="1771"/>
      <c r="K1909" s="1771"/>
      <c r="L1909" s="1771"/>
      <c r="M1909" s="1771"/>
      <c r="N1909" s="1771"/>
      <c r="O1909" s="1771"/>
      <c r="P1909" s="1771"/>
      <c r="Q1909" s="1766"/>
      <c r="R1909" s="1766"/>
      <c r="S1909" s="1696"/>
      <c r="T1909" s="1696"/>
      <c r="U1909" s="1772"/>
      <c r="V1909" s="1696"/>
      <c r="W1909" s="1772"/>
      <c r="X1909" s="1696"/>
      <c r="Y1909" s="1696"/>
      <c r="Z1909" s="1773"/>
    </row>
    <row r="1910">
      <c r="A1910" s="1771"/>
      <c r="B1910" s="1777"/>
      <c r="C1910" s="1771"/>
      <c r="D1910" s="1771"/>
      <c r="E1910" s="1770"/>
      <c r="F1910" s="1771"/>
      <c r="G1910" s="1770"/>
      <c r="H1910" s="1771"/>
      <c r="I1910" s="1778"/>
      <c r="J1910" s="1771"/>
      <c r="K1910" s="1771"/>
      <c r="L1910" s="1771"/>
      <c r="M1910" s="1771"/>
      <c r="N1910" s="1771"/>
      <c r="O1910" s="1771"/>
      <c r="P1910" s="1771"/>
      <c r="Q1910" s="1766"/>
      <c r="R1910" s="1766"/>
      <c r="S1910" s="1696"/>
      <c r="T1910" s="1696"/>
      <c r="U1910" s="1772"/>
      <c r="V1910" s="1696"/>
      <c r="W1910" s="1772"/>
      <c r="X1910" s="1696"/>
      <c r="Y1910" s="1696"/>
      <c r="Z1910" s="1773"/>
    </row>
    <row r="1911">
      <c r="A1911" s="1771"/>
      <c r="B1911" s="1777"/>
      <c r="C1911" s="1771"/>
      <c r="D1911" s="1771"/>
      <c r="E1911" s="1770"/>
      <c r="F1911" s="1771"/>
      <c r="G1911" s="1770"/>
      <c r="H1911" s="1771"/>
      <c r="I1911" s="1778"/>
      <c r="J1911" s="1771"/>
      <c r="K1911" s="1771"/>
      <c r="L1911" s="1771"/>
      <c r="M1911" s="1771"/>
      <c r="N1911" s="1771"/>
      <c r="O1911" s="1771"/>
      <c r="P1911" s="1771"/>
      <c r="Q1911" s="1766"/>
      <c r="R1911" s="1766"/>
      <c r="S1911" s="1696"/>
      <c r="T1911" s="1696"/>
      <c r="U1911" s="1772"/>
      <c r="V1911" s="1696"/>
      <c r="W1911" s="1772"/>
      <c r="X1911" s="1696"/>
      <c r="Y1911" s="1696"/>
      <c r="Z1911" s="1773"/>
    </row>
    <row r="1912">
      <c r="A1912" s="1771"/>
      <c r="B1912" s="1777"/>
      <c r="C1912" s="1771"/>
      <c r="D1912" s="1771"/>
      <c r="E1912" s="1770"/>
      <c r="F1912" s="1771"/>
      <c r="G1912" s="1770"/>
      <c r="H1912" s="1771"/>
      <c r="I1912" s="1778"/>
      <c r="J1912" s="1771"/>
      <c r="K1912" s="1771"/>
      <c r="L1912" s="1771"/>
      <c r="M1912" s="1771"/>
      <c r="N1912" s="1771"/>
      <c r="O1912" s="1771"/>
      <c r="P1912" s="1771"/>
      <c r="Q1912" s="1766"/>
      <c r="R1912" s="1766"/>
      <c r="S1912" s="1696"/>
      <c r="T1912" s="1696"/>
      <c r="U1912" s="1772"/>
      <c r="V1912" s="1696"/>
      <c r="W1912" s="1772"/>
      <c r="X1912" s="1696"/>
      <c r="Y1912" s="1696"/>
      <c r="Z1912" s="1773"/>
    </row>
    <row r="1913">
      <c r="A1913" s="1771"/>
      <c r="B1913" s="1777"/>
      <c r="C1913" s="1771"/>
      <c r="D1913" s="1771"/>
      <c r="E1913" s="1770"/>
      <c r="F1913" s="1771"/>
      <c r="G1913" s="1770"/>
      <c r="H1913" s="1771"/>
      <c r="I1913" s="1778"/>
      <c r="J1913" s="1771"/>
      <c r="K1913" s="1771"/>
      <c r="L1913" s="1771"/>
      <c r="M1913" s="1771"/>
      <c r="N1913" s="1771"/>
      <c r="O1913" s="1771"/>
      <c r="P1913" s="1771"/>
      <c r="Q1913" s="1766"/>
      <c r="R1913" s="1766"/>
      <c r="S1913" s="1696"/>
      <c r="T1913" s="1696"/>
      <c r="U1913" s="1772"/>
      <c r="V1913" s="1696"/>
      <c r="W1913" s="1772"/>
      <c r="X1913" s="1696"/>
      <c r="Y1913" s="1696"/>
      <c r="Z1913" s="1773"/>
    </row>
    <row r="1914">
      <c r="A1914" s="1771"/>
      <c r="B1914" s="1777"/>
      <c r="C1914" s="1771"/>
      <c r="D1914" s="1771"/>
      <c r="E1914" s="1770"/>
      <c r="F1914" s="1771"/>
      <c r="G1914" s="1770"/>
      <c r="H1914" s="1771"/>
      <c r="I1914" s="1778"/>
      <c r="J1914" s="1771"/>
      <c r="K1914" s="1771"/>
      <c r="L1914" s="1771"/>
      <c r="M1914" s="1771"/>
      <c r="N1914" s="1771"/>
      <c r="O1914" s="1771"/>
      <c r="P1914" s="1771"/>
      <c r="Q1914" s="1766"/>
      <c r="R1914" s="1766"/>
      <c r="S1914" s="1696"/>
      <c r="T1914" s="1696"/>
      <c r="U1914" s="1772"/>
      <c r="V1914" s="1696"/>
      <c r="W1914" s="1772"/>
      <c r="X1914" s="1696"/>
      <c r="Y1914" s="1696"/>
      <c r="Z1914" s="1773"/>
    </row>
    <row r="1915">
      <c r="A1915" s="1771"/>
      <c r="B1915" s="1777"/>
      <c r="C1915" s="1771"/>
      <c r="D1915" s="1771"/>
      <c r="E1915" s="1770"/>
      <c r="F1915" s="1771"/>
      <c r="G1915" s="1770"/>
      <c r="H1915" s="1771"/>
      <c r="I1915" s="1778"/>
      <c r="J1915" s="1771"/>
      <c r="K1915" s="1771"/>
      <c r="L1915" s="1771"/>
      <c r="M1915" s="1771"/>
      <c r="N1915" s="1771"/>
      <c r="O1915" s="1770"/>
      <c r="P1915" s="1771"/>
      <c r="Q1915" s="1766"/>
      <c r="R1915" s="1766"/>
      <c r="S1915" s="1696"/>
      <c r="T1915" s="1696"/>
      <c r="U1915" s="1772"/>
      <c r="V1915" s="1696"/>
      <c r="W1915" s="1772"/>
      <c r="X1915" s="1696"/>
      <c r="Y1915" s="1696"/>
      <c r="Z1915" s="1773"/>
    </row>
    <row r="1916">
      <c r="A1916" s="1771"/>
      <c r="B1916" s="1777"/>
      <c r="C1916" s="1771"/>
      <c r="D1916" s="1771"/>
      <c r="E1916" s="1770"/>
      <c r="F1916" s="1771"/>
      <c r="G1916" s="1770"/>
      <c r="H1916" s="1771"/>
      <c r="I1916" s="1770"/>
      <c r="J1916" s="1771"/>
      <c r="K1916" s="1771"/>
      <c r="L1916" s="1771"/>
      <c r="M1916" s="1771"/>
      <c r="N1916" s="1779"/>
      <c r="O1916" s="1770"/>
      <c r="P1916" s="1771"/>
      <c r="Q1916" s="1766"/>
      <c r="R1916" s="1766"/>
      <c r="S1916" s="1696"/>
      <c r="T1916" s="1696"/>
      <c r="U1916" s="1772"/>
      <c r="V1916" s="1696"/>
      <c r="W1916" s="1772"/>
      <c r="X1916" s="1696"/>
      <c r="Y1916" s="1696"/>
      <c r="Z1916" s="1773"/>
    </row>
    <row r="1917">
      <c r="A1917" s="1771"/>
      <c r="B1917" s="1777"/>
      <c r="C1917" s="1771"/>
      <c r="D1917" s="1771"/>
      <c r="E1917" s="1770"/>
      <c r="F1917" s="1771"/>
      <c r="G1917" s="1770"/>
      <c r="H1917" s="1771"/>
      <c r="I1917" s="1770"/>
      <c r="J1917" s="1771"/>
      <c r="K1917" s="1771"/>
      <c r="L1917" s="1771"/>
      <c r="M1917" s="1771"/>
      <c r="N1917" s="1779"/>
      <c r="O1917" s="1770"/>
      <c r="P1917" s="1771"/>
      <c r="Q1917" s="1766"/>
      <c r="R1917" s="1766"/>
      <c r="S1917" s="1696"/>
      <c r="T1917" s="1696"/>
      <c r="U1917" s="1772"/>
      <c r="V1917" s="1696"/>
      <c r="W1917" s="1772"/>
      <c r="X1917" s="1696"/>
      <c r="Y1917" s="1696"/>
      <c r="Z1917" s="1773"/>
    </row>
    <row r="1918">
      <c r="A1918" s="1771"/>
      <c r="B1918" s="1777"/>
      <c r="C1918" s="1771"/>
      <c r="D1918" s="1771"/>
      <c r="E1918" s="1770"/>
      <c r="F1918" s="1771"/>
      <c r="G1918" s="1770"/>
      <c r="H1918" s="1771"/>
      <c r="I1918" s="1778"/>
      <c r="J1918" s="1771"/>
      <c r="K1918" s="1771"/>
      <c r="L1918" s="1771"/>
      <c r="M1918" s="1771"/>
      <c r="N1918" s="1771"/>
      <c r="O1918" s="1771"/>
      <c r="P1918" s="1771"/>
      <c r="Q1918" s="1766"/>
      <c r="R1918" s="1766"/>
      <c r="S1918" s="1696"/>
      <c r="T1918" s="1696"/>
      <c r="U1918" s="1772"/>
      <c r="V1918" s="1696"/>
      <c r="W1918" s="1772"/>
      <c r="X1918" s="1696"/>
      <c r="Y1918" s="1696"/>
      <c r="Z1918" s="1773"/>
    </row>
    <row r="1919">
      <c r="A1919" s="1771"/>
      <c r="B1919" s="1777"/>
      <c r="C1919" s="1771"/>
      <c r="D1919" s="1771"/>
      <c r="E1919" s="1770"/>
      <c r="F1919" s="1771"/>
      <c r="G1919" s="1770"/>
      <c r="H1919" s="1771"/>
      <c r="I1919" s="1778"/>
      <c r="J1919" s="1771"/>
      <c r="K1919" s="1771"/>
      <c r="L1919" s="1771"/>
      <c r="M1919" s="1771"/>
      <c r="N1919" s="1771"/>
      <c r="O1919" s="1771"/>
      <c r="P1919" s="1771"/>
      <c r="Q1919" s="1766"/>
      <c r="R1919" s="1766"/>
      <c r="S1919" s="1696"/>
      <c r="T1919" s="1696"/>
      <c r="U1919" s="1772"/>
      <c r="V1919" s="1696"/>
      <c r="W1919" s="1772"/>
      <c r="X1919" s="1696"/>
      <c r="Y1919" s="1696"/>
      <c r="Z1919" s="1773"/>
    </row>
    <row r="1920">
      <c r="A1920" s="1771"/>
      <c r="B1920" s="1777"/>
      <c r="C1920" s="1771"/>
      <c r="D1920" s="1771"/>
      <c r="E1920" s="1770"/>
      <c r="F1920" s="1771"/>
      <c r="G1920" s="1770"/>
      <c r="H1920" s="1771"/>
      <c r="I1920" s="1778"/>
      <c r="J1920" s="1771"/>
      <c r="K1920" s="1771"/>
      <c r="L1920" s="1771"/>
      <c r="M1920" s="1771"/>
      <c r="N1920" s="1771"/>
      <c r="O1920" s="1771"/>
      <c r="P1920" s="1771"/>
      <c r="Q1920" s="1766"/>
      <c r="R1920" s="1766"/>
      <c r="S1920" s="1696"/>
      <c r="T1920" s="1696"/>
      <c r="U1920" s="1772"/>
      <c r="V1920" s="1696"/>
      <c r="W1920" s="1772"/>
      <c r="X1920" s="1696"/>
      <c r="Y1920" s="1696"/>
      <c r="Z1920" s="1773"/>
    </row>
    <row r="1921">
      <c r="A1921" s="1771"/>
      <c r="B1921" s="1777"/>
      <c r="C1921" s="1771"/>
      <c r="D1921" s="1771"/>
      <c r="E1921" s="1770"/>
      <c r="F1921" s="1771"/>
      <c r="G1921" s="1770"/>
      <c r="H1921" s="1771"/>
      <c r="I1921" s="1770"/>
      <c r="J1921" s="1771"/>
      <c r="K1921" s="1771"/>
      <c r="L1921" s="1771"/>
      <c r="M1921" s="1771"/>
      <c r="N1921" s="1779"/>
      <c r="O1921" s="1770"/>
      <c r="P1921" s="1771"/>
      <c r="Q1921" s="1766"/>
      <c r="R1921" s="1766"/>
      <c r="S1921" s="1696"/>
      <c r="T1921" s="1696"/>
      <c r="U1921" s="1772"/>
      <c r="V1921" s="1696"/>
      <c r="W1921" s="1772"/>
      <c r="X1921" s="1696"/>
      <c r="Y1921" s="1696"/>
      <c r="Z1921" s="1773"/>
    </row>
    <row r="1922">
      <c r="A1922" s="1771"/>
      <c r="B1922" s="1777"/>
      <c r="C1922" s="1771"/>
      <c r="D1922" s="1771"/>
      <c r="E1922" s="1770"/>
      <c r="F1922" s="1771"/>
      <c r="G1922" s="1770"/>
      <c r="H1922" s="1771"/>
      <c r="I1922" s="1778"/>
      <c r="J1922" s="1771"/>
      <c r="K1922" s="1771"/>
      <c r="L1922" s="1771"/>
      <c r="M1922" s="1771"/>
      <c r="N1922" s="1771"/>
      <c r="O1922" s="1771"/>
      <c r="P1922" s="1771"/>
      <c r="Q1922" s="1766"/>
      <c r="R1922" s="1766"/>
      <c r="S1922" s="1696"/>
      <c r="T1922" s="1696"/>
      <c r="U1922" s="1772"/>
      <c r="V1922" s="1696"/>
      <c r="W1922" s="1772"/>
      <c r="X1922" s="1696"/>
      <c r="Y1922" s="1696"/>
      <c r="Z1922" s="1773"/>
    </row>
    <row r="1923">
      <c r="A1923" s="1771"/>
      <c r="B1923" s="1777"/>
      <c r="C1923" s="1771"/>
      <c r="D1923" s="1771"/>
      <c r="E1923" s="1770"/>
      <c r="F1923" s="1771"/>
      <c r="G1923" s="1770"/>
      <c r="H1923" s="1771"/>
      <c r="I1923" s="1770"/>
      <c r="J1923" s="1771"/>
      <c r="K1923" s="1771"/>
      <c r="L1923" s="1771"/>
      <c r="M1923" s="1771"/>
      <c r="N1923" s="1779"/>
      <c r="O1923" s="1770"/>
      <c r="P1923" s="1771"/>
      <c r="Q1923" s="1766"/>
      <c r="R1923" s="1766"/>
      <c r="S1923" s="1696"/>
      <c r="T1923" s="1696"/>
      <c r="U1923" s="1772"/>
      <c r="V1923" s="1696"/>
      <c r="W1923" s="1772"/>
      <c r="X1923" s="1696"/>
      <c r="Y1923" s="1696"/>
      <c r="Z1923" s="1773"/>
    </row>
    <row r="1924">
      <c r="A1924" s="1771"/>
      <c r="B1924" s="1777"/>
      <c r="C1924" s="1771"/>
      <c r="D1924" s="1771"/>
      <c r="E1924" s="1770"/>
      <c r="F1924" s="1771"/>
      <c r="G1924" s="1770"/>
      <c r="H1924" s="1771"/>
      <c r="I1924" s="1778"/>
      <c r="J1924" s="1771"/>
      <c r="K1924" s="1771"/>
      <c r="L1924" s="1770"/>
      <c r="M1924" s="1771"/>
      <c r="N1924" s="1779"/>
      <c r="O1924" s="1770"/>
      <c r="P1924" s="1771"/>
      <c r="Q1924" s="1766"/>
      <c r="R1924" s="1766"/>
      <c r="S1924" s="1696"/>
      <c r="T1924" s="1696"/>
      <c r="U1924" s="1772"/>
      <c r="V1924" s="1696"/>
      <c r="W1924" s="1772"/>
      <c r="X1924" s="1696"/>
      <c r="Y1924" s="1696"/>
      <c r="Z1924" s="1773"/>
    </row>
    <row r="1925">
      <c r="A1925" s="1771"/>
      <c r="B1925" s="1777"/>
      <c r="C1925" s="1771"/>
      <c r="D1925" s="1771"/>
      <c r="E1925" s="1770"/>
      <c r="F1925" s="1771"/>
      <c r="G1925" s="1770"/>
      <c r="H1925" s="1771"/>
      <c r="I1925" s="1778"/>
      <c r="J1925" s="1771"/>
      <c r="K1925" s="1771"/>
      <c r="L1925" s="1771"/>
      <c r="M1925" s="1771"/>
      <c r="N1925" s="1779"/>
      <c r="O1925" s="1770"/>
      <c r="P1925" s="1771"/>
      <c r="Q1925" s="1766"/>
      <c r="R1925" s="1766"/>
      <c r="S1925" s="1696"/>
      <c r="T1925" s="1696"/>
      <c r="U1925" s="1772"/>
      <c r="V1925" s="1696"/>
      <c r="W1925" s="1772"/>
      <c r="X1925" s="1696"/>
      <c r="Y1925" s="1696"/>
      <c r="Z1925" s="1773"/>
    </row>
    <row r="1926">
      <c r="A1926" s="1771"/>
      <c r="B1926" s="1777"/>
      <c r="C1926" s="1771"/>
      <c r="D1926" s="1771"/>
      <c r="E1926" s="1770"/>
      <c r="F1926" s="1771"/>
      <c r="G1926" s="1770"/>
      <c r="H1926" s="1771"/>
      <c r="I1926" s="1778"/>
      <c r="J1926" s="1771"/>
      <c r="K1926" s="1771"/>
      <c r="L1926" s="1771"/>
      <c r="M1926" s="1771"/>
      <c r="N1926" s="1779"/>
      <c r="O1926" s="1770"/>
      <c r="P1926" s="1771"/>
      <c r="Q1926" s="1766"/>
      <c r="R1926" s="1766"/>
      <c r="S1926" s="1696"/>
      <c r="T1926" s="1696"/>
      <c r="U1926" s="1772"/>
      <c r="V1926" s="1696"/>
      <c r="W1926" s="1772"/>
      <c r="X1926" s="1696"/>
      <c r="Y1926" s="1696"/>
      <c r="Z1926" s="1773"/>
    </row>
    <row r="1927">
      <c r="A1927" s="1771"/>
      <c r="B1927" s="1777"/>
      <c r="C1927" s="1771"/>
      <c r="D1927" s="1771"/>
      <c r="E1927" s="1770"/>
      <c r="F1927" s="1771"/>
      <c r="G1927" s="1770"/>
      <c r="H1927" s="1771"/>
      <c r="I1927" s="1778"/>
      <c r="J1927" s="1771"/>
      <c r="K1927" s="1771"/>
      <c r="L1927" s="1771"/>
      <c r="M1927" s="1771"/>
      <c r="N1927" s="1771"/>
      <c r="O1927" s="1771"/>
      <c r="P1927" s="1771"/>
      <c r="Q1927" s="1766"/>
      <c r="R1927" s="1766"/>
      <c r="S1927" s="1696"/>
      <c r="T1927" s="1696"/>
      <c r="U1927" s="1772"/>
      <c r="V1927" s="1696"/>
      <c r="W1927" s="1772"/>
      <c r="X1927" s="1696"/>
      <c r="Y1927" s="1696"/>
      <c r="Z1927" s="1773"/>
    </row>
    <row r="1928">
      <c r="A1928" s="1771"/>
      <c r="B1928" s="1777"/>
      <c r="C1928" s="1771"/>
      <c r="D1928" s="1771"/>
      <c r="E1928" s="1770"/>
      <c r="F1928" s="1771"/>
      <c r="G1928" s="1770"/>
      <c r="H1928" s="1771"/>
      <c r="I1928" s="1778"/>
      <c r="J1928" s="1771"/>
      <c r="K1928" s="1771"/>
      <c r="L1928" s="1771"/>
      <c r="M1928" s="1771"/>
      <c r="N1928" s="1779"/>
      <c r="O1928" s="1770"/>
      <c r="P1928" s="1771"/>
      <c r="Q1928" s="1766"/>
      <c r="R1928" s="1766"/>
      <c r="S1928" s="1696"/>
      <c r="T1928" s="1696"/>
      <c r="U1928" s="1772"/>
      <c r="V1928" s="1696"/>
      <c r="W1928" s="1772"/>
      <c r="X1928" s="1696"/>
      <c r="Y1928" s="1696"/>
      <c r="Z1928" s="1773"/>
    </row>
    <row r="1929">
      <c r="A1929" s="1771"/>
      <c r="B1929" s="1777"/>
      <c r="C1929" s="1771"/>
      <c r="D1929" s="1771"/>
      <c r="E1929" s="1770"/>
      <c r="F1929" s="1771"/>
      <c r="G1929" s="1770"/>
      <c r="H1929" s="1771"/>
      <c r="I1929" s="1778"/>
      <c r="J1929" s="1771"/>
      <c r="K1929" s="1771"/>
      <c r="L1929" s="1771"/>
      <c r="M1929" s="1771"/>
      <c r="N1929" s="1771"/>
      <c r="O1929" s="1771"/>
      <c r="P1929" s="1771"/>
      <c r="Q1929" s="1766"/>
      <c r="R1929" s="1766"/>
      <c r="S1929" s="1696"/>
      <c r="T1929" s="1696"/>
      <c r="U1929" s="1772"/>
      <c r="V1929" s="1696"/>
      <c r="W1929" s="1772"/>
      <c r="X1929" s="1696"/>
      <c r="Y1929" s="1696"/>
      <c r="Z1929" s="1773"/>
    </row>
    <row r="1930">
      <c r="A1930" s="1771"/>
      <c r="B1930" s="1777"/>
      <c r="C1930" s="1771"/>
      <c r="D1930" s="1771"/>
      <c r="E1930" s="1770"/>
      <c r="F1930" s="1771"/>
      <c r="G1930" s="1770"/>
      <c r="H1930" s="1771"/>
      <c r="I1930" s="1770"/>
      <c r="J1930" s="1771"/>
      <c r="K1930" s="1771"/>
      <c r="L1930" s="1771"/>
      <c r="M1930" s="1771"/>
      <c r="N1930" s="1779"/>
      <c r="O1930" s="1770"/>
      <c r="P1930" s="1771"/>
      <c r="Q1930" s="1766"/>
      <c r="R1930" s="1766"/>
      <c r="S1930" s="1696"/>
      <c r="T1930" s="1696"/>
      <c r="U1930" s="1772"/>
      <c r="V1930" s="1696"/>
      <c r="W1930" s="1772"/>
      <c r="X1930" s="1696"/>
      <c r="Y1930" s="1696"/>
      <c r="Z1930" s="1773"/>
    </row>
    <row r="1931">
      <c r="A1931" s="1771"/>
      <c r="B1931" s="1777"/>
      <c r="C1931" s="1771"/>
      <c r="D1931" s="1771"/>
      <c r="E1931" s="1770"/>
      <c r="F1931" s="1771"/>
      <c r="G1931" s="1770"/>
      <c r="H1931" s="1771"/>
      <c r="I1931" s="1778"/>
      <c r="J1931" s="1771"/>
      <c r="K1931" s="1771"/>
      <c r="L1931" s="1771"/>
      <c r="M1931" s="1771"/>
      <c r="N1931" s="1779"/>
      <c r="O1931" s="1770"/>
      <c r="P1931" s="1771"/>
      <c r="Q1931" s="1766"/>
      <c r="R1931" s="1766"/>
      <c r="S1931" s="1696"/>
      <c r="T1931" s="1696"/>
      <c r="U1931" s="1772"/>
      <c r="V1931" s="1696"/>
      <c r="W1931" s="1772"/>
      <c r="X1931" s="1696"/>
      <c r="Y1931" s="1696"/>
      <c r="Z1931" s="1773"/>
    </row>
    <row r="1932">
      <c r="A1932" s="1771"/>
      <c r="B1932" s="1777"/>
      <c r="C1932" s="1771"/>
      <c r="D1932" s="1771"/>
      <c r="E1932" s="1770"/>
      <c r="F1932" s="1771"/>
      <c r="G1932" s="1771"/>
      <c r="H1932" s="1771"/>
      <c r="I1932" s="1778"/>
      <c r="J1932" s="1771"/>
      <c r="K1932" s="1771"/>
      <c r="L1932" s="1771"/>
      <c r="M1932" s="1771"/>
      <c r="N1932" s="1771"/>
      <c r="O1932" s="1771"/>
      <c r="P1932" s="1771"/>
      <c r="Q1932" s="1766"/>
      <c r="R1932" s="1766"/>
      <c r="S1932" s="1696"/>
      <c r="T1932" s="1696"/>
      <c r="U1932" s="1772"/>
      <c r="V1932" s="1696"/>
      <c r="W1932" s="1772"/>
      <c r="X1932" s="1696"/>
      <c r="Y1932" s="1696"/>
      <c r="Z1932" s="1773"/>
    </row>
    <row r="1933">
      <c r="A1933" s="1771"/>
      <c r="B1933" s="1777"/>
      <c r="C1933" s="1771"/>
      <c r="D1933" s="1771"/>
      <c r="E1933" s="1770"/>
      <c r="F1933" s="1771"/>
      <c r="G1933" s="1770"/>
      <c r="H1933" s="1771"/>
      <c r="I1933" s="1778"/>
      <c r="J1933" s="1771"/>
      <c r="K1933" s="1771"/>
      <c r="L1933" s="1771"/>
      <c r="M1933" s="1771"/>
      <c r="N1933" s="1771"/>
      <c r="O1933" s="1771"/>
      <c r="P1933" s="1771"/>
      <c r="Q1933" s="1766"/>
      <c r="R1933" s="1766"/>
      <c r="S1933" s="1696"/>
      <c r="T1933" s="1696"/>
      <c r="U1933" s="1772"/>
      <c r="V1933" s="1696"/>
      <c r="W1933" s="1772"/>
      <c r="X1933" s="1696"/>
      <c r="Y1933" s="1696"/>
      <c r="Z1933" s="1773"/>
    </row>
    <row r="1934">
      <c r="A1934" s="1771"/>
      <c r="B1934" s="1777"/>
      <c r="C1934" s="1771"/>
      <c r="D1934" s="1771"/>
      <c r="E1934" s="1770"/>
      <c r="F1934" s="1771"/>
      <c r="G1934" s="1770"/>
      <c r="H1934" s="1771"/>
      <c r="I1934" s="1778"/>
      <c r="J1934" s="1771"/>
      <c r="K1934" s="1771"/>
      <c r="L1934" s="1771"/>
      <c r="M1934" s="1771"/>
      <c r="N1934" s="1771"/>
      <c r="O1934" s="1771"/>
      <c r="P1934" s="1771"/>
      <c r="Q1934" s="1766"/>
      <c r="R1934" s="1766"/>
      <c r="S1934" s="1696"/>
      <c r="T1934" s="1696"/>
      <c r="U1934" s="1772"/>
      <c r="V1934" s="1696"/>
      <c r="W1934" s="1772"/>
      <c r="X1934" s="1696"/>
      <c r="Y1934" s="1696"/>
      <c r="Z1934" s="1773"/>
    </row>
    <row r="1935">
      <c r="A1935" s="1771"/>
      <c r="B1935" s="1777"/>
      <c r="C1935" s="1771"/>
      <c r="D1935" s="1771"/>
      <c r="E1935" s="1770"/>
      <c r="F1935" s="1771"/>
      <c r="G1935" s="1771"/>
      <c r="H1935" s="1771"/>
      <c r="I1935" s="1770"/>
      <c r="J1935" s="1771"/>
      <c r="K1935" s="1771"/>
      <c r="L1935" s="1771"/>
      <c r="M1935" s="1771"/>
      <c r="N1935" s="1771"/>
      <c r="O1935" s="1771"/>
      <c r="P1935" s="1771"/>
      <c r="Q1935" s="1766"/>
      <c r="R1935" s="1766"/>
      <c r="S1935" s="1696"/>
      <c r="T1935" s="1696"/>
      <c r="U1935" s="1772"/>
      <c r="V1935" s="1696"/>
      <c r="W1935" s="1772"/>
      <c r="X1935" s="1696"/>
      <c r="Y1935" s="1696"/>
      <c r="Z1935" s="1773"/>
    </row>
    <row r="1936">
      <c r="A1936" s="1771"/>
      <c r="B1936" s="1777"/>
      <c r="C1936" s="1771"/>
      <c r="D1936" s="1771"/>
      <c r="E1936" s="1770"/>
      <c r="F1936" s="1771"/>
      <c r="G1936" s="1770"/>
      <c r="H1936" s="1771"/>
      <c r="I1936" s="1778"/>
      <c r="J1936" s="1771"/>
      <c r="K1936" s="1771"/>
      <c r="L1936" s="1771"/>
      <c r="M1936" s="1771"/>
      <c r="N1936" s="1771"/>
      <c r="O1936" s="1771"/>
      <c r="P1936" s="1771"/>
      <c r="Q1936" s="1766"/>
      <c r="R1936" s="1766"/>
      <c r="S1936" s="1696"/>
      <c r="T1936" s="1696"/>
      <c r="U1936" s="1772"/>
      <c r="V1936" s="1696"/>
      <c r="W1936" s="1772"/>
      <c r="X1936" s="1696"/>
      <c r="Y1936" s="1696"/>
      <c r="Z1936" s="1773"/>
    </row>
    <row r="1937">
      <c r="A1937" s="1771"/>
      <c r="B1937" s="1777"/>
      <c r="C1937" s="1771"/>
      <c r="D1937" s="1771"/>
      <c r="E1937" s="1770"/>
      <c r="F1937" s="1771"/>
      <c r="G1937" s="1770"/>
      <c r="H1937" s="1771"/>
      <c r="I1937" s="1778"/>
      <c r="J1937" s="1771"/>
      <c r="K1937" s="1771"/>
      <c r="L1937" s="1771"/>
      <c r="M1937" s="1771"/>
      <c r="N1937" s="1771"/>
      <c r="O1937" s="1771"/>
      <c r="P1937" s="1771"/>
      <c r="Q1937" s="1766"/>
      <c r="R1937" s="1766"/>
      <c r="S1937" s="1696"/>
      <c r="T1937" s="1696"/>
      <c r="U1937" s="1772"/>
      <c r="V1937" s="1696"/>
      <c r="W1937" s="1772"/>
      <c r="X1937" s="1696"/>
      <c r="Y1937" s="1696"/>
      <c r="Z1937" s="1773"/>
    </row>
    <row r="1938">
      <c r="A1938" s="1771"/>
      <c r="B1938" s="1777"/>
      <c r="C1938" s="1771"/>
      <c r="D1938" s="1771"/>
      <c r="E1938" s="1770"/>
      <c r="F1938" s="1771"/>
      <c r="G1938" s="1770"/>
      <c r="H1938" s="1771"/>
      <c r="I1938" s="1770"/>
      <c r="J1938" s="1771"/>
      <c r="K1938" s="1771"/>
      <c r="L1938" s="1771"/>
      <c r="M1938" s="1771"/>
      <c r="N1938" s="1779"/>
      <c r="O1938" s="1770"/>
      <c r="P1938" s="1771"/>
      <c r="Q1938" s="1766"/>
      <c r="R1938" s="1766"/>
      <c r="S1938" s="1696"/>
      <c r="T1938" s="1696"/>
      <c r="U1938" s="1772"/>
      <c r="V1938" s="1696"/>
      <c r="W1938" s="1772"/>
      <c r="X1938" s="1696"/>
      <c r="Y1938" s="1696"/>
      <c r="Z1938" s="1773"/>
    </row>
    <row r="1939">
      <c r="A1939" s="1771"/>
      <c r="B1939" s="1777"/>
      <c r="C1939" s="1771"/>
      <c r="D1939" s="1771"/>
      <c r="E1939" s="1770"/>
      <c r="F1939" s="1771"/>
      <c r="G1939" s="1771"/>
      <c r="H1939" s="1771"/>
      <c r="I1939" s="1778"/>
      <c r="J1939" s="1771"/>
      <c r="K1939" s="1771"/>
      <c r="L1939" s="1771"/>
      <c r="M1939" s="1771"/>
      <c r="N1939" s="1779"/>
      <c r="O1939" s="1770"/>
      <c r="P1939" s="1771"/>
      <c r="Q1939" s="1766"/>
      <c r="R1939" s="1766"/>
      <c r="S1939" s="1696"/>
      <c r="T1939" s="1696"/>
      <c r="U1939" s="1772"/>
      <c r="V1939" s="1696"/>
      <c r="W1939" s="1772"/>
      <c r="X1939" s="1696"/>
      <c r="Y1939" s="1696"/>
      <c r="Z1939" s="1773"/>
    </row>
    <row r="1940">
      <c r="A1940" s="1771"/>
      <c r="B1940" s="1777"/>
      <c r="C1940" s="1771"/>
      <c r="D1940" s="1771"/>
      <c r="E1940" s="1770"/>
      <c r="F1940" s="1771"/>
      <c r="G1940" s="1770"/>
      <c r="H1940" s="1771"/>
      <c r="I1940" s="1778"/>
      <c r="J1940" s="1771"/>
      <c r="K1940" s="1771"/>
      <c r="L1940" s="1771"/>
      <c r="M1940" s="1771"/>
      <c r="N1940" s="1779"/>
      <c r="O1940" s="1770"/>
      <c r="P1940" s="1771"/>
      <c r="Q1940" s="1766"/>
      <c r="R1940" s="1766"/>
      <c r="S1940" s="1696"/>
      <c r="T1940" s="1696"/>
      <c r="U1940" s="1772"/>
      <c r="V1940" s="1696"/>
      <c r="W1940" s="1772"/>
      <c r="X1940" s="1696"/>
      <c r="Y1940" s="1696"/>
      <c r="Z1940" s="1773"/>
    </row>
    <row r="1941">
      <c r="A1941" s="1771"/>
      <c r="B1941" s="1777"/>
      <c r="C1941" s="1771"/>
      <c r="D1941" s="1771"/>
      <c r="E1941" s="1770"/>
      <c r="F1941" s="1771"/>
      <c r="G1941" s="1770"/>
      <c r="H1941" s="1771"/>
      <c r="I1941" s="1778"/>
      <c r="J1941" s="1771"/>
      <c r="K1941" s="1771"/>
      <c r="L1941" s="1771"/>
      <c r="M1941" s="1771"/>
      <c r="N1941" s="1771"/>
      <c r="O1941" s="1771"/>
      <c r="P1941" s="1771"/>
      <c r="Q1941" s="1766"/>
      <c r="R1941" s="1766"/>
      <c r="S1941" s="1696"/>
      <c r="T1941" s="1696"/>
      <c r="U1941" s="1772"/>
      <c r="V1941" s="1696"/>
      <c r="W1941" s="1772"/>
      <c r="X1941" s="1696"/>
      <c r="Y1941" s="1696"/>
      <c r="Z1941" s="1773"/>
    </row>
    <row r="1942">
      <c r="A1942" s="1771"/>
      <c r="B1942" s="1777"/>
      <c r="C1942" s="1771"/>
      <c r="D1942" s="1771"/>
      <c r="E1942" s="1770"/>
      <c r="F1942" s="1771"/>
      <c r="G1942" s="1770"/>
      <c r="H1942" s="1771"/>
      <c r="I1942" s="1778"/>
      <c r="J1942" s="1771"/>
      <c r="K1942" s="1771"/>
      <c r="L1942" s="1771"/>
      <c r="M1942" s="1771"/>
      <c r="N1942" s="1771"/>
      <c r="O1942" s="1771"/>
      <c r="P1942" s="1771"/>
      <c r="Q1942" s="1766"/>
      <c r="R1942" s="1766"/>
      <c r="S1942" s="1696"/>
      <c r="T1942" s="1696"/>
      <c r="U1942" s="1772"/>
      <c r="V1942" s="1696"/>
      <c r="W1942" s="1772"/>
      <c r="X1942" s="1696"/>
      <c r="Y1942" s="1696"/>
      <c r="Z1942" s="1773"/>
    </row>
    <row r="1943">
      <c r="A1943" s="1771"/>
      <c r="B1943" s="1777"/>
      <c r="C1943" s="1771"/>
      <c r="D1943" s="1771"/>
      <c r="E1943" s="1770"/>
      <c r="F1943" s="1771"/>
      <c r="G1943" s="1771"/>
      <c r="H1943" s="1771"/>
      <c r="I1943" s="1778"/>
      <c r="J1943" s="1771"/>
      <c r="K1943" s="1771"/>
      <c r="L1943" s="1771"/>
      <c r="M1943" s="1771"/>
      <c r="N1943" s="1771"/>
      <c r="O1943" s="1771"/>
      <c r="P1943" s="1771"/>
      <c r="Q1943" s="1766"/>
      <c r="R1943" s="1766"/>
      <c r="S1943" s="1696"/>
      <c r="T1943" s="1696"/>
      <c r="U1943" s="1772"/>
      <c r="V1943" s="1696"/>
      <c r="W1943" s="1772"/>
      <c r="X1943" s="1696"/>
      <c r="Y1943" s="1696"/>
      <c r="Z1943" s="1773"/>
    </row>
    <row r="1944">
      <c r="A1944" s="1771"/>
      <c r="B1944" s="1777"/>
      <c r="C1944" s="1771"/>
      <c r="D1944" s="1771"/>
      <c r="E1944" s="1770"/>
      <c r="F1944" s="1771"/>
      <c r="G1944" s="1771"/>
      <c r="H1944" s="1771"/>
      <c r="I1944" s="1778"/>
      <c r="J1944" s="1771"/>
      <c r="K1944" s="1771"/>
      <c r="L1944" s="1771"/>
      <c r="M1944" s="1771"/>
      <c r="N1944" s="1771"/>
      <c r="O1944" s="1771"/>
      <c r="P1944" s="1771"/>
      <c r="Q1944" s="1766"/>
      <c r="R1944" s="1766"/>
      <c r="S1944" s="1696"/>
      <c r="T1944" s="1696"/>
      <c r="U1944" s="1772"/>
      <c r="V1944" s="1696"/>
      <c r="W1944" s="1772"/>
      <c r="X1944" s="1696"/>
      <c r="Y1944" s="1696"/>
      <c r="Z1944" s="1773"/>
    </row>
    <row r="1945">
      <c r="A1945" s="1771"/>
      <c r="B1945" s="1777"/>
      <c r="C1945" s="1771"/>
      <c r="D1945" s="1771"/>
      <c r="E1945" s="1770"/>
      <c r="F1945" s="1771"/>
      <c r="G1945" s="1770"/>
      <c r="H1945" s="1771"/>
      <c r="I1945" s="1778"/>
      <c r="J1945" s="1771"/>
      <c r="K1945" s="1771"/>
      <c r="L1945" s="1771"/>
      <c r="M1945" s="1771"/>
      <c r="N1945" s="1771"/>
      <c r="O1945" s="1771"/>
      <c r="P1945" s="1771"/>
      <c r="Q1945" s="1766"/>
      <c r="R1945" s="1766"/>
      <c r="S1945" s="1696"/>
      <c r="T1945" s="1696"/>
      <c r="U1945" s="1772"/>
      <c r="V1945" s="1696"/>
      <c r="W1945" s="1772"/>
      <c r="X1945" s="1696"/>
      <c r="Y1945" s="1696"/>
      <c r="Z1945" s="1773"/>
    </row>
    <row r="1946">
      <c r="A1946" s="1771"/>
      <c r="B1946" s="1777"/>
      <c r="C1946" s="1771"/>
      <c r="D1946" s="1771"/>
      <c r="E1946" s="1770"/>
      <c r="F1946" s="1771"/>
      <c r="G1946" s="1770"/>
      <c r="H1946" s="1771"/>
      <c r="I1946" s="1778"/>
      <c r="J1946" s="1771"/>
      <c r="K1946" s="1771"/>
      <c r="L1946" s="1771"/>
      <c r="M1946" s="1771"/>
      <c r="N1946" s="1771"/>
      <c r="O1946" s="1771"/>
      <c r="P1946" s="1771"/>
      <c r="Q1946" s="1766"/>
      <c r="R1946" s="1766"/>
      <c r="S1946" s="1696"/>
      <c r="T1946" s="1696"/>
      <c r="U1946" s="1772"/>
      <c r="V1946" s="1696"/>
      <c r="W1946" s="1772"/>
      <c r="X1946" s="1696"/>
      <c r="Y1946" s="1696"/>
      <c r="Z1946" s="1773"/>
    </row>
    <row r="1947">
      <c r="A1947" s="1771"/>
      <c r="B1947" s="1777"/>
      <c r="C1947" s="1771"/>
      <c r="D1947" s="1771"/>
      <c r="E1947" s="1770"/>
      <c r="F1947" s="1771"/>
      <c r="G1947" s="1770"/>
      <c r="H1947" s="1771"/>
      <c r="I1947" s="1778"/>
      <c r="J1947" s="1771"/>
      <c r="K1947" s="1771"/>
      <c r="L1947" s="1771"/>
      <c r="M1947" s="1771"/>
      <c r="N1947" s="1771"/>
      <c r="O1947" s="1771"/>
      <c r="P1947" s="1771"/>
      <c r="Q1947" s="1766"/>
      <c r="R1947" s="1766"/>
      <c r="S1947" s="1696"/>
      <c r="T1947" s="1696"/>
      <c r="U1947" s="1772"/>
      <c r="V1947" s="1696"/>
      <c r="W1947" s="1772"/>
      <c r="X1947" s="1696"/>
      <c r="Y1947" s="1696"/>
      <c r="Z1947" s="1773"/>
    </row>
    <row r="1948">
      <c r="A1948" s="1771"/>
      <c r="B1948" s="1777"/>
      <c r="C1948" s="1771"/>
      <c r="D1948" s="1771"/>
      <c r="E1948" s="1770"/>
      <c r="F1948" s="1771"/>
      <c r="G1948" s="1770"/>
      <c r="H1948" s="1771"/>
      <c r="I1948" s="1778"/>
      <c r="J1948" s="1771"/>
      <c r="K1948" s="1771"/>
      <c r="L1948" s="1771"/>
      <c r="M1948" s="1771"/>
      <c r="N1948" s="1771"/>
      <c r="O1948" s="1771"/>
      <c r="P1948" s="1771"/>
      <c r="Q1948" s="1766"/>
      <c r="R1948" s="1766"/>
      <c r="S1948" s="1696"/>
      <c r="T1948" s="1696"/>
      <c r="U1948" s="1772"/>
      <c r="V1948" s="1696"/>
      <c r="W1948" s="1772"/>
      <c r="X1948" s="1696"/>
      <c r="Y1948" s="1696"/>
      <c r="Z1948" s="1773"/>
    </row>
    <row r="1949">
      <c r="A1949" s="1771"/>
      <c r="B1949" s="1777"/>
      <c r="C1949" s="1771"/>
      <c r="D1949" s="1771"/>
      <c r="E1949" s="1770"/>
      <c r="F1949" s="1771"/>
      <c r="G1949" s="1770"/>
      <c r="H1949" s="1771"/>
      <c r="I1949" s="1778"/>
      <c r="J1949" s="1771"/>
      <c r="K1949" s="1771"/>
      <c r="L1949" s="1771"/>
      <c r="M1949" s="1771"/>
      <c r="N1949" s="1771"/>
      <c r="O1949" s="1771"/>
      <c r="P1949" s="1771"/>
      <c r="Q1949" s="1766"/>
      <c r="R1949" s="1766"/>
      <c r="S1949" s="1696"/>
      <c r="T1949" s="1696"/>
      <c r="U1949" s="1772"/>
      <c r="V1949" s="1696"/>
      <c r="W1949" s="1772"/>
      <c r="X1949" s="1696"/>
      <c r="Y1949" s="1696"/>
      <c r="Z1949" s="1773"/>
    </row>
    <row r="1950">
      <c r="A1950" s="1771"/>
      <c r="B1950" s="1777"/>
      <c r="C1950" s="1771"/>
      <c r="D1950" s="1771"/>
      <c r="E1950" s="1770"/>
      <c r="F1950" s="1771"/>
      <c r="G1950" s="1770"/>
      <c r="H1950" s="1771"/>
      <c r="I1950" s="1778"/>
      <c r="J1950" s="1771"/>
      <c r="K1950" s="1771"/>
      <c r="L1950" s="1771"/>
      <c r="M1950" s="1771"/>
      <c r="N1950" s="1779"/>
      <c r="O1950" s="1770"/>
      <c r="P1950" s="1771"/>
      <c r="Q1950" s="1766"/>
      <c r="R1950" s="1766"/>
      <c r="S1950" s="1696"/>
      <c r="T1950" s="1696"/>
      <c r="U1950" s="1772"/>
      <c r="V1950" s="1696"/>
      <c r="W1950" s="1772"/>
      <c r="X1950" s="1696"/>
      <c r="Y1950" s="1696"/>
      <c r="Z1950" s="1773"/>
    </row>
    <row r="1951">
      <c r="A1951" s="1771"/>
      <c r="B1951" s="1777"/>
      <c r="C1951" s="1771"/>
      <c r="D1951" s="1771"/>
      <c r="E1951" s="1770"/>
      <c r="F1951" s="1771"/>
      <c r="G1951" s="1770"/>
      <c r="H1951" s="1771"/>
      <c r="I1951" s="1778"/>
      <c r="J1951" s="1771"/>
      <c r="K1951" s="1771"/>
      <c r="L1951" s="1771"/>
      <c r="M1951" s="1771"/>
      <c r="N1951" s="1779"/>
      <c r="O1951" s="1770"/>
      <c r="P1951" s="1771"/>
      <c r="Q1951" s="1766"/>
      <c r="R1951" s="1766"/>
      <c r="S1951" s="1696"/>
      <c r="T1951" s="1696"/>
      <c r="U1951" s="1772"/>
      <c r="V1951" s="1696"/>
      <c r="W1951" s="1772"/>
      <c r="X1951" s="1696"/>
      <c r="Y1951" s="1696"/>
      <c r="Z1951" s="1773"/>
    </row>
    <row r="1952">
      <c r="A1952" s="1771"/>
      <c r="B1952" s="1777"/>
      <c r="C1952" s="1771"/>
      <c r="D1952" s="1771"/>
      <c r="E1952" s="1770"/>
      <c r="F1952" s="1771"/>
      <c r="G1952" s="1770"/>
      <c r="H1952" s="1771"/>
      <c r="I1952" s="1778"/>
      <c r="J1952" s="1771"/>
      <c r="K1952" s="1771"/>
      <c r="L1952" s="1771"/>
      <c r="M1952" s="1771"/>
      <c r="N1952" s="1771"/>
      <c r="O1952" s="1771"/>
      <c r="P1952" s="1771"/>
      <c r="Q1952" s="1766"/>
      <c r="R1952" s="1766"/>
      <c r="S1952" s="1696"/>
      <c r="T1952" s="1696"/>
      <c r="U1952" s="1772"/>
      <c r="V1952" s="1696"/>
      <c r="W1952" s="1772"/>
      <c r="X1952" s="1696"/>
      <c r="Y1952" s="1696"/>
      <c r="Z1952" s="1773"/>
    </row>
    <row r="1953">
      <c r="A1953" s="1771"/>
      <c r="B1953" s="1777"/>
      <c r="C1953" s="1771"/>
      <c r="D1953" s="1771"/>
      <c r="E1953" s="1770"/>
      <c r="F1953" s="1771"/>
      <c r="G1953" s="1771"/>
      <c r="H1953" s="1771"/>
      <c r="I1953" s="1778"/>
      <c r="J1953" s="1771"/>
      <c r="K1953" s="1771"/>
      <c r="L1953" s="1771"/>
      <c r="M1953" s="1771"/>
      <c r="N1953" s="1771"/>
      <c r="O1953" s="1771"/>
      <c r="P1953" s="1771"/>
      <c r="Q1953" s="1766"/>
      <c r="R1953" s="1766"/>
      <c r="S1953" s="1696"/>
      <c r="T1953" s="1696"/>
      <c r="U1953" s="1772"/>
      <c r="V1953" s="1696"/>
      <c r="W1953" s="1772"/>
      <c r="X1953" s="1696"/>
      <c r="Y1953" s="1696"/>
      <c r="Z1953" s="1773"/>
    </row>
    <row r="1954">
      <c r="A1954" s="1771"/>
      <c r="B1954" s="1777"/>
      <c r="C1954" s="1771"/>
      <c r="D1954" s="1771"/>
      <c r="E1954" s="1770"/>
      <c r="F1954" s="1771"/>
      <c r="G1954" s="1777"/>
      <c r="H1954" s="1771"/>
      <c r="I1954" s="1778"/>
      <c r="J1954" s="1771"/>
      <c r="K1954" s="1771"/>
      <c r="L1954" s="1771"/>
      <c r="M1954" s="1771"/>
      <c r="N1954" s="1771"/>
      <c r="O1954" s="1771"/>
      <c r="P1954" s="1771"/>
      <c r="Q1954" s="1766"/>
      <c r="R1954" s="1766"/>
      <c r="S1954" s="1696"/>
      <c r="T1954" s="1696"/>
      <c r="U1954" s="1772"/>
      <c r="V1954" s="1696"/>
      <c r="W1954" s="1772"/>
      <c r="X1954" s="1696"/>
      <c r="Y1954" s="1696"/>
      <c r="Z1954" s="1773"/>
    </row>
    <row r="1955">
      <c r="A1955" s="1771"/>
      <c r="B1955" s="1777"/>
      <c r="C1955" s="1771"/>
      <c r="D1955" s="1771"/>
      <c r="E1955" s="1770"/>
      <c r="F1955" s="1771"/>
      <c r="G1955" s="1771"/>
      <c r="H1955" s="1771"/>
      <c r="I1955" s="1778"/>
      <c r="J1955" s="1771"/>
      <c r="K1955" s="1771"/>
      <c r="L1955" s="1771"/>
      <c r="M1955" s="1771"/>
      <c r="N1955" s="1771"/>
      <c r="O1955" s="1771"/>
      <c r="P1955" s="1771"/>
      <c r="Q1955" s="1766"/>
      <c r="R1955" s="1766"/>
      <c r="S1955" s="1696"/>
      <c r="T1955" s="1696"/>
      <c r="U1955" s="1772"/>
      <c r="V1955" s="1696"/>
      <c r="W1955" s="1772"/>
      <c r="X1955" s="1696"/>
      <c r="Y1955" s="1696"/>
      <c r="Z1955" s="1773"/>
    </row>
    <row r="1956">
      <c r="A1956" s="1771"/>
      <c r="B1956" s="1777"/>
      <c r="C1956" s="1771"/>
      <c r="D1956" s="1771"/>
      <c r="E1956" s="1770"/>
      <c r="F1956" s="1771"/>
      <c r="G1956" s="1770"/>
      <c r="H1956" s="1771"/>
      <c r="I1956" s="1778"/>
      <c r="J1956" s="1771"/>
      <c r="K1956" s="1771"/>
      <c r="L1956" s="1771"/>
      <c r="M1956" s="1771"/>
      <c r="N1956" s="1771"/>
      <c r="O1956" s="1771"/>
      <c r="P1956" s="1771"/>
      <c r="Q1956" s="1766"/>
      <c r="R1956" s="1766"/>
      <c r="S1956" s="1696"/>
      <c r="T1956" s="1696"/>
      <c r="U1956" s="1772"/>
      <c r="V1956" s="1696"/>
      <c r="W1956" s="1772"/>
      <c r="X1956" s="1696"/>
      <c r="Y1956" s="1696"/>
      <c r="Z1956" s="1773"/>
    </row>
    <row r="1957">
      <c r="A1957" s="1771"/>
      <c r="B1957" s="1777"/>
      <c r="C1957" s="1771"/>
      <c r="D1957" s="1771"/>
      <c r="E1957" s="1770"/>
      <c r="F1957" s="1771"/>
      <c r="G1957" s="1770"/>
      <c r="H1957" s="1771"/>
      <c r="I1957" s="1778"/>
      <c r="J1957" s="1771"/>
      <c r="K1957" s="1771"/>
      <c r="L1957" s="1771"/>
      <c r="M1957" s="1771"/>
      <c r="N1957" s="1771"/>
      <c r="O1957" s="1771"/>
      <c r="P1957" s="1771"/>
      <c r="Q1957" s="1766"/>
      <c r="R1957" s="1766"/>
      <c r="S1957" s="1696"/>
      <c r="T1957" s="1696"/>
      <c r="U1957" s="1772"/>
      <c r="V1957" s="1696"/>
      <c r="W1957" s="1772"/>
      <c r="X1957" s="1696"/>
      <c r="Y1957" s="1696"/>
      <c r="Z1957" s="1773"/>
    </row>
    <row r="1958">
      <c r="A1958" s="1771"/>
      <c r="B1958" s="1777"/>
      <c r="C1958" s="1771"/>
      <c r="D1958" s="1771"/>
      <c r="E1958" s="1770"/>
      <c r="F1958" s="1771"/>
      <c r="G1958" s="1770"/>
      <c r="H1958" s="1771"/>
      <c r="I1958" s="1778"/>
      <c r="J1958" s="1771"/>
      <c r="K1958" s="1771"/>
      <c r="L1958" s="1771"/>
      <c r="M1958" s="1771"/>
      <c r="N1958" s="1771"/>
      <c r="O1958" s="1771"/>
      <c r="P1958" s="1771"/>
      <c r="Q1958" s="1766"/>
      <c r="R1958" s="1766"/>
      <c r="S1958" s="1696"/>
      <c r="T1958" s="1696"/>
      <c r="U1958" s="1772"/>
      <c r="V1958" s="1696"/>
      <c r="W1958" s="1772"/>
      <c r="X1958" s="1696"/>
      <c r="Y1958" s="1696"/>
      <c r="Z1958" s="1773"/>
    </row>
    <row r="1959">
      <c r="A1959" s="1771"/>
      <c r="B1959" s="1777"/>
      <c r="C1959" s="1771"/>
      <c r="D1959" s="1771"/>
      <c r="E1959" s="1770"/>
      <c r="F1959" s="1771"/>
      <c r="G1959" s="1770"/>
      <c r="H1959" s="1771"/>
      <c r="I1959" s="1778"/>
      <c r="J1959" s="1771"/>
      <c r="K1959" s="1771"/>
      <c r="L1959" s="1771"/>
      <c r="M1959" s="1771"/>
      <c r="N1959" s="1779"/>
      <c r="O1959" s="1770"/>
      <c r="P1959" s="1771"/>
      <c r="Q1959" s="1766"/>
      <c r="R1959" s="1766"/>
      <c r="S1959" s="1696"/>
      <c r="T1959" s="1696"/>
      <c r="U1959" s="1772"/>
      <c r="V1959" s="1696"/>
      <c r="W1959" s="1772"/>
      <c r="X1959" s="1696"/>
      <c r="Y1959" s="1696"/>
      <c r="Z1959" s="1773"/>
    </row>
    <row r="1960">
      <c r="A1960" s="1771"/>
      <c r="B1960" s="1777"/>
      <c r="C1960" s="1771"/>
      <c r="D1960" s="1771"/>
      <c r="E1960" s="1770"/>
      <c r="F1960" s="1771"/>
      <c r="G1960" s="1770"/>
      <c r="H1960" s="1771"/>
      <c r="I1960" s="1778"/>
      <c r="J1960" s="1771"/>
      <c r="K1960" s="1771"/>
      <c r="L1960" s="1771"/>
      <c r="M1960" s="1771"/>
      <c r="N1960" s="1771"/>
      <c r="O1960" s="1771"/>
      <c r="P1960" s="1771"/>
      <c r="Q1960" s="1766"/>
      <c r="R1960" s="1766"/>
      <c r="S1960" s="1696"/>
      <c r="T1960" s="1696"/>
      <c r="U1960" s="1772"/>
      <c r="V1960" s="1696"/>
      <c r="W1960" s="1772"/>
      <c r="X1960" s="1696"/>
      <c r="Y1960" s="1696"/>
      <c r="Z1960" s="1773"/>
    </row>
    <row r="1961">
      <c r="A1961" s="1771"/>
      <c r="B1961" s="1777"/>
      <c r="C1961" s="1771"/>
      <c r="D1961" s="1771"/>
      <c r="E1961" s="1770"/>
      <c r="F1961" s="1771"/>
      <c r="G1961" s="1771"/>
      <c r="H1961" s="1771"/>
      <c r="I1961" s="1778"/>
      <c r="J1961" s="1771"/>
      <c r="K1961" s="1771"/>
      <c r="L1961" s="1771"/>
      <c r="M1961" s="1771"/>
      <c r="N1961" s="1771"/>
      <c r="O1961" s="1771"/>
      <c r="P1961" s="1771"/>
      <c r="Q1961" s="1766"/>
      <c r="R1961" s="1766"/>
      <c r="S1961" s="1696"/>
      <c r="T1961" s="1696"/>
      <c r="U1961" s="1772"/>
      <c r="V1961" s="1696"/>
      <c r="W1961" s="1772"/>
      <c r="X1961" s="1696"/>
      <c r="Y1961" s="1696"/>
      <c r="Z1961" s="1773"/>
    </row>
    <row r="1962">
      <c r="A1962" s="1771"/>
      <c r="B1962" s="1777"/>
      <c r="C1962" s="1771"/>
      <c r="D1962" s="1771"/>
      <c r="E1962" s="1770"/>
      <c r="F1962" s="1771"/>
      <c r="G1962" s="1771"/>
      <c r="H1962" s="1771"/>
      <c r="I1962" s="1778"/>
      <c r="J1962" s="1771"/>
      <c r="K1962" s="1771"/>
      <c r="L1962" s="1771"/>
      <c r="M1962" s="1771"/>
      <c r="N1962" s="1771"/>
      <c r="O1962" s="1771"/>
      <c r="P1962" s="1771"/>
      <c r="Q1962" s="1766"/>
      <c r="R1962" s="1766"/>
      <c r="S1962" s="1696"/>
      <c r="T1962" s="1696"/>
      <c r="U1962" s="1772"/>
      <c r="V1962" s="1696"/>
      <c r="W1962" s="1772"/>
      <c r="X1962" s="1696"/>
      <c r="Y1962" s="1696"/>
      <c r="Z1962" s="1773"/>
    </row>
    <row r="1963">
      <c r="A1963" s="1771"/>
      <c r="B1963" s="1777"/>
      <c r="C1963" s="1771"/>
      <c r="D1963" s="1771"/>
      <c r="E1963" s="1770"/>
      <c r="F1963" s="1771"/>
      <c r="G1963" s="1770"/>
      <c r="H1963" s="1771"/>
      <c r="I1963" s="1778"/>
      <c r="J1963" s="1771"/>
      <c r="K1963" s="1771"/>
      <c r="L1963" s="1771"/>
      <c r="M1963" s="1771"/>
      <c r="N1963" s="1771"/>
      <c r="O1963" s="1771"/>
      <c r="P1963" s="1771"/>
      <c r="Q1963" s="1766"/>
      <c r="R1963" s="1766"/>
      <c r="S1963" s="1696"/>
      <c r="T1963" s="1696"/>
      <c r="U1963" s="1772"/>
      <c r="V1963" s="1696"/>
      <c r="W1963" s="1772"/>
      <c r="X1963" s="1696"/>
      <c r="Y1963" s="1696"/>
      <c r="Z1963" s="1773"/>
    </row>
    <row r="1964">
      <c r="A1964" s="1771"/>
      <c r="B1964" s="1777"/>
      <c r="C1964" s="1771"/>
      <c r="D1964" s="1771"/>
      <c r="E1964" s="1770"/>
      <c r="F1964" s="1771"/>
      <c r="G1964" s="1771"/>
      <c r="H1964" s="1771"/>
      <c r="I1964" s="1778"/>
      <c r="J1964" s="1771"/>
      <c r="K1964" s="1771"/>
      <c r="L1964" s="1771"/>
      <c r="M1964" s="1771"/>
      <c r="N1964" s="1771"/>
      <c r="O1964" s="1771"/>
      <c r="P1964" s="1771"/>
      <c r="Q1964" s="1766"/>
      <c r="R1964" s="1766"/>
      <c r="S1964" s="1696"/>
      <c r="T1964" s="1696"/>
      <c r="U1964" s="1772"/>
      <c r="V1964" s="1696"/>
      <c r="W1964" s="1772"/>
      <c r="X1964" s="1696"/>
      <c r="Y1964" s="1696"/>
      <c r="Z1964" s="1773"/>
    </row>
    <row r="1965">
      <c r="A1965" s="1771"/>
      <c r="B1965" s="1777"/>
      <c r="C1965" s="1771"/>
      <c r="D1965" s="1771"/>
      <c r="E1965" s="1770"/>
      <c r="F1965" s="1771"/>
      <c r="G1965" s="1770"/>
      <c r="H1965" s="1771"/>
      <c r="I1965" s="1778"/>
      <c r="J1965" s="1771"/>
      <c r="K1965" s="1771"/>
      <c r="L1965" s="1771"/>
      <c r="M1965" s="1771"/>
      <c r="N1965" s="1771"/>
      <c r="O1965" s="1771"/>
      <c r="P1965" s="1771"/>
      <c r="Q1965" s="1766"/>
      <c r="R1965" s="1766"/>
      <c r="S1965" s="1696"/>
      <c r="T1965" s="1696"/>
      <c r="U1965" s="1772"/>
      <c r="V1965" s="1696"/>
      <c r="W1965" s="1772"/>
      <c r="X1965" s="1696"/>
      <c r="Y1965" s="1696"/>
      <c r="Z1965" s="1773"/>
    </row>
    <row r="1966">
      <c r="A1966" s="1771"/>
      <c r="B1966" s="1777"/>
      <c r="C1966" s="1771"/>
      <c r="D1966" s="1771"/>
      <c r="E1966" s="1770"/>
      <c r="F1966" s="1771"/>
      <c r="G1966" s="1771"/>
      <c r="H1966" s="1771"/>
      <c r="I1966" s="1778"/>
      <c r="J1966" s="1771"/>
      <c r="K1966" s="1771"/>
      <c r="L1966" s="1771"/>
      <c r="M1966" s="1771"/>
      <c r="N1966" s="1771"/>
      <c r="O1966" s="1771"/>
      <c r="P1966" s="1771"/>
      <c r="Q1966" s="1766"/>
      <c r="R1966" s="1766"/>
      <c r="S1966" s="1696"/>
      <c r="T1966" s="1696"/>
      <c r="U1966" s="1772"/>
      <c r="V1966" s="1696"/>
      <c r="W1966" s="1772"/>
      <c r="X1966" s="1696"/>
      <c r="Y1966" s="1696"/>
      <c r="Z1966" s="1773"/>
    </row>
    <row r="1967">
      <c r="A1967" s="1771"/>
      <c r="B1967" s="1777"/>
      <c r="C1967" s="1771"/>
      <c r="D1967" s="1771"/>
      <c r="E1967" s="1770"/>
      <c r="F1967" s="1771"/>
      <c r="G1967" s="1771"/>
      <c r="H1967" s="1771"/>
      <c r="I1967" s="1778"/>
      <c r="J1967" s="1771"/>
      <c r="K1967" s="1771"/>
      <c r="L1967" s="1771"/>
      <c r="M1967" s="1771"/>
      <c r="N1967" s="1771"/>
      <c r="O1967" s="1771"/>
      <c r="P1967" s="1771"/>
      <c r="Q1967" s="1766"/>
      <c r="R1967" s="1766"/>
      <c r="S1967" s="1696"/>
      <c r="T1967" s="1696"/>
      <c r="U1967" s="1772"/>
      <c r="V1967" s="1696"/>
      <c r="W1967" s="1772"/>
      <c r="X1967" s="1696"/>
      <c r="Y1967" s="1696"/>
      <c r="Z1967" s="1773"/>
    </row>
    <row r="1968">
      <c r="A1968" s="1771"/>
      <c r="B1968" s="1777"/>
      <c r="C1968" s="1771"/>
      <c r="D1968" s="1771"/>
      <c r="E1968" s="1770"/>
      <c r="F1968" s="1771"/>
      <c r="G1968" s="1770"/>
      <c r="H1968" s="1771"/>
      <c r="I1968" s="1778"/>
      <c r="J1968" s="1771"/>
      <c r="K1968" s="1771"/>
      <c r="L1968" s="1771"/>
      <c r="M1968" s="1771"/>
      <c r="N1968" s="1771"/>
      <c r="O1968" s="1771"/>
      <c r="P1968" s="1771"/>
      <c r="Q1968" s="1766"/>
      <c r="R1968" s="1766"/>
      <c r="S1968" s="1696"/>
      <c r="T1968" s="1696"/>
      <c r="U1968" s="1772"/>
      <c r="V1968" s="1696"/>
      <c r="W1968" s="1772"/>
      <c r="X1968" s="1696"/>
      <c r="Y1968" s="1696"/>
      <c r="Z1968" s="1773"/>
    </row>
    <row r="1969">
      <c r="A1969" s="1771"/>
      <c r="B1969" s="1777"/>
      <c r="C1969" s="1771"/>
      <c r="D1969" s="1771"/>
      <c r="E1969" s="1770"/>
      <c r="F1969" s="1771"/>
      <c r="G1969" s="1770"/>
      <c r="H1969" s="1771"/>
      <c r="I1969" s="1778"/>
      <c r="J1969" s="1771"/>
      <c r="K1969" s="1771"/>
      <c r="L1969" s="1771"/>
      <c r="M1969" s="1771"/>
      <c r="N1969" s="1771"/>
      <c r="O1969" s="1771"/>
      <c r="P1969" s="1771"/>
      <c r="Q1969" s="1766"/>
      <c r="R1969" s="1766"/>
      <c r="S1969" s="1696"/>
      <c r="T1969" s="1696"/>
      <c r="U1969" s="1772"/>
      <c r="V1969" s="1696"/>
      <c r="W1969" s="1772"/>
      <c r="X1969" s="1696"/>
      <c r="Y1969" s="1696"/>
      <c r="Z1969" s="1773"/>
    </row>
    <row r="1970">
      <c r="A1970" s="1771"/>
      <c r="B1970" s="1777"/>
      <c r="C1970" s="1771"/>
      <c r="D1970" s="1771"/>
      <c r="E1970" s="1770"/>
      <c r="F1970" s="1771"/>
      <c r="G1970" s="1770"/>
      <c r="H1970" s="1771"/>
      <c r="I1970" s="1778"/>
      <c r="J1970" s="1771"/>
      <c r="K1970" s="1771"/>
      <c r="L1970" s="1771"/>
      <c r="M1970" s="1771"/>
      <c r="N1970" s="1771"/>
      <c r="O1970" s="1771"/>
      <c r="P1970" s="1771"/>
      <c r="Q1970" s="1766"/>
      <c r="R1970" s="1766"/>
      <c r="S1970" s="1696"/>
      <c r="T1970" s="1696"/>
      <c r="U1970" s="1772"/>
      <c r="V1970" s="1696"/>
      <c r="W1970" s="1772"/>
      <c r="X1970" s="1696"/>
      <c r="Y1970" s="1696"/>
      <c r="Z1970" s="1773"/>
    </row>
    <row r="1971">
      <c r="A1971" s="1771"/>
      <c r="B1971" s="1777"/>
      <c r="C1971" s="1771"/>
      <c r="D1971" s="1771"/>
      <c r="E1971" s="1770"/>
      <c r="F1971" s="1771"/>
      <c r="G1971" s="1770"/>
      <c r="H1971" s="1771"/>
      <c r="I1971" s="1778"/>
      <c r="J1971" s="1771"/>
      <c r="K1971" s="1771"/>
      <c r="L1971" s="1771"/>
      <c r="M1971" s="1771"/>
      <c r="N1971" s="1771"/>
      <c r="O1971" s="1771"/>
      <c r="P1971" s="1771"/>
      <c r="Q1971" s="1766"/>
      <c r="R1971" s="1766"/>
      <c r="S1971" s="1696"/>
      <c r="T1971" s="1696"/>
      <c r="U1971" s="1772"/>
      <c r="V1971" s="1696"/>
      <c r="W1971" s="1772"/>
      <c r="X1971" s="1696"/>
      <c r="Y1971" s="1696"/>
      <c r="Z1971" s="1773"/>
    </row>
    <row r="1972">
      <c r="A1972" s="1771"/>
      <c r="B1972" s="1777"/>
      <c r="C1972" s="1771"/>
      <c r="D1972" s="1771"/>
      <c r="E1972" s="1770"/>
      <c r="F1972" s="1771"/>
      <c r="G1972" s="1770"/>
      <c r="H1972" s="1771"/>
      <c r="I1972" s="1778"/>
      <c r="J1972" s="1771"/>
      <c r="K1972" s="1771"/>
      <c r="L1972" s="1771"/>
      <c r="M1972" s="1771"/>
      <c r="N1972" s="1779"/>
      <c r="O1972" s="1770"/>
      <c r="P1972" s="1771"/>
      <c r="Q1972" s="1766"/>
      <c r="R1972" s="1766"/>
      <c r="S1972" s="1696"/>
      <c r="T1972" s="1696"/>
      <c r="U1972" s="1772"/>
      <c r="V1972" s="1696"/>
      <c r="W1972" s="1772"/>
      <c r="X1972" s="1696"/>
      <c r="Y1972" s="1696"/>
      <c r="Z1972" s="1773"/>
    </row>
    <row r="1973">
      <c r="A1973" s="1771"/>
      <c r="B1973" s="1777"/>
      <c r="C1973" s="1771"/>
      <c r="D1973" s="1771"/>
      <c r="E1973" s="1770"/>
      <c r="F1973" s="1771"/>
      <c r="G1973" s="1771"/>
      <c r="H1973" s="1771"/>
      <c r="I1973" s="1778"/>
      <c r="J1973" s="1771"/>
      <c r="K1973" s="1771"/>
      <c r="L1973" s="1771"/>
      <c r="M1973" s="1771"/>
      <c r="N1973" s="1771"/>
      <c r="O1973" s="1771"/>
      <c r="P1973" s="1771"/>
      <c r="Q1973" s="1766"/>
      <c r="R1973" s="1766"/>
      <c r="S1973" s="1696"/>
      <c r="T1973" s="1696"/>
      <c r="U1973" s="1772"/>
      <c r="V1973" s="1696"/>
      <c r="W1973" s="1772"/>
      <c r="X1973" s="1696"/>
      <c r="Y1973" s="1696"/>
      <c r="Z1973" s="1773"/>
    </row>
    <row r="1974">
      <c r="A1974" s="1771"/>
      <c r="B1974" s="1777"/>
      <c r="C1974" s="1771"/>
      <c r="D1974" s="1771"/>
      <c r="E1974" s="1770"/>
      <c r="F1974" s="1771"/>
      <c r="G1974" s="1771"/>
      <c r="H1974" s="1771"/>
      <c r="I1974" s="1778"/>
      <c r="J1974" s="1771"/>
      <c r="K1974" s="1771"/>
      <c r="L1974" s="1771"/>
      <c r="M1974" s="1771"/>
      <c r="N1974" s="1771"/>
      <c r="O1974" s="1771"/>
      <c r="P1974" s="1771"/>
      <c r="Q1974" s="1766"/>
      <c r="R1974" s="1766"/>
      <c r="S1974" s="1696"/>
      <c r="T1974" s="1696"/>
      <c r="U1974" s="1772"/>
      <c r="V1974" s="1696"/>
      <c r="W1974" s="1772"/>
      <c r="X1974" s="1696"/>
      <c r="Y1974" s="1696"/>
      <c r="Z1974" s="1773"/>
    </row>
    <row r="1975">
      <c r="A1975" s="1771"/>
      <c r="B1975" s="1777"/>
      <c r="C1975" s="1771"/>
      <c r="D1975" s="1771"/>
      <c r="E1975" s="1770"/>
      <c r="F1975" s="1771"/>
      <c r="G1975" s="1770"/>
      <c r="H1975" s="1771"/>
      <c r="I1975" s="1770"/>
      <c r="J1975" s="1771"/>
      <c r="K1975" s="1771"/>
      <c r="L1975" s="1771"/>
      <c r="M1975" s="1771"/>
      <c r="N1975" s="1771"/>
      <c r="O1975" s="1771"/>
      <c r="P1975" s="1771"/>
      <c r="Q1975" s="1766"/>
      <c r="R1975" s="1766"/>
      <c r="S1975" s="1696"/>
      <c r="T1975" s="1696"/>
      <c r="U1975" s="1772"/>
      <c r="V1975" s="1696"/>
      <c r="W1975" s="1772"/>
      <c r="X1975" s="1696"/>
      <c r="Y1975" s="1696"/>
      <c r="Z1975" s="1773"/>
    </row>
    <row r="1976">
      <c r="A1976" s="1771"/>
      <c r="B1976" s="1777"/>
      <c r="C1976" s="1771"/>
      <c r="D1976" s="1771"/>
      <c r="E1976" s="1770"/>
      <c r="F1976" s="1771"/>
      <c r="G1976" s="1770"/>
      <c r="H1976" s="1771"/>
      <c r="I1976" s="1778"/>
      <c r="J1976" s="1771"/>
      <c r="K1976" s="1771"/>
      <c r="L1976" s="1771"/>
      <c r="M1976" s="1771"/>
      <c r="N1976" s="1771"/>
      <c r="O1976" s="1771"/>
      <c r="P1976" s="1771"/>
      <c r="Q1976" s="1766"/>
      <c r="R1976" s="1766"/>
      <c r="S1976" s="1696"/>
      <c r="T1976" s="1696"/>
      <c r="U1976" s="1772"/>
      <c r="V1976" s="1696"/>
      <c r="W1976" s="1772"/>
      <c r="X1976" s="1696"/>
      <c r="Y1976" s="1696"/>
      <c r="Z1976" s="1773"/>
    </row>
    <row r="1977">
      <c r="A1977" s="1771"/>
      <c r="B1977" s="1777"/>
      <c r="C1977" s="1771"/>
      <c r="D1977" s="1771"/>
      <c r="E1977" s="1770"/>
      <c r="F1977" s="1771"/>
      <c r="G1977" s="1770"/>
      <c r="H1977" s="1771"/>
      <c r="I1977" s="1778"/>
      <c r="J1977" s="1771"/>
      <c r="K1977" s="1771"/>
      <c r="L1977" s="1771"/>
      <c r="M1977" s="1771"/>
      <c r="N1977" s="1771"/>
      <c r="O1977" s="1771"/>
      <c r="P1977" s="1771"/>
      <c r="Q1977" s="1766"/>
      <c r="R1977" s="1766"/>
      <c r="S1977" s="1696"/>
      <c r="T1977" s="1696"/>
      <c r="U1977" s="1772"/>
      <c r="V1977" s="1696"/>
      <c r="W1977" s="1772"/>
      <c r="X1977" s="1696"/>
      <c r="Y1977" s="1696"/>
      <c r="Z1977" s="1773"/>
    </row>
    <row r="1978">
      <c r="A1978" s="1771"/>
      <c r="B1978" s="1777"/>
      <c r="C1978" s="1771"/>
      <c r="D1978" s="1771"/>
      <c r="E1978" s="1770"/>
      <c r="F1978" s="1771"/>
      <c r="G1978" s="1777"/>
      <c r="H1978" s="1771"/>
      <c r="I1978" s="1778"/>
      <c r="J1978" s="1771"/>
      <c r="K1978" s="1771"/>
      <c r="L1978" s="1771"/>
      <c r="M1978" s="1771"/>
      <c r="N1978" s="1771"/>
      <c r="O1978" s="1771"/>
      <c r="P1978" s="1771"/>
      <c r="Q1978" s="1766"/>
      <c r="R1978" s="1766"/>
      <c r="S1978" s="1696"/>
      <c r="T1978" s="1696"/>
      <c r="U1978" s="1772"/>
      <c r="V1978" s="1696"/>
      <c r="W1978" s="1772"/>
      <c r="X1978" s="1696"/>
      <c r="Y1978" s="1696"/>
      <c r="Z1978" s="1773"/>
    </row>
    <row r="1979">
      <c r="A1979" s="1771"/>
      <c r="B1979" s="1777"/>
      <c r="C1979" s="1771"/>
      <c r="D1979" s="1771"/>
      <c r="E1979" s="1770"/>
      <c r="F1979" s="1771"/>
      <c r="G1979" s="1770"/>
      <c r="H1979" s="1771"/>
      <c r="I1979" s="1778"/>
      <c r="J1979" s="1771"/>
      <c r="K1979" s="1771"/>
      <c r="L1979" s="1771"/>
      <c r="M1979" s="1771"/>
      <c r="N1979" s="1779"/>
      <c r="O1979" s="1770"/>
      <c r="P1979" s="1771"/>
      <c r="Q1979" s="1766"/>
      <c r="R1979" s="1766"/>
      <c r="S1979" s="1696"/>
      <c r="T1979" s="1696"/>
      <c r="U1979" s="1772"/>
      <c r="V1979" s="1696"/>
      <c r="W1979" s="1772"/>
      <c r="X1979" s="1696"/>
      <c r="Y1979" s="1696"/>
      <c r="Z1979" s="1773"/>
    </row>
    <row r="1980">
      <c r="A1980" s="1771"/>
      <c r="B1980" s="1777"/>
      <c r="C1980" s="1771"/>
      <c r="D1980" s="1771"/>
      <c r="E1980" s="1770"/>
      <c r="F1980" s="1771"/>
      <c r="G1980" s="1771"/>
      <c r="H1980" s="1771"/>
      <c r="I1980" s="1778"/>
      <c r="J1980" s="1771"/>
      <c r="K1980" s="1771"/>
      <c r="L1980" s="1771"/>
      <c r="M1980" s="1771"/>
      <c r="N1980" s="1771"/>
      <c r="O1980" s="1771"/>
      <c r="P1980" s="1771"/>
      <c r="Q1980" s="1766"/>
      <c r="R1980" s="1766"/>
      <c r="S1980" s="1696"/>
      <c r="T1980" s="1696"/>
      <c r="U1980" s="1772"/>
      <c r="V1980" s="1696"/>
      <c r="W1980" s="1772"/>
      <c r="X1980" s="1696"/>
      <c r="Y1980" s="1696"/>
      <c r="Z1980" s="1773"/>
    </row>
    <row r="1981">
      <c r="A1981" s="1771"/>
      <c r="B1981" s="1777"/>
      <c r="C1981" s="1771"/>
      <c r="D1981" s="1771"/>
      <c r="E1981" s="1770"/>
      <c r="F1981" s="1771"/>
      <c r="G1981" s="1770"/>
      <c r="H1981" s="1771"/>
      <c r="I1981" s="1778"/>
      <c r="J1981" s="1771"/>
      <c r="K1981" s="1771"/>
      <c r="L1981" s="1771"/>
      <c r="M1981" s="1771"/>
      <c r="N1981" s="1771"/>
      <c r="O1981" s="1771"/>
      <c r="P1981" s="1771"/>
      <c r="Q1981" s="1766"/>
      <c r="R1981" s="1766"/>
      <c r="S1981" s="1696"/>
      <c r="T1981" s="1696"/>
      <c r="U1981" s="1772"/>
      <c r="V1981" s="1696"/>
      <c r="W1981" s="1772"/>
      <c r="X1981" s="1696"/>
      <c r="Y1981" s="1696"/>
      <c r="Z1981" s="1773"/>
    </row>
    <row r="1982">
      <c r="A1982" s="1771"/>
      <c r="B1982" s="1777"/>
      <c r="C1982" s="1771"/>
      <c r="D1982" s="1771"/>
      <c r="E1982" s="1770"/>
      <c r="F1982" s="1771"/>
      <c r="G1982" s="1771"/>
      <c r="H1982" s="1771"/>
      <c r="I1982" s="1778"/>
      <c r="J1982" s="1771"/>
      <c r="K1982" s="1771"/>
      <c r="L1982" s="1771"/>
      <c r="M1982" s="1771"/>
      <c r="N1982" s="1771"/>
      <c r="O1982" s="1771"/>
      <c r="P1982" s="1771"/>
      <c r="Q1982" s="1766"/>
      <c r="R1982" s="1766"/>
      <c r="S1982" s="1696"/>
      <c r="T1982" s="1696"/>
      <c r="U1982" s="1772"/>
      <c r="V1982" s="1696"/>
      <c r="W1982" s="1772"/>
      <c r="X1982" s="1696"/>
      <c r="Y1982" s="1696"/>
      <c r="Z1982" s="1773"/>
    </row>
    <row r="1983">
      <c r="A1983" s="1771"/>
      <c r="B1983" s="1777"/>
      <c r="C1983" s="1771"/>
      <c r="D1983" s="1771"/>
      <c r="E1983" s="1770"/>
      <c r="F1983" s="1771"/>
      <c r="G1983" s="1771"/>
      <c r="H1983" s="1771"/>
      <c r="I1983" s="1770"/>
      <c r="J1983" s="1771"/>
      <c r="K1983" s="1771"/>
      <c r="L1983" s="1771"/>
      <c r="M1983" s="1771"/>
      <c r="N1983" s="1779"/>
      <c r="O1983" s="1770"/>
      <c r="P1983" s="1771"/>
      <c r="Q1983" s="1766"/>
      <c r="R1983" s="1766"/>
      <c r="S1983" s="1696"/>
      <c r="T1983" s="1696"/>
      <c r="U1983" s="1772"/>
      <c r="V1983" s="1696"/>
      <c r="W1983" s="1772"/>
      <c r="X1983" s="1696"/>
      <c r="Y1983" s="1696"/>
      <c r="Z1983" s="1773"/>
    </row>
    <row r="1984">
      <c r="A1984" s="1771"/>
      <c r="B1984" s="1777"/>
      <c r="C1984" s="1771"/>
      <c r="D1984" s="1771"/>
      <c r="E1984" s="1770"/>
      <c r="F1984" s="1771"/>
      <c r="G1984" s="1770"/>
      <c r="H1984" s="1771"/>
      <c r="I1984" s="1778"/>
      <c r="J1984" s="1771"/>
      <c r="K1984" s="1771"/>
      <c r="L1984" s="1771"/>
      <c r="M1984" s="1771"/>
      <c r="N1984" s="1771"/>
      <c r="O1984" s="1771"/>
      <c r="P1984" s="1771"/>
      <c r="Q1984" s="1766"/>
      <c r="R1984" s="1766"/>
      <c r="S1984" s="1696"/>
      <c r="T1984" s="1696"/>
      <c r="U1984" s="1772"/>
      <c r="V1984" s="1696"/>
      <c r="W1984" s="1772"/>
      <c r="X1984" s="1696"/>
      <c r="Y1984" s="1696"/>
      <c r="Z1984" s="1773"/>
    </row>
    <row r="1985">
      <c r="A1985" s="1771"/>
      <c r="B1985" s="1777"/>
      <c r="C1985" s="1771"/>
      <c r="D1985" s="1771"/>
      <c r="E1985" s="1770"/>
      <c r="F1985" s="1771"/>
      <c r="G1985" s="1770"/>
      <c r="H1985" s="1771"/>
      <c r="I1985" s="1778"/>
      <c r="J1985" s="1771"/>
      <c r="K1985" s="1771"/>
      <c r="L1985" s="1771"/>
      <c r="M1985" s="1771"/>
      <c r="N1985" s="1779"/>
      <c r="O1985" s="1770"/>
      <c r="P1985" s="1771"/>
      <c r="Q1985" s="1766"/>
      <c r="R1985" s="1766"/>
      <c r="S1985" s="1696"/>
      <c r="T1985" s="1696"/>
      <c r="U1985" s="1772"/>
      <c r="V1985" s="1696"/>
      <c r="W1985" s="1772"/>
      <c r="X1985" s="1696"/>
      <c r="Y1985" s="1696"/>
      <c r="Z1985" s="1773"/>
    </row>
    <row r="1986">
      <c r="A1986" s="1771"/>
      <c r="B1986" s="1777"/>
      <c r="C1986" s="1771"/>
      <c r="D1986" s="1771"/>
      <c r="E1986" s="1770"/>
      <c r="F1986" s="1771"/>
      <c r="G1986" s="1770"/>
      <c r="H1986" s="1771"/>
      <c r="I1986" s="1770"/>
      <c r="J1986" s="1771"/>
      <c r="K1986" s="1771"/>
      <c r="L1986" s="1771"/>
      <c r="M1986" s="1771"/>
      <c r="N1986" s="1771"/>
      <c r="O1986" s="1771"/>
      <c r="P1986" s="1771"/>
      <c r="Q1986" s="1766"/>
      <c r="R1986" s="1766"/>
      <c r="S1986" s="1696"/>
      <c r="T1986" s="1696"/>
      <c r="U1986" s="1772"/>
      <c r="V1986" s="1696"/>
      <c r="W1986" s="1772"/>
      <c r="X1986" s="1696"/>
      <c r="Y1986" s="1696"/>
      <c r="Z1986" s="1773"/>
    </row>
    <row r="1987">
      <c r="A1987" s="1771"/>
      <c r="B1987" s="1777"/>
      <c r="C1987" s="1771"/>
      <c r="D1987" s="1771"/>
      <c r="E1987" s="1770"/>
      <c r="F1987" s="1771"/>
      <c r="G1987" s="1770"/>
      <c r="H1987" s="1771"/>
      <c r="I1987" s="1778"/>
      <c r="J1987" s="1771"/>
      <c r="K1987" s="1771"/>
      <c r="L1987" s="1771"/>
      <c r="M1987" s="1771"/>
      <c r="N1987" s="1771"/>
      <c r="O1987" s="1771"/>
      <c r="P1987" s="1771"/>
      <c r="Q1987" s="1766"/>
      <c r="R1987" s="1766"/>
      <c r="S1987" s="1696"/>
      <c r="T1987" s="1696"/>
      <c r="U1987" s="1772"/>
      <c r="V1987" s="1696"/>
      <c r="W1987" s="1772"/>
      <c r="X1987" s="1696"/>
      <c r="Y1987" s="1696"/>
      <c r="Z1987" s="1773"/>
    </row>
    <row r="1988">
      <c r="A1988" s="1771"/>
      <c r="B1988" s="1777"/>
      <c r="C1988" s="1771"/>
      <c r="D1988" s="1771"/>
      <c r="E1988" s="1770"/>
      <c r="F1988" s="1771"/>
      <c r="G1988" s="1770"/>
      <c r="H1988" s="1771"/>
      <c r="I1988" s="1778"/>
      <c r="J1988" s="1771"/>
      <c r="K1988" s="1771"/>
      <c r="L1988" s="1771"/>
      <c r="M1988" s="1771"/>
      <c r="N1988" s="1779"/>
      <c r="O1988" s="1770"/>
      <c r="P1988" s="1771"/>
      <c r="Q1988" s="1766"/>
      <c r="R1988" s="1766"/>
      <c r="S1988" s="1696"/>
      <c r="T1988" s="1696"/>
      <c r="U1988" s="1772"/>
      <c r="V1988" s="1696"/>
      <c r="W1988" s="1772"/>
      <c r="X1988" s="1696"/>
      <c r="Y1988" s="1696"/>
      <c r="Z1988" s="1773"/>
    </row>
    <row r="1989">
      <c r="A1989" s="1771"/>
      <c r="B1989" s="1777"/>
      <c r="C1989" s="1771"/>
      <c r="D1989" s="1771"/>
      <c r="E1989" s="1770"/>
      <c r="F1989" s="1771"/>
      <c r="G1989" s="1770"/>
      <c r="H1989" s="1771"/>
      <c r="I1989" s="1770"/>
      <c r="J1989" s="1771"/>
      <c r="K1989" s="1771"/>
      <c r="L1989" s="1771"/>
      <c r="M1989" s="1771"/>
      <c r="N1989" s="1779"/>
      <c r="O1989" s="1770"/>
      <c r="P1989" s="1771"/>
      <c r="Q1989" s="1766"/>
      <c r="R1989" s="1766"/>
      <c r="S1989" s="1696"/>
      <c r="T1989" s="1696"/>
      <c r="U1989" s="1772"/>
      <c r="V1989" s="1696"/>
      <c r="W1989" s="1772"/>
      <c r="X1989" s="1696"/>
      <c r="Y1989" s="1696"/>
      <c r="Z1989" s="1773"/>
    </row>
    <row r="1990">
      <c r="A1990" s="1771"/>
      <c r="B1990" s="1777"/>
      <c r="C1990" s="1771"/>
      <c r="D1990" s="1771"/>
      <c r="E1990" s="1770"/>
      <c r="F1990" s="1771"/>
      <c r="G1990" s="1771"/>
      <c r="H1990" s="1771"/>
      <c r="I1990" s="1778"/>
      <c r="J1990" s="1771"/>
      <c r="K1990" s="1771"/>
      <c r="L1990" s="1771"/>
      <c r="M1990" s="1771"/>
      <c r="N1990" s="1771"/>
      <c r="O1990" s="1771"/>
      <c r="P1990" s="1771"/>
      <c r="Q1990" s="1766"/>
      <c r="R1990" s="1766"/>
      <c r="S1990" s="1696"/>
      <c r="T1990" s="1696"/>
      <c r="U1990" s="1772"/>
      <c r="V1990" s="1696"/>
      <c r="W1990" s="1772"/>
      <c r="X1990" s="1696"/>
      <c r="Y1990" s="1696"/>
      <c r="Z1990" s="1773"/>
    </row>
    <row r="1991">
      <c r="A1991" s="1771"/>
      <c r="B1991" s="1777"/>
      <c r="C1991" s="1771"/>
      <c r="D1991" s="1771"/>
      <c r="E1991" s="1770"/>
      <c r="F1991" s="1771"/>
      <c r="G1991" s="1770"/>
      <c r="H1991" s="1771"/>
      <c r="I1991" s="1778"/>
      <c r="J1991" s="1771"/>
      <c r="K1991" s="1771"/>
      <c r="L1991" s="1771"/>
      <c r="M1991" s="1771"/>
      <c r="N1991" s="1771"/>
      <c r="O1991" s="1771"/>
      <c r="P1991" s="1771"/>
      <c r="Q1991" s="1766"/>
      <c r="R1991" s="1766"/>
      <c r="S1991" s="1696"/>
      <c r="T1991" s="1696"/>
      <c r="U1991" s="1772"/>
      <c r="V1991" s="1696"/>
      <c r="W1991" s="1772"/>
      <c r="X1991" s="1696"/>
      <c r="Y1991" s="1696"/>
      <c r="Z1991" s="1773"/>
    </row>
    <row r="1992">
      <c r="A1992" s="1771"/>
      <c r="B1992" s="1777"/>
      <c r="C1992" s="1771"/>
      <c r="D1992" s="1771"/>
      <c r="E1992" s="1770"/>
      <c r="F1992" s="1771"/>
      <c r="G1992" s="1770"/>
      <c r="H1992" s="1771"/>
      <c r="I1992" s="1778"/>
      <c r="J1992" s="1771"/>
      <c r="K1992" s="1771"/>
      <c r="L1992" s="1771"/>
      <c r="M1992" s="1771"/>
      <c r="N1992" s="1771"/>
      <c r="O1992" s="1771"/>
      <c r="P1992" s="1771"/>
      <c r="Q1992" s="1766"/>
      <c r="R1992" s="1766"/>
      <c r="S1992" s="1696"/>
      <c r="T1992" s="1696"/>
      <c r="U1992" s="1772"/>
      <c r="V1992" s="1696"/>
      <c r="W1992" s="1772"/>
      <c r="X1992" s="1696"/>
      <c r="Y1992" s="1696"/>
      <c r="Z1992" s="1773"/>
    </row>
    <row r="1993">
      <c r="A1993" s="1771"/>
      <c r="B1993" s="1777"/>
      <c r="C1993" s="1771"/>
      <c r="D1993" s="1771"/>
      <c r="E1993" s="1770"/>
      <c r="F1993" s="1771"/>
      <c r="G1993" s="1770"/>
      <c r="H1993" s="1771"/>
      <c r="I1993" s="1770"/>
      <c r="J1993" s="1771"/>
      <c r="K1993" s="1771"/>
      <c r="L1993" s="1771"/>
      <c r="M1993" s="1771"/>
      <c r="N1993" s="1779"/>
      <c r="O1993" s="1770"/>
      <c r="P1993" s="1771"/>
      <c r="Q1993" s="1766"/>
      <c r="R1993" s="1766"/>
      <c r="S1993" s="1696"/>
      <c r="T1993" s="1696"/>
      <c r="U1993" s="1772"/>
      <c r="V1993" s="1696"/>
      <c r="W1993" s="1772"/>
      <c r="X1993" s="1696"/>
      <c r="Y1993" s="1696"/>
      <c r="Z1993" s="1773"/>
    </row>
    <row r="1994">
      <c r="A1994" s="1771"/>
      <c r="B1994" s="1777"/>
      <c r="C1994" s="1771"/>
      <c r="D1994" s="1771"/>
      <c r="E1994" s="1770"/>
      <c r="F1994" s="1771"/>
      <c r="G1994" s="1770"/>
      <c r="H1994" s="1771"/>
      <c r="I1994" s="1778"/>
      <c r="J1994" s="1771"/>
      <c r="K1994" s="1771"/>
      <c r="L1994" s="1771"/>
      <c r="M1994" s="1771"/>
      <c r="N1994" s="1771"/>
      <c r="O1994" s="1771"/>
      <c r="P1994" s="1771"/>
      <c r="Q1994" s="1766"/>
      <c r="R1994" s="1766"/>
      <c r="S1994" s="1696"/>
      <c r="T1994" s="1696"/>
      <c r="U1994" s="1772"/>
      <c r="V1994" s="1696"/>
      <c r="W1994" s="1772"/>
      <c r="X1994" s="1696"/>
      <c r="Y1994" s="1696"/>
      <c r="Z1994" s="1773"/>
    </row>
    <row r="1995">
      <c r="A1995" s="1771"/>
      <c r="B1995" s="1777"/>
      <c r="C1995" s="1771"/>
      <c r="D1995" s="1771"/>
      <c r="E1995" s="1770"/>
      <c r="F1995" s="1771"/>
      <c r="G1995" s="1771"/>
      <c r="H1995" s="1771"/>
      <c r="I1995" s="1778"/>
      <c r="J1995" s="1771"/>
      <c r="K1995" s="1771"/>
      <c r="L1995" s="1771"/>
      <c r="M1995" s="1771"/>
      <c r="N1995" s="1771"/>
      <c r="O1995" s="1771"/>
      <c r="P1995" s="1771"/>
      <c r="Q1995" s="1766"/>
      <c r="R1995" s="1766"/>
      <c r="S1995" s="1696"/>
      <c r="T1995" s="1696"/>
      <c r="U1995" s="1772"/>
      <c r="V1995" s="1696"/>
      <c r="W1995" s="1772"/>
      <c r="X1995" s="1696"/>
      <c r="Y1995" s="1696"/>
      <c r="Z1995" s="1773"/>
    </row>
    <row r="1996">
      <c r="A1996" s="1771"/>
      <c r="B1996" s="1777"/>
      <c r="C1996" s="1771"/>
      <c r="D1996" s="1771"/>
      <c r="E1996" s="1770"/>
      <c r="F1996" s="1771"/>
      <c r="G1996" s="1770"/>
      <c r="H1996" s="1771"/>
      <c r="I1996" s="1778"/>
      <c r="J1996" s="1771"/>
      <c r="K1996" s="1771"/>
      <c r="L1996" s="1771"/>
      <c r="M1996" s="1771"/>
      <c r="N1996" s="1771"/>
      <c r="O1996" s="1771"/>
      <c r="P1996" s="1771"/>
      <c r="Q1996" s="1766"/>
      <c r="R1996" s="1766"/>
      <c r="S1996" s="1696"/>
      <c r="T1996" s="1696"/>
      <c r="U1996" s="1772"/>
      <c r="V1996" s="1696"/>
      <c r="W1996" s="1772"/>
      <c r="X1996" s="1696"/>
      <c r="Y1996" s="1696"/>
      <c r="Z1996" s="1773"/>
    </row>
    <row r="1997">
      <c r="A1997" s="1771"/>
      <c r="B1997" s="1777"/>
      <c r="C1997" s="1771"/>
      <c r="D1997" s="1771"/>
      <c r="E1997" s="1770"/>
      <c r="F1997" s="1771"/>
      <c r="G1997" s="1770"/>
      <c r="H1997" s="1771"/>
      <c r="I1997" s="1778"/>
      <c r="J1997" s="1771"/>
      <c r="K1997" s="1771"/>
      <c r="L1997" s="1771"/>
      <c r="M1997" s="1771"/>
      <c r="N1997" s="1771"/>
      <c r="O1997" s="1771"/>
      <c r="P1997" s="1771"/>
      <c r="Q1997" s="1766"/>
      <c r="R1997" s="1766"/>
      <c r="S1997" s="1696"/>
      <c r="T1997" s="1696"/>
      <c r="U1997" s="1772"/>
      <c r="V1997" s="1696"/>
      <c r="W1997" s="1772"/>
      <c r="X1997" s="1696"/>
      <c r="Y1997" s="1696"/>
      <c r="Z1997" s="1773"/>
    </row>
    <row r="1998">
      <c r="A1998" s="1771"/>
      <c r="B1998" s="1777"/>
      <c r="C1998" s="1771"/>
      <c r="D1998" s="1771"/>
      <c r="E1998" s="1770"/>
      <c r="F1998" s="1771"/>
      <c r="G1998" s="1771"/>
      <c r="H1998" s="1771"/>
      <c r="I1998" s="1778"/>
      <c r="J1998" s="1771"/>
      <c r="K1998" s="1771"/>
      <c r="L1998" s="1771"/>
      <c r="M1998" s="1771"/>
      <c r="N1998" s="1779"/>
      <c r="O1998" s="1770"/>
      <c r="P1998" s="1771"/>
      <c r="Q1998" s="1766"/>
      <c r="R1998" s="1766"/>
      <c r="S1998" s="1696"/>
      <c r="T1998" s="1696"/>
      <c r="U1998" s="1772"/>
      <c r="V1998" s="1696"/>
      <c r="W1998" s="1772"/>
      <c r="X1998" s="1696"/>
      <c r="Y1998" s="1696"/>
      <c r="Z1998" s="1773"/>
    </row>
    <row r="1999">
      <c r="A1999" s="1771"/>
      <c r="B1999" s="1777"/>
      <c r="C1999" s="1771"/>
      <c r="D1999" s="1771"/>
      <c r="E1999" s="1770"/>
      <c r="F1999" s="1771"/>
      <c r="G1999" s="1777"/>
      <c r="H1999" s="1771"/>
      <c r="I1999" s="1778"/>
      <c r="J1999" s="1771"/>
      <c r="K1999" s="1771"/>
      <c r="L1999" s="1771"/>
      <c r="M1999" s="1771"/>
      <c r="N1999" s="1771"/>
      <c r="O1999" s="1771"/>
      <c r="P1999" s="1771"/>
      <c r="Q1999" s="1766"/>
      <c r="R1999" s="1766"/>
      <c r="S1999" s="1696"/>
      <c r="T1999" s="1696"/>
      <c r="U1999" s="1772"/>
      <c r="V1999" s="1696"/>
      <c r="W1999" s="1772"/>
      <c r="X1999" s="1696"/>
      <c r="Y1999" s="1696"/>
      <c r="Z1999" s="1773"/>
    </row>
    <row r="2000">
      <c r="A2000" s="1771"/>
      <c r="B2000" s="1777"/>
      <c r="C2000" s="1771"/>
      <c r="D2000" s="1771"/>
      <c r="E2000" s="1770"/>
      <c r="F2000" s="1771"/>
      <c r="G2000" s="1771"/>
      <c r="H2000" s="1771"/>
      <c r="I2000" s="1778"/>
      <c r="J2000" s="1771"/>
      <c r="K2000" s="1771"/>
      <c r="L2000" s="1771"/>
      <c r="M2000" s="1771"/>
      <c r="N2000" s="1771"/>
      <c r="O2000" s="1771"/>
      <c r="P2000" s="1771"/>
      <c r="Q2000" s="1766"/>
      <c r="R2000" s="1766"/>
      <c r="S2000" s="1696"/>
      <c r="T2000" s="1696"/>
      <c r="U2000" s="1772"/>
      <c r="V2000" s="1696"/>
      <c r="W2000" s="1772"/>
      <c r="X2000" s="1696"/>
      <c r="Y2000" s="1696"/>
      <c r="Z2000" s="1773"/>
    </row>
    <row r="2001">
      <c r="A2001" s="1771"/>
      <c r="B2001" s="1777"/>
      <c r="C2001" s="1771"/>
      <c r="D2001" s="1771"/>
      <c r="E2001" s="1770"/>
      <c r="F2001" s="1771"/>
      <c r="G2001" s="1777"/>
      <c r="H2001" s="1771"/>
      <c r="I2001" s="1778"/>
      <c r="J2001" s="1771"/>
      <c r="K2001" s="1771"/>
      <c r="L2001" s="1771"/>
      <c r="M2001" s="1771"/>
      <c r="N2001" s="1771"/>
      <c r="O2001" s="1771"/>
      <c r="P2001" s="1771"/>
      <c r="Q2001" s="1766"/>
      <c r="R2001" s="1766"/>
      <c r="S2001" s="1696"/>
      <c r="T2001" s="1696"/>
      <c r="U2001" s="1772"/>
      <c r="V2001" s="1696"/>
      <c r="W2001" s="1772"/>
      <c r="X2001" s="1696"/>
      <c r="Y2001" s="1696"/>
      <c r="Z2001" s="1773"/>
    </row>
    <row r="2002">
      <c r="A2002" s="1771"/>
      <c r="B2002" s="1777"/>
      <c r="C2002" s="1771"/>
      <c r="D2002" s="1771"/>
      <c r="E2002" s="1770"/>
      <c r="F2002" s="1771"/>
      <c r="G2002" s="1770"/>
      <c r="H2002" s="1771"/>
      <c r="I2002" s="1778"/>
      <c r="J2002" s="1771"/>
      <c r="K2002" s="1771"/>
      <c r="L2002" s="1771"/>
      <c r="M2002" s="1771"/>
      <c r="N2002" s="1771"/>
      <c r="O2002" s="1771"/>
      <c r="P2002" s="1771"/>
      <c r="Q2002" s="1766"/>
      <c r="R2002" s="1766"/>
      <c r="S2002" s="1696"/>
      <c r="T2002" s="1696"/>
      <c r="U2002" s="1772"/>
      <c r="V2002" s="1696"/>
      <c r="W2002" s="1772"/>
      <c r="X2002" s="1696"/>
      <c r="Y2002" s="1696"/>
      <c r="Z2002" s="1773"/>
    </row>
    <row r="2003">
      <c r="A2003" s="1771"/>
      <c r="B2003" s="1777"/>
      <c r="C2003" s="1771"/>
      <c r="D2003" s="1771"/>
      <c r="E2003" s="1770"/>
      <c r="F2003" s="1771"/>
      <c r="G2003" s="1770"/>
      <c r="H2003" s="1771"/>
      <c r="I2003" s="1778"/>
      <c r="J2003" s="1771"/>
      <c r="K2003" s="1771"/>
      <c r="L2003" s="1771"/>
      <c r="M2003" s="1771"/>
      <c r="N2003" s="1771"/>
      <c r="O2003" s="1771"/>
      <c r="P2003" s="1771"/>
      <c r="Q2003" s="1766"/>
      <c r="R2003" s="1766"/>
      <c r="S2003" s="1696"/>
      <c r="T2003" s="1696"/>
      <c r="U2003" s="1772"/>
      <c r="V2003" s="1696"/>
      <c r="W2003" s="1772"/>
      <c r="X2003" s="1696"/>
      <c r="Y2003" s="1696"/>
      <c r="Z2003" s="1773"/>
    </row>
    <row r="2004">
      <c r="A2004" s="1771"/>
      <c r="B2004" s="1777"/>
      <c r="C2004" s="1771"/>
      <c r="D2004" s="1771"/>
      <c r="E2004" s="1770"/>
      <c r="F2004" s="1771"/>
      <c r="G2004" s="1770"/>
      <c r="H2004" s="1771"/>
      <c r="I2004" s="1778"/>
      <c r="J2004" s="1771"/>
      <c r="K2004" s="1771"/>
      <c r="L2004" s="1771"/>
      <c r="M2004" s="1771"/>
      <c r="N2004" s="1771"/>
      <c r="O2004" s="1771"/>
      <c r="P2004" s="1771"/>
      <c r="Q2004" s="1766"/>
      <c r="R2004" s="1766"/>
      <c r="S2004" s="1696"/>
      <c r="T2004" s="1696"/>
      <c r="U2004" s="1772"/>
      <c r="V2004" s="1696"/>
      <c r="W2004" s="1772"/>
      <c r="X2004" s="1696"/>
      <c r="Y2004" s="1696"/>
      <c r="Z2004" s="1773"/>
    </row>
    <row r="2005">
      <c r="A2005" s="1771"/>
      <c r="B2005" s="1777"/>
      <c r="C2005" s="1771"/>
      <c r="D2005" s="1771"/>
      <c r="E2005" s="1770"/>
      <c r="F2005" s="1771"/>
      <c r="G2005" s="1771"/>
      <c r="H2005" s="1771"/>
      <c r="I2005" s="1778"/>
      <c r="J2005" s="1771"/>
      <c r="K2005" s="1771"/>
      <c r="L2005" s="1771"/>
      <c r="M2005" s="1771"/>
      <c r="N2005" s="1779"/>
      <c r="O2005" s="1770"/>
      <c r="P2005" s="1771"/>
      <c r="Q2005" s="1766"/>
      <c r="R2005" s="1766"/>
      <c r="S2005" s="1696"/>
      <c r="T2005" s="1696"/>
      <c r="U2005" s="1772"/>
      <c r="V2005" s="1696"/>
      <c r="W2005" s="1772"/>
      <c r="X2005" s="1696"/>
      <c r="Y2005" s="1696"/>
      <c r="Z2005" s="1773"/>
    </row>
    <row r="2006">
      <c r="A2006" s="1771"/>
      <c r="B2006" s="1777"/>
      <c r="C2006" s="1771"/>
      <c r="D2006" s="1771"/>
      <c r="E2006" s="1770"/>
      <c r="F2006" s="1771"/>
      <c r="G2006" s="1770"/>
      <c r="H2006" s="1771"/>
      <c r="I2006" s="1778"/>
      <c r="J2006" s="1771"/>
      <c r="K2006" s="1771"/>
      <c r="L2006" s="1771"/>
      <c r="M2006" s="1771"/>
      <c r="N2006" s="1771"/>
      <c r="O2006" s="1771"/>
      <c r="P2006" s="1771"/>
      <c r="Q2006" s="1766"/>
      <c r="R2006" s="1766"/>
      <c r="S2006" s="1696"/>
      <c r="T2006" s="1696"/>
      <c r="U2006" s="1772"/>
      <c r="V2006" s="1696"/>
      <c r="W2006" s="1772"/>
      <c r="X2006" s="1696"/>
      <c r="Y2006" s="1696"/>
      <c r="Z2006" s="1773"/>
    </row>
    <row r="2007">
      <c r="A2007" s="1771"/>
      <c r="B2007" s="1777"/>
      <c r="C2007" s="1771"/>
      <c r="D2007" s="1771"/>
      <c r="E2007" s="1770"/>
      <c r="F2007" s="1771"/>
      <c r="G2007" s="1770"/>
      <c r="H2007" s="1771"/>
      <c r="I2007" s="1778"/>
      <c r="J2007" s="1771"/>
      <c r="K2007" s="1771"/>
      <c r="L2007" s="1771"/>
      <c r="M2007" s="1771"/>
      <c r="N2007" s="1771"/>
      <c r="O2007" s="1771"/>
      <c r="P2007" s="1771"/>
      <c r="Q2007" s="1766"/>
      <c r="R2007" s="1766"/>
      <c r="S2007" s="1696"/>
      <c r="T2007" s="1696"/>
      <c r="U2007" s="1772"/>
      <c r="V2007" s="1696"/>
      <c r="W2007" s="1772"/>
      <c r="X2007" s="1696"/>
      <c r="Y2007" s="1696"/>
      <c r="Z2007" s="1773"/>
    </row>
    <row r="2008">
      <c r="A2008" s="1771"/>
      <c r="B2008" s="1777"/>
      <c r="C2008" s="1771"/>
      <c r="D2008" s="1771"/>
      <c r="E2008" s="1770"/>
      <c r="F2008" s="1771"/>
      <c r="G2008" s="1771"/>
      <c r="H2008" s="1771"/>
      <c r="I2008" s="1778"/>
      <c r="J2008" s="1771"/>
      <c r="K2008" s="1771"/>
      <c r="L2008" s="1771"/>
      <c r="M2008" s="1771"/>
      <c r="N2008" s="1771"/>
      <c r="O2008" s="1771"/>
      <c r="P2008" s="1771"/>
      <c r="Q2008" s="1766"/>
      <c r="R2008" s="1766"/>
      <c r="S2008" s="1696"/>
      <c r="T2008" s="1696"/>
      <c r="U2008" s="1772"/>
      <c r="V2008" s="1696"/>
      <c r="W2008" s="1772"/>
      <c r="X2008" s="1696"/>
      <c r="Y2008" s="1696"/>
      <c r="Z2008" s="1773"/>
    </row>
    <row r="2009">
      <c r="A2009" s="1771"/>
      <c r="B2009" s="1777"/>
      <c r="C2009" s="1771"/>
      <c r="D2009" s="1771"/>
      <c r="E2009" s="1770"/>
      <c r="F2009" s="1771"/>
      <c r="G2009" s="1770"/>
      <c r="H2009" s="1771"/>
      <c r="I2009" s="1778"/>
      <c r="J2009" s="1771"/>
      <c r="K2009" s="1771"/>
      <c r="L2009" s="1771"/>
      <c r="M2009" s="1771"/>
      <c r="N2009" s="1771"/>
      <c r="O2009" s="1771"/>
      <c r="P2009" s="1771"/>
      <c r="Q2009" s="1766"/>
      <c r="R2009" s="1766"/>
      <c r="S2009" s="1696"/>
      <c r="T2009" s="1696"/>
      <c r="U2009" s="1772"/>
      <c r="V2009" s="1696"/>
      <c r="W2009" s="1772"/>
      <c r="X2009" s="1696"/>
      <c r="Y2009" s="1696"/>
      <c r="Z2009" s="1773"/>
    </row>
    <row r="2010">
      <c r="A2010" s="1771"/>
      <c r="B2010" s="1777"/>
      <c r="C2010" s="1771"/>
      <c r="D2010" s="1771"/>
      <c r="E2010" s="1770"/>
      <c r="F2010" s="1771"/>
      <c r="G2010" s="1770"/>
      <c r="H2010" s="1771"/>
      <c r="I2010" s="1778"/>
      <c r="J2010" s="1771"/>
      <c r="K2010" s="1771"/>
      <c r="L2010" s="1771"/>
      <c r="M2010" s="1771"/>
      <c r="N2010" s="1779"/>
      <c r="O2010" s="1770"/>
      <c r="P2010" s="1771"/>
      <c r="Q2010" s="1766"/>
      <c r="R2010" s="1766"/>
      <c r="S2010" s="1696"/>
      <c r="T2010" s="1696"/>
      <c r="U2010" s="1772"/>
      <c r="V2010" s="1696"/>
      <c r="W2010" s="1772"/>
      <c r="X2010" s="1696"/>
      <c r="Y2010" s="1696"/>
      <c r="Z2010" s="1773"/>
    </row>
    <row r="2011">
      <c r="A2011" s="1771"/>
      <c r="B2011" s="1777"/>
      <c r="C2011" s="1771"/>
      <c r="D2011" s="1771"/>
      <c r="E2011" s="1770"/>
      <c r="F2011" s="1771"/>
      <c r="G2011" s="1777"/>
      <c r="H2011" s="1771"/>
      <c r="I2011" s="1778"/>
      <c r="J2011" s="1771"/>
      <c r="K2011" s="1771"/>
      <c r="L2011" s="1771"/>
      <c r="M2011" s="1771"/>
      <c r="N2011" s="1771"/>
      <c r="O2011" s="1771"/>
      <c r="P2011" s="1771"/>
      <c r="Q2011" s="1766"/>
      <c r="R2011" s="1766"/>
      <c r="S2011" s="1696"/>
      <c r="T2011" s="1696"/>
      <c r="U2011" s="1772"/>
      <c r="V2011" s="1696"/>
      <c r="W2011" s="1772"/>
      <c r="X2011" s="1696"/>
      <c r="Y2011" s="1696"/>
      <c r="Z2011" s="1773"/>
    </row>
    <row r="2012">
      <c r="A2012" s="1771"/>
      <c r="B2012" s="1777"/>
      <c r="C2012" s="1771"/>
      <c r="D2012" s="1771"/>
      <c r="E2012" s="1770"/>
      <c r="F2012" s="1771"/>
      <c r="G2012" s="1770"/>
      <c r="H2012" s="1771"/>
      <c r="I2012" s="1778"/>
      <c r="J2012" s="1771"/>
      <c r="K2012" s="1771"/>
      <c r="L2012" s="1771"/>
      <c r="M2012" s="1771"/>
      <c r="N2012" s="1771"/>
      <c r="O2012" s="1771"/>
      <c r="P2012" s="1771"/>
      <c r="Q2012" s="1766"/>
      <c r="R2012" s="1766"/>
      <c r="S2012" s="1696"/>
      <c r="T2012" s="1696"/>
      <c r="U2012" s="1772"/>
      <c r="V2012" s="1696"/>
      <c r="W2012" s="1772"/>
      <c r="X2012" s="1696"/>
      <c r="Y2012" s="1696"/>
      <c r="Z2012" s="1773"/>
    </row>
    <row r="2013">
      <c r="A2013" s="1771"/>
      <c r="B2013" s="1777"/>
      <c r="C2013" s="1771"/>
      <c r="D2013" s="1771"/>
      <c r="E2013" s="1770"/>
      <c r="F2013" s="1771"/>
      <c r="G2013" s="1770"/>
      <c r="H2013" s="1771"/>
      <c r="I2013" s="1778"/>
      <c r="J2013" s="1771"/>
      <c r="K2013" s="1771"/>
      <c r="L2013" s="1771"/>
      <c r="M2013" s="1771"/>
      <c r="N2013" s="1779"/>
      <c r="O2013" s="1770"/>
      <c r="P2013" s="1771"/>
      <c r="Q2013" s="1766"/>
      <c r="R2013" s="1766"/>
      <c r="S2013" s="1696"/>
      <c r="T2013" s="1696"/>
      <c r="U2013" s="1772"/>
      <c r="V2013" s="1696"/>
      <c r="W2013" s="1772"/>
      <c r="X2013" s="1696"/>
      <c r="Y2013" s="1696"/>
      <c r="Z2013" s="1773"/>
    </row>
    <row r="2014">
      <c r="A2014" s="1771"/>
      <c r="B2014" s="1777"/>
      <c r="C2014" s="1771"/>
      <c r="D2014" s="1771"/>
      <c r="E2014" s="1770"/>
      <c r="F2014" s="1771"/>
      <c r="G2014" s="1771"/>
      <c r="H2014" s="1771"/>
      <c r="I2014" s="1778"/>
      <c r="J2014" s="1771"/>
      <c r="K2014" s="1771"/>
      <c r="L2014" s="1771"/>
      <c r="M2014" s="1771"/>
      <c r="N2014" s="1771"/>
      <c r="O2014" s="1771"/>
      <c r="P2014" s="1771"/>
      <c r="Q2014" s="1766"/>
      <c r="R2014" s="1766"/>
      <c r="S2014" s="1696"/>
      <c r="T2014" s="1696"/>
      <c r="U2014" s="1772"/>
      <c r="V2014" s="1696"/>
      <c r="W2014" s="1772"/>
      <c r="X2014" s="1696"/>
      <c r="Y2014" s="1696"/>
      <c r="Z2014" s="1773"/>
    </row>
    <row r="2015">
      <c r="A2015" s="1771"/>
      <c r="B2015" s="1777"/>
      <c r="C2015" s="1771"/>
      <c r="D2015" s="1771"/>
      <c r="E2015" s="1770"/>
      <c r="F2015" s="1771"/>
      <c r="G2015" s="1771"/>
      <c r="H2015" s="1771"/>
      <c r="I2015" s="1770"/>
      <c r="J2015" s="1771"/>
      <c r="K2015" s="1771"/>
      <c r="L2015" s="1771"/>
      <c r="M2015" s="1771"/>
      <c r="N2015" s="1771"/>
      <c r="O2015" s="1771"/>
      <c r="P2015" s="1771"/>
      <c r="Q2015" s="1766"/>
      <c r="R2015" s="1766"/>
      <c r="S2015" s="1696"/>
      <c r="T2015" s="1696"/>
      <c r="U2015" s="1772"/>
      <c r="V2015" s="1696"/>
      <c r="W2015" s="1772"/>
      <c r="X2015" s="1696"/>
      <c r="Y2015" s="1696"/>
      <c r="Z2015" s="1773"/>
    </row>
    <row r="2016">
      <c r="A2016" s="1771"/>
      <c r="B2016" s="1777"/>
      <c r="C2016" s="1771"/>
      <c r="D2016" s="1771"/>
      <c r="E2016" s="1770"/>
      <c r="F2016" s="1771"/>
      <c r="G2016" s="1771"/>
      <c r="H2016" s="1771"/>
      <c r="I2016" s="1778"/>
      <c r="J2016" s="1771"/>
      <c r="K2016" s="1771"/>
      <c r="L2016" s="1771"/>
      <c r="M2016" s="1771"/>
      <c r="N2016" s="1771"/>
      <c r="O2016" s="1771"/>
      <c r="P2016" s="1771"/>
      <c r="Q2016" s="1766"/>
      <c r="R2016" s="1766"/>
      <c r="S2016" s="1696"/>
      <c r="T2016" s="1696"/>
      <c r="U2016" s="1772"/>
      <c r="V2016" s="1696"/>
      <c r="W2016" s="1772"/>
      <c r="X2016" s="1696"/>
      <c r="Y2016" s="1696"/>
      <c r="Z2016" s="1773"/>
    </row>
    <row r="2017">
      <c r="A2017" s="1771"/>
      <c r="B2017" s="1777"/>
      <c r="C2017" s="1771"/>
      <c r="D2017" s="1771"/>
      <c r="E2017" s="1770"/>
      <c r="F2017" s="1771"/>
      <c r="G2017" s="1771"/>
      <c r="H2017" s="1771"/>
      <c r="I2017" s="1778"/>
      <c r="J2017" s="1771"/>
      <c r="K2017" s="1771"/>
      <c r="L2017" s="1771"/>
      <c r="M2017" s="1771"/>
      <c r="N2017" s="1771"/>
      <c r="O2017" s="1771"/>
      <c r="P2017" s="1771"/>
      <c r="Q2017" s="1766"/>
      <c r="R2017" s="1766"/>
      <c r="S2017" s="1696"/>
      <c r="T2017" s="1696"/>
      <c r="U2017" s="1772"/>
      <c r="V2017" s="1696"/>
      <c r="W2017" s="1772"/>
      <c r="X2017" s="1696"/>
      <c r="Y2017" s="1696"/>
      <c r="Z2017" s="1773"/>
    </row>
    <row r="2018">
      <c r="A2018" s="1771"/>
      <c r="B2018" s="1777"/>
      <c r="C2018" s="1771"/>
      <c r="D2018" s="1771"/>
      <c r="E2018" s="1770"/>
      <c r="F2018" s="1771"/>
      <c r="G2018" s="1771"/>
      <c r="H2018" s="1771"/>
      <c r="I2018" s="1778"/>
      <c r="J2018" s="1771"/>
      <c r="K2018" s="1771"/>
      <c r="L2018" s="1771"/>
      <c r="M2018" s="1771"/>
      <c r="N2018" s="1771"/>
      <c r="O2018" s="1771"/>
      <c r="P2018" s="1771"/>
      <c r="Q2018" s="1766"/>
      <c r="R2018" s="1766"/>
      <c r="S2018" s="1696"/>
      <c r="T2018" s="1696"/>
      <c r="U2018" s="1772"/>
      <c r="V2018" s="1696"/>
      <c r="W2018" s="1772"/>
      <c r="X2018" s="1696"/>
      <c r="Y2018" s="1696"/>
      <c r="Z2018" s="1773"/>
    </row>
    <row r="2019">
      <c r="A2019" s="1771"/>
      <c r="B2019" s="1777"/>
      <c r="C2019" s="1771"/>
      <c r="D2019" s="1771"/>
      <c r="E2019" s="1770"/>
      <c r="F2019" s="1771"/>
      <c r="G2019" s="1770"/>
      <c r="H2019" s="1771"/>
      <c r="I2019" s="1778"/>
      <c r="J2019" s="1771"/>
      <c r="K2019" s="1771"/>
      <c r="L2019" s="1771"/>
      <c r="M2019" s="1771"/>
      <c r="N2019" s="1779"/>
      <c r="O2019" s="1770"/>
      <c r="P2019" s="1771"/>
      <c r="Q2019" s="1766"/>
      <c r="R2019" s="1766"/>
      <c r="S2019" s="1696"/>
      <c r="T2019" s="1696"/>
      <c r="U2019" s="1772"/>
      <c r="V2019" s="1696"/>
      <c r="W2019" s="1772"/>
      <c r="X2019" s="1696"/>
      <c r="Y2019" s="1696"/>
      <c r="Z2019" s="1773"/>
    </row>
    <row r="2020">
      <c r="A2020" s="1771"/>
      <c r="B2020" s="1777"/>
      <c r="C2020" s="1770"/>
      <c r="D2020" s="1771"/>
      <c r="E2020" s="1770"/>
      <c r="F2020" s="1771"/>
      <c r="G2020" s="1771"/>
      <c r="H2020" s="1771"/>
      <c r="I2020" s="1778"/>
      <c r="J2020" s="1771"/>
      <c r="K2020" s="1771"/>
      <c r="L2020" s="1771"/>
      <c r="M2020" s="1771"/>
      <c r="N2020" s="1771"/>
      <c r="O2020" s="1771"/>
      <c r="P2020" s="1771"/>
      <c r="Q2020" s="1766"/>
      <c r="R2020" s="1766"/>
      <c r="S2020" s="1696"/>
      <c r="T2020" s="1696"/>
      <c r="U2020" s="1772"/>
      <c r="V2020" s="1696"/>
      <c r="W2020" s="1772"/>
      <c r="X2020" s="1696"/>
      <c r="Y2020" s="1696"/>
      <c r="Z2020" s="1773"/>
    </row>
    <row r="2021">
      <c r="A2021" s="1771"/>
      <c r="B2021" s="1777"/>
      <c r="C2021" s="1771"/>
      <c r="D2021" s="1771"/>
      <c r="E2021" s="1770"/>
      <c r="F2021" s="1771"/>
      <c r="G2021" s="1771"/>
      <c r="H2021" s="1771"/>
      <c r="I2021" s="1778"/>
      <c r="J2021" s="1771"/>
      <c r="K2021" s="1771"/>
      <c r="L2021" s="1771"/>
      <c r="M2021" s="1771"/>
      <c r="N2021" s="1771"/>
      <c r="O2021" s="1771"/>
      <c r="P2021" s="1771"/>
      <c r="Q2021" s="1766"/>
      <c r="R2021" s="1766"/>
      <c r="S2021" s="1696"/>
      <c r="T2021" s="1696"/>
      <c r="U2021" s="1772"/>
      <c r="V2021" s="1696"/>
      <c r="W2021" s="1772"/>
      <c r="X2021" s="1696"/>
      <c r="Y2021" s="1696"/>
      <c r="Z2021" s="1773"/>
    </row>
    <row r="2022">
      <c r="A2022" s="1771"/>
      <c r="B2022" s="1777"/>
      <c r="C2022" s="1771"/>
      <c r="D2022" s="1771"/>
      <c r="E2022" s="1770"/>
      <c r="F2022" s="1771"/>
      <c r="G2022" s="1771"/>
      <c r="H2022" s="1771"/>
      <c r="I2022" s="1778"/>
      <c r="J2022" s="1771"/>
      <c r="K2022" s="1771"/>
      <c r="L2022" s="1771"/>
      <c r="M2022" s="1771"/>
      <c r="N2022" s="1771"/>
      <c r="O2022" s="1771"/>
      <c r="P2022" s="1771"/>
      <c r="Q2022" s="1766"/>
      <c r="R2022" s="1766"/>
      <c r="S2022" s="1696"/>
      <c r="T2022" s="1696"/>
      <c r="U2022" s="1772"/>
      <c r="V2022" s="1696"/>
      <c r="W2022" s="1772"/>
      <c r="X2022" s="1696"/>
      <c r="Y2022" s="1696"/>
      <c r="Z2022" s="1773"/>
    </row>
    <row r="2023">
      <c r="A2023" s="1771"/>
      <c r="B2023" s="1777"/>
      <c r="C2023" s="1771"/>
      <c r="D2023" s="1771"/>
      <c r="E2023" s="1770"/>
      <c r="F2023" s="1771"/>
      <c r="G2023" s="1777"/>
      <c r="H2023" s="1771"/>
      <c r="I2023" s="1778"/>
      <c r="J2023" s="1771"/>
      <c r="K2023" s="1771"/>
      <c r="L2023" s="1771"/>
      <c r="M2023" s="1771"/>
      <c r="N2023" s="1771"/>
      <c r="O2023" s="1771"/>
      <c r="P2023" s="1771"/>
      <c r="Q2023" s="1766"/>
      <c r="R2023" s="1766"/>
      <c r="S2023" s="1696"/>
      <c r="T2023" s="1696"/>
      <c r="U2023" s="1772"/>
      <c r="V2023" s="1696"/>
      <c r="W2023" s="1772"/>
      <c r="X2023" s="1696"/>
      <c r="Y2023" s="1696"/>
      <c r="Z2023" s="1773"/>
    </row>
    <row r="2024">
      <c r="A2024" s="1771"/>
      <c r="B2024" s="1777"/>
      <c r="C2024" s="1771"/>
      <c r="D2024" s="1771"/>
      <c r="E2024" s="1770"/>
      <c r="F2024" s="1771"/>
      <c r="G2024" s="1770"/>
      <c r="H2024" s="1771"/>
      <c r="I2024" s="1778"/>
      <c r="J2024" s="1771"/>
      <c r="K2024" s="1771"/>
      <c r="L2024" s="1771"/>
      <c r="M2024" s="1771"/>
      <c r="N2024" s="1779"/>
      <c r="O2024" s="1770"/>
      <c r="P2024" s="1771"/>
      <c r="Q2024" s="1766"/>
      <c r="R2024" s="1766"/>
      <c r="S2024" s="1696"/>
      <c r="T2024" s="1696"/>
      <c r="U2024" s="1772"/>
      <c r="V2024" s="1696"/>
      <c r="W2024" s="1772"/>
      <c r="X2024" s="1696"/>
      <c r="Y2024" s="1696"/>
      <c r="Z2024" s="1773"/>
    </row>
    <row r="2025">
      <c r="A2025" s="1771"/>
      <c r="B2025" s="1777"/>
      <c r="C2025" s="1771"/>
      <c r="D2025" s="1771"/>
      <c r="E2025" s="1770"/>
      <c r="F2025" s="1771"/>
      <c r="G2025" s="1770"/>
      <c r="H2025" s="1771"/>
      <c r="I2025" s="1778"/>
      <c r="J2025" s="1771"/>
      <c r="K2025" s="1771"/>
      <c r="L2025" s="1771"/>
      <c r="M2025" s="1771"/>
      <c r="N2025" s="1779"/>
      <c r="O2025" s="1770"/>
      <c r="P2025" s="1771"/>
      <c r="Q2025" s="1766"/>
      <c r="R2025" s="1766"/>
      <c r="S2025" s="1696"/>
      <c r="T2025" s="1696"/>
      <c r="U2025" s="1772"/>
      <c r="V2025" s="1696"/>
      <c r="W2025" s="1772"/>
      <c r="X2025" s="1696"/>
      <c r="Y2025" s="1696"/>
      <c r="Z2025" s="1773"/>
    </row>
    <row r="2026">
      <c r="A2026" s="1771"/>
      <c r="B2026" s="1777"/>
      <c r="C2026" s="1771"/>
      <c r="D2026" s="1771"/>
      <c r="E2026" s="1770"/>
      <c r="F2026" s="1771"/>
      <c r="G2026" s="1770"/>
      <c r="H2026" s="1771"/>
      <c r="I2026" s="1778"/>
      <c r="J2026" s="1771"/>
      <c r="K2026" s="1771"/>
      <c r="L2026" s="1771"/>
      <c r="M2026" s="1771"/>
      <c r="N2026" s="1779"/>
      <c r="O2026" s="1770"/>
      <c r="P2026" s="1771"/>
      <c r="Q2026" s="1766"/>
      <c r="R2026" s="1766"/>
      <c r="S2026" s="1696"/>
      <c r="T2026" s="1696"/>
      <c r="U2026" s="1772"/>
      <c r="V2026" s="1696"/>
      <c r="W2026" s="1772"/>
      <c r="X2026" s="1696"/>
      <c r="Y2026" s="1696"/>
      <c r="Z2026" s="1773"/>
    </row>
    <row r="2027">
      <c r="A2027" s="1771"/>
      <c r="B2027" s="1777"/>
      <c r="C2027" s="1771"/>
      <c r="D2027" s="1771"/>
      <c r="E2027" s="1770"/>
      <c r="F2027" s="1771"/>
      <c r="G2027" s="1771"/>
      <c r="H2027" s="1771"/>
      <c r="I2027" s="1778"/>
      <c r="J2027" s="1771"/>
      <c r="K2027" s="1771"/>
      <c r="L2027" s="1771"/>
      <c r="M2027" s="1771"/>
      <c r="N2027" s="1771"/>
      <c r="O2027" s="1771"/>
      <c r="P2027" s="1771"/>
      <c r="Q2027" s="1766"/>
      <c r="R2027" s="1766"/>
      <c r="S2027" s="1696"/>
      <c r="T2027" s="1696"/>
      <c r="U2027" s="1772"/>
      <c r="V2027" s="1696"/>
      <c r="W2027" s="1772"/>
      <c r="X2027" s="1696"/>
      <c r="Y2027" s="1696"/>
      <c r="Z2027" s="1773"/>
    </row>
    <row r="2028">
      <c r="A2028" s="1771"/>
      <c r="B2028" s="1777"/>
      <c r="C2028" s="1771"/>
      <c r="D2028" s="1771"/>
      <c r="E2028" s="1770"/>
      <c r="F2028" s="1771"/>
      <c r="G2028" s="1770"/>
      <c r="H2028" s="1771"/>
      <c r="I2028" s="1778"/>
      <c r="J2028" s="1771"/>
      <c r="K2028" s="1771"/>
      <c r="L2028" s="1771"/>
      <c r="M2028" s="1771"/>
      <c r="N2028" s="1779"/>
      <c r="O2028" s="1770"/>
      <c r="P2028" s="1771"/>
      <c r="Q2028" s="1766"/>
      <c r="R2028" s="1766"/>
      <c r="S2028" s="1696"/>
      <c r="T2028" s="1696"/>
      <c r="U2028" s="1772"/>
      <c r="V2028" s="1696"/>
      <c r="W2028" s="1772"/>
      <c r="X2028" s="1696"/>
      <c r="Y2028" s="1696"/>
      <c r="Z2028" s="1773"/>
    </row>
    <row r="2029">
      <c r="A2029" s="1771"/>
      <c r="B2029" s="1777"/>
      <c r="C2029" s="1771"/>
      <c r="D2029" s="1771"/>
      <c r="E2029" s="1770"/>
      <c r="F2029" s="1771"/>
      <c r="G2029" s="1771"/>
      <c r="H2029" s="1771"/>
      <c r="I2029" s="1778"/>
      <c r="J2029" s="1771"/>
      <c r="K2029" s="1771"/>
      <c r="L2029" s="1771"/>
      <c r="M2029" s="1771"/>
      <c r="N2029" s="1771"/>
      <c r="O2029" s="1771"/>
      <c r="P2029" s="1771"/>
      <c r="Q2029" s="1766"/>
      <c r="R2029" s="1766"/>
      <c r="S2029" s="1696"/>
      <c r="T2029" s="1696"/>
      <c r="U2029" s="1772"/>
      <c r="V2029" s="1696"/>
      <c r="W2029" s="1772"/>
      <c r="X2029" s="1696"/>
      <c r="Y2029" s="1696"/>
      <c r="Z2029" s="1773"/>
    </row>
    <row r="2030">
      <c r="A2030" s="1771"/>
      <c r="B2030" s="1777"/>
      <c r="C2030" s="1771"/>
      <c r="D2030" s="1771"/>
      <c r="E2030" s="1770"/>
      <c r="F2030" s="1771"/>
      <c r="G2030" s="1771"/>
      <c r="H2030" s="1771"/>
      <c r="I2030" s="1778"/>
      <c r="J2030" s="1771"/>
      <c r="K2030" s="1771"/>
      <c r="L2030" s="1771"/>
      <c r="M2030" s="1771"/>
      <c r="N2030" s="1771"/>
      <c r="O2030" s="1771"/>
      <c r="P2030" s="1771"/>
      <c r="Q2030" s="1766"/>
      <c r="R2030" s="1766"/>
      <c r="S2030" s="1696"/>
      <c r="T2030" s="1696"/>
      <c r="U2030" s="1772"/>
      <c r="V2030" s="1696"/>
      <c r="W2030" s="1772"/>
      <c r="X2030" s="1696"/>
      <c r="Y2030" s="1696"/>
      <c r="Z2030" s="1773"/>
    </row>
    <row r="2031">
      <c r="A2031" s="1771"/>
      <c r="B2031" s="1777"/>
      <c r="C2031" s="1771"/>
      <c r="D2031" s="1771"/>
      <c r="E2031" s="1770"/>
      <c r="F2031" s="1771"/>
      <c r="G2031" s="1771"/>
      <c r="H2031" s="1771"/>
      <c r="I2031" s="1778"/>
      <c r="J2031" s="1771"/>
      <c r="K2031" s="1771"/>
      <c r="L2031" s="1771"/>
      <c r="M2031" s="1771"/>
      <c r="N2031" s="1771"/>
      <c r="O2031" s="1771"/>
      <c r="P2031" s="1771"/>
      <c r="Q2031" s="1766"/>
      <c r="R2031" s="1766"/>
      <c r="S2031" s="1696"/>
      <c r="T2031" s="1696"/>
      <c r="U2031" s="1772"/>
      <c r="V2031" s="1696"/>
      <c r="W2031" s="1772"/>
      <c r="X2031" s="1696"/>
      <c r="Y2031" s="1696"/>
      <c r="Z2031" s="1773"/>
    </row>
    <row r="2032">
      <c r="A2032" s="1771"/>
      <c r="B2032" s="1777"/>
      <c r="C2032" s="1771"/>
      <c r="D2032" s="1771"/>
      <c r="E2032" s="1770"/>
      <c r="F2032" s="1771"/>
      <c r="G2032" s="1770"/>
      <c r="H2032" s="1771"/>
      <c r="I2032" s="1778"/>
      <c r="J2032" s="1771"/>
      <c r="K2032" s="1771"/>
      <c r="L2032" s="1771"/>
      <c r="M2032" s="1771"/>
      <c r="N2032" s="1771"/>
      <c r="O2032" s="1771"/>
      <c r="P2032" s="1771"/>
      <c r="Q2032" s="1766"/>
      <c r="R2032" s="1766"/>
      <c r="S2032" s="1696"/>
      <c r="T2032" s="1696"/>
      <c r="U2032" s="1772"/>
      <c r="V2032" s="1696"/>
      <c r="W2032" s="1772"/>
      <c r="X2032" s="1696"/>
      <c r="Y2032" s="1696"/>
      <c r="Z2032" s="1773"/>
    </row>
    <row r="2033">
      <c r="A2033" s="1771"/>
      <c r="B2033" s="1777"/>
      <c r="C2033" s="1771"/>
      <c r="D2033" s="1771"/>
      <c r="E2033" s="1770"/>
      <c r="F2033" s="1771"/>
      <c r="G2033" s="1771"/>
      <c r="H2033" s="1771"/>
      <c r="I2033" s="1778"/>
      <c r="J2033" s="1771"/>
      <c r="K2033" s="1771"/>
      <c r="L2033" s="1771"/>
      <c r="M2033" s="1771"/>
      <c r="N2033" s="1771"/>
      <c r="O2033" s="1771"/>
      <c r="P2033" s="1771"/>
      <c r="Q2033" s="1766"/>
      <c r="R2033" s="1766"/>
      <c r="S2033" s="1696"/>
      <c r="T2033" s="1696"/>
      <c r="U2033" s="1772"/>
      <c r="V2033" s="1696"/>
      <c r="W2033" s="1772"/>
      <c r="X2033" s="1696"/>
      <c r="Y2033" s="1696"/>
      <c r="Z2033" s="1773"/>
    </row>
    <row r="2034">
      <c r="A2034" s="1771"/>
      <c r="B2034" s="1777"/>
      <c r="C2034" s="1771"/>
      <c r="D2034" s="1771"/>
      <c r="E2034" s="1770"/>
      <c r="F2034" s="1771"/>
      <c r="G2034" s="1770"/>
      <c r="H2034" s="1771"/>
      <c r="I2034" s="1778"/>
      <c r="J2034" s="1771"/>
      <c r="K2034" s="1771"/>
      <c r="L2034" s="1771"/>
      <c r="M2034" s="1771"/>
      <c r="N2034" s="1771"/>
      <c r="O2034" s="1771"/>
      <c r="P2034" s="1771"/>
      <c r="Q2034" s="1766"/>
      <c r="R2034" s="1766"/>
      <c r="S2034" s="1696"/>
      <c r="T2034" s="1696"/>
      <c r="U2034" s="1772"/>
      <c r="V2034" s="1696"/>
      <c r="W2034" s="1772"/>
      <c r="X2034" s="1696"/>
      <c r="Y2034" s="1696"/>
      <c r="Z2034" s="1773"/>
    </row>
    <row r="2035">
      <c r="A2035" s="1771"/>
      <c r="B2035" s="1777"/>
      <c r="C2035" s="1771"/>
      <c r="D2035" s="1771"/>
      <c r="E2035" s="1770"/>
      <c r="F2035" s="1771"/>
      <c r="G2035" s="1770"/>
      <c r="H2035" s="1771"/>
      <c r="I2035" s="1778"/>
      <c r="J2035" s="1771"/>
      <c r="K2035" s="1771"/>
      <c r="L2035" s="1771"/>
      <c r="M2035" s="1771"/>
      <c r="N2035" s="1771"/>
      <c r="O2035" s="1771"/>
      <c r="P2035" s="1771"/>
      <c r="Q2035" s="1766"/>
      <c r="R2035" s="1766"/>
      <c r="S2035" s="1696"/>
      <c r="T2035" s="1696"/>
      <c r="U2035" s="1772"/>
      <c r="V2035" s="1696"/>
      <c r="W2035" s="1772"/>
      <c r="X2035" s="1696"/>
      <c r="Y2035" s="1696"/>
      <c r="Z2035" s="1773"/>
    </row>
    <row r="2036">
      <c r="A2036" s="1771"/>
      <c r="B2036" s="1777"/>
      <c r="C2036" s="1771"/>
      <c r="D2036" s="1771"/>
      <c r="E2036" s="1770"/>
      <c r="F2036" s="1771"/>
      <c r="G2036" s="1770"/>
      <c r="H2036" s="1771"/>
      <c r="I2036" s="1778"/>
      <c r="J2036" s="1771"/>
      <c r="K2036" s="1771"/>
      <c r="L2036" s="1771"/>
      <c r="M2036" s="1771"/>
      <c r="N2036" s="1771"/>
      <c r="O2036" s="1771"/>
      <c r="P2036" s="1771"/>
      <c r="Q2036" s="1766"/>
      <c r="R2036" s="1766"/>
      <c r="S2036" s="1696"/>
      <c r="T2036" s="1696"/>
      <c r="U2036" s="1772"/>
      <c r="V2036" s="1696"/>
      <c r="W2036" s="1772"/>
      <c r="X2036" s="1696"/>
      <c r="Y2036" s="1696"/>
      <c r="Z2036" s="1773"/>
    </row>
    <row r="2037">
      <c r="A2037" s="1771"/>
      <c r="B2037" s="1777"/>
      <c r="C2037" s="1771"/>
      <c r="D2037" s="1771"/>
      <c r="E2037" s="1770"/>
      <c r="F2037" s="1771"/>
      <c r="G2037" s="1770"/>
      <c r="H2037" s="1771"/>
      <c r="I2037" s="1778"/>
      <c r="J2037" s="1771"/>
      <c r="K2037" s="1771"/>
      <c r="L2037" s="1771"/>
      <c r="M2037" s="1771"/>
      <c r="N2037" s="1779"/>
      <c r="O2037" s="1770"/>
      <c r="P2037" s="1771"/>
      <c r="Q2037" s="1766"/>
      <c r="R2037" s="1766"/>
      <c r="S2037" s="1696"/>
      <c r="T2037" s="1696"/>
      <c r="U2037" s="1772"/>
      <c r="V2037" s="1696"/>
      <c r="W2037" s="1772"/>
      <c r="X2037" s="1696"/>
      <c r="Y2037" s="1696"/>
      <c r="Z2037" s="1773"/>
    </row>
    <row r="2038">
      <c r="A2038" s="1771"/>
      <c r="B2038" s="1777"/>
      <c r="C2038" s="1771"/>
      <c r="D2038" s="1771"/>
      <c r="E2038" s="1770"/>
      <c r="F2038" s="1771"/>
      <c r="G2038" s="1771"/>
      <c r="H2038" s="1771"/>
      <c r="I2038" s="1778"/>
      <c r="J2038" s="1771"/>
      <c r="K2038" s="1771"/>
      <c r="L2038" s="1771"/>
      <c r="M2038" s="1771"/>
      <c r="N2038" s="1771"/>
      <c r="O2038" s="1771"/>
      <c r="P2038" s="1771"/>
      <c r="Q2038" s="1766"/>
      <c r="R2038" s="1766"/>
      <c r="S2038" s="1696"/>
      <c r="T2038" s="1696"/>
      <c r="U2038" s="1772"/>
      <c r="V2038" s="1696"/>
      <c r="W2038" s="1772"/>
      <c r="X2038" s="1696"/>
      <c r="Y2038" s="1696"/>
      <c r="Z2038" s="1773"/>
    </row>
    <row r="2039">
      <c r="A2039" s="1771"/>
      <c r="B2039" s="1777"/>
      <c r="C2039" s="1771"/>
      <c r="D2039" s="1771"/>
      <c r="E2039" s="1770"/>
      <c r="F2039" s="1771"/>
      <c r="G2039" s="1771"/>
      <c r="H2039" s="1771"/>
      <c r="I2039" s="1778"/>
      <c r="J2039" s="1771"/>
      <c r="K2039" s="1771"/>
      <c r="L2039" s="1771"/>
      <c r="M2039" s="1771"/>
      <c r="N2039" s="1771"/>
      <c r="O2039" s="1771"/>
      <c r="P2039" s="1771"/>
      <c r="Q2039" s="1766"/>
      <c r="R2039" s="1766"/>
      <c r="S2039" s="1696"/>
      <c r="T2039" s="1696"/>
      <c r="U2039" s="1772"/>
      <c r="V2039" s="1696"/>
      <c r="W2039" s="1772"/>
      <c r="X2039" s="1696"/>
      <c r="Y2039" s="1696"/>
      <c r="Z2039" s="1773"/>
    </row>
    <row r="2040">
      <c r="A2040" s="1771"/>
      <c r="B2040" s="1777"/>
      <c r="C2040" s="1771"/>
      <c r="D2040" s="1771"/>
      <c r="E2040" s="1770"/>
      <c r="F2040" s="1771"/>
      <c r="G2040" s="1770"/>
      <c r="H2040" s="1771"/>
      <c r="I2040" s="1778"/>
      <c r="J2040" s="1771"/>
      <c r="K2040" s="1771"/>
      <c r="L2040" s="1771"/>
      <c r="M2040" s="1771"/>
      <c r="N2040" s="1779"/>
      <c r="O2040" s="1770"/>
      <c r="P2040" s="1771"/>
      <c r="Q2040" s="1766"/>
      <c r="R2040" s="1766"/>
      <c r="S2040" s="1696"/>
      <c r="T2040" s="1696"/>
      <c r="U2040" s="1772"/>
      <c r="V2040" s="1696"/>
      <c r="W2040" s="1772"/>
      <c r="X2040" s="1696"/>
      <c r="Y2040" s="1696"/>
      <c r="Z2040" s="1773"/>
    </row>
    <row r="2041">
      <c r="A2041" s="1771"/>
      <c r="B2041" s="1777"/>
      <c r="C2041" s="1771"/>
      <c r="D2041" s="1771"/>
      <c r="E2041" s="1770"/>
      <c r="F2041" s="1771"/>
      <c r="G2041" s="1770"/>
      <c r="H2041" s="1771"/>
      <c r="I2041" s="1778"/>
      <c r="J2041" s="1771"/>
      <c r="K2041" s="1771"/>
      <c r="L2041" s="1771"/>
      <c r="M2041" s="1771"/>
      <c r="N2041" s="1771"/>
      <c r="O2041" s="1771"/>
      <c r="P2041" s="1771"/>
      <c r="Q2041" s="1766"/>
      <c r="R2041" s="1766"/>
      <c r="S2041" s="1696"/>
      <c r="T2041" s="1696"/>
      <c r="U2041" s="1772"/>
      <c r="V2041" s="1696"/>
      <c r="W2041" s="1772"/>
      <c r="X2041" s="1696"/>
      <c r="Y2041" s="1696"/>
      <c r="Z2041" s="1773"/>
    </row>
    <row r="2042">
      <c r="A2042" s="1771"/>
      <c r="B2042" s="1777"/>
      <c r="C2042" s="1771"/>
      <c r="D2042" s="1771"/>
      <c r="E2042" s="1770"/>
      <c r="F2042" s="1771"/>
      <c r="G2042" s="1770"/>
      <c r="H2042" s="1771"/>
      <c r="I2042" s="1778"/>
      <c r="J2042" s="1771"/>
      <c r="K2042" s="1771"/>
      <c r="L2042" s="1771"/>
      <c r="M2042" s="1771"/>
      <c r="N2042" s="1779"/>
      <c r="O2042" s="1770"/>
      <c r="P2042" s="1771"/>
      <c r="Q2042" s="1766"/>
      <c r="R2042" s="1766"/>
      <c r="S2042" s="1696"/>
      <c r="T2042" s="1696"/>
      <c r="U2042" s="1772"/>
      <c r="V2042" s="1696"/>
      <c r="W2042" s="1772"/>
      <c r="X2042" s="1696"/>
      <c r="Y2042" s="1696"/>
      <c r="Z2042" s="1773"/>
    </row>
    <row r="2043">
      <c r="A2043" s="1771"/>
      <c r="B2043" s="1777"/>
      <c r="C2043" s="1771"/>
      <c r="D2043" s="1771"/>
      <c r="E2043" s="1770"/>
      <c r="F2043" s="1771"/>
      <c r="G2043" s="1770"/>
      <c r="H2043" s="1771"/>
      <c r="I2043" s="1778"/>
      <c r="J2043" s="1771"/>
      <c r="K2043" s="1771"/>
      <c r="L2043" s="1771"/>
      <c r="M2043" s="1771"/>
      <c r="N2043" s="1779"/>
      <c r="O2043" s="1770"/>
      <c r="P2043" s="1771"/>
      <c r="Q2043" s="1766"/>
      <c r="R2043" s="1766"/>
      <c r="S2043" s="1696"/>
      <c r="T2043" s="1696"/>
      <c r="U2043" s="1772"/>
      <c r="V2043" s="1696"/>
      <c r="W2043" s="1772"/>
      <c r="X2043" s="1696"/>
      <c r="Y2043" s="1696"/>
      <c r="Z2043" s="1773"/>
    </row>
    <row r="2044">
      <c r="A2044" s="1771"/>
      <c r="B2044" s="1777"/>
      <c r="C2044" s="1771"/>
      <c r="D2044" s="1771"/>
      <c r="E2044" s="1770"/>
      <c r="F2044" s="1771"/>
      <c r="G2044" s="1770"/>
      <c r="H2044" s="1771"/>
      <c r="I2044" s="1778"/>
      <c r="J2044" s="1771"/>
      <c r="K2044" s="1771"/>
      <c r="L2044" s="1771"/>
      <c r="M2044" s="1771"/>
      <c r="N2044" s="1779"/>
      <c r="O2044" s="1770"/>
      <c r="P2044" s="1771"/>
      <c r="Q2044" s="1766"/>
      <c r="R2044" s="1766"/>
      <c r="S2044" s="1696"/>
      <c r="T2044" s="1696"/>
      <c r="U2044" s="1772"/>
      <c r="V2044" s="1696"/>
      <c r="W2044" s="1772"/>
      <c r="X2044" s="1696"/>
      <c r="Y2044" s="1696"/>
      <c r="Z2044" s="1773"/>
    </row>
    <row r="2045">
      <c r="A2045" s="1771"/>
      <c r="B2045" s="1777"/>
      <c r="C2045" s="1771"/>
      <c r="D2045" s="1771"/>
      <c r="E2045" s="1770"/>
      <c r="F2045" s="1771"/>
      <c r="G2045" s="1771"/>
      <c r="H2045" s="1771"/>
      <c r="I2045" s="1778"/>
      <c r="J2045" s="1771"/>
      <c r="K2045" s="1771"/>
      <c r="L2045" s="1771"/>
      <c r="M2045" s="1771"/>
      <c r="N2045" s="1779"/>
      <c r="O2045" s="1770"/>
      <c r="P2045" s="1771"/>
      <c r="Q2045" s="1766"/>
      <c r="R2045" s="1766"/>
      <c r="S2045" s="1696"/>
      <c r="T2045" s="1696"/>
      <c r="U2045" s="1772"/>
      <c r="V2045" s="1696"/>
      <c r="W2045" s="1772"/>
      <c r="X2045" s="1696"/>
      <c r="Y2045" s="1696"/>
      <c r="Z2045" s="1773"/>
    </row>
    <row r="2046">
      <c r="A2046" s="1771"/>
      <c r="B2046" s="1777"/>
      <c r="C2046" s="1771"/>
      <c r="D2046" s="1771"/>
      <c r="E2046" s="1770"/>
      <c r="F2046" s="1771"/>
      <c r="G2046" s="1770"/>
      <c r="H2046" s="1771"/>
      <c r="I2046" s="1778"/>
      <c r="J2046" s="1771"/>
      <c r="K2046" s="1771"/>
      <c r="L2046" s="1771"/>
      <c r="M2046" s="1771"/>
      <c r="N2046" s="1779"/>
      <c r="O2046" s="1770"/>
      <c r="P2046" s="1771"/>
      <c r="Q2046" s="1766"/>
      <c r="R2046" s="1766"/>
      <c r="S2046" s="1696"/>
      <c r="T2046" s="1696"/>
      <c r="U2046" s="1772"/>
      <c r="V2046" s="1696"/>
      <c r="W2046" s="1772"/>
      <c r="X2046" s="1696"/>
      <c r="Y2046" s="1696"/>
      <c r="Z2046" s="1773"/>
    </row>
    <row r="2047">
      <c r="A2047" s="1771"/>
      <c r="B2047" s="1777"/>
      <c r="C2047" s="1771"/>
      <c r="D2047" s="1771"/>
      <c r="E2047" s="1770"/>
      <c r="F2047" s="1771"/>
      <c r="G2047" s="1770"/>
      <c r="H2047" s="1771"/>
      <c r="I2047" s="1778"/>
      <c r="J2047" s="1771"/>
      <c r="K2047" s="1771"/>
      <c r="L2047" s="1771"/>
      <c r="M2047" s="1771"/>
      <c r="N2047" s="1771"/>
      <c r="O2047" s="1770"/>
      <c r="P2047" s="1771"/>
      <c r="Q2047" s="1766"/>
      <c r="R2047" s="1766"/>
      <c r="S2047" s="1696"/>
      <c r="T2047" s="1696"/>
      <c r="U2047" s="1772"/>
      <c r="V2047" s="1696"/>
      <c r="W2047" s="1772"/>
      <c r="X2047" s="1696"/>
      <c r="Y2047" s="1696"/>
      <c r="Z2047" s="1773"/>
    </row>
    <row r="2048">
      <c r="A2048" s="1771"/>
      <c r="B2048" s="1777"/>
      <c r="C2048" s="1771"/>
      <c r="D2048" s="1771"/>
      <c r="E2048" s="1770"/>
      <c r="F2048" s="1771"/>
      <c r="G2048" s="1771"/>
      <c r="H2048" s="1771"/>
      <c r="I2048" s="1778"/>
      <c r="J2048" s="1771"/>
      <c r="K2048" s="1771"/>
      <c r="L2048" s="1771"/>
      <c r="M2048" s="1771"/>
      <c r="N2048" s="1779"/>
      <c r="O2048" s="1770"/>
      <c r="P2048" s="1771"/>
      <c r="Q2048" s="1766"/>
      <c r="R2048" s="1766"/>
      <c r="S2048" s="1696"/>
      <c r="T2048" s="1696"/>
      <c r="U2048" s="1772"/>
      <c r="V2048" s="1696"/>
      <c r="W2048" s="1772"/>
      <c r="X2048" s="1696"/>
      <c r="Y2048" s="1696"/>
      <c r="Z2048" s="1773"/>
    </row>
    <row r="2049">
      <c r="A2049" s="1771"/>
      <c r="B2049" s="1777"/>
      <c r="C2049" s="1771"/>
      <c r="D2049" s="1771"/>
      <c r="E2049" s="1770"/>
      <c r="F2049" s="1771"/>
      <c r="G2049" s="1771"/>
      <c r="H2049" s="1771"/>
      <c r="I2049" s="1778"/>
      <c r="J2049" s="1771"/>
      <c r="K2049" s="1771"/>
      <c r="L2049" s="1771"/>
      <c r="M2049" s="1771"/>
      <c r="N2049" s="1779"/>
      <c r="O2049" s="1770"/>
      <c r="P2049" s="1771"/>
      <c r="Q2049" s="1766"/>
      <c r="R2049" s="1766"/>
      <c r="S2049" s="1696"/>
      <c r="T2049" s="1696"/>
      <c r="U2049" s="1772"/>
      <c r="V2049" s="1696"/>
      <c r="W2049" s="1772"/>
      <c r="X2049" s="1696"/>
      <c r="Y2049" s="1696"/>
      <c r="Z2049" s="1773"/>
    </row>
    <row r="2050">
      <c r="A2050" s="1771"/>
      <c r="B2050" s="1777"/>
      <c r="C2050" s="1771"/>
      <c r="D2050" s="1771"/>
      <c r="E2050" s="1770"/>
      <c r="F2050" s="1771"/>
      <c r="G2050" s="1770"/>
      <c r="H2050" s="1771"/>
      <c r="I2050" s="1778"/>
      <c r="J2050" s="1771"/>
      <c r="K2050" s="1771"/>
      <c r="L2050" s="1771"/>
      <c r="M2050" s="1771"/>
      <c r="N2050" s="1779"/>
      <c r="O2050" s="1770"/>
      <c r="P2050" s="1771"/>
      <c r="Q2050" s="1766"/>
      <c r="R2050" s="1766"/>
      <c r="S2050" s="1696"/>
      <c r="T2050" s="1696"/>
      <c r="U2050" s="1772"/>
      <c r="V2050" s="1696"/>
      <c r="W2050" s="1772"/>
      <c r="X2050" s="1696"/>
      <c r="Y2050" s="1696"/>
      <c r="Z2050" s="1773"/>
    </row>
    <row r="2051">
      <c r="A2051" s="1771"/>
      <c r="B2051" s="1777"/>
      <c r="C2051" s="1771"/>
      <c r="D2051" s="1771"/>
      <c r="E2051" s="1770"/>
      <c r="F2051" s="1771"/>
      <c r="G2051" s="1770"/>
      <c r="H2051" s="1771"/>
      <c r="I2051" s="1778"/>
      <c r="J2051" s="1771"/>
      <c r="K2051" s="1771"/>
      <c r="L2051" s="1771"/>
      <c r="M2051" s="1771"/>
      <c r="N2051" s="1771"/>
      <c r="O2051" s="1771"/>
      <c r="P2051" s="1771"/>
      <c r="Q2051" s="1766"/>
      <c r="R2051" s="1766"/>
      <c r="S2051" s="1696"/>
      <c r="T2051" s="1696"/>
      <c r="U2051" s="1772"/>
      <c r="V2051" s="1696"/>
      <c r="W2051" s="1772"/>
      <c r="X2051" s="1696"/>
      <c r="Y2051" s="1696"/>
      <c r="Z2051" s="1773"/>
    </row>
    <row r="2052">
      <c r="A2052" s="1771"/>
      <c r="B2052" s="1777"/>
      <c r="C2052" s="1771"/>
      <c r="D2052" s="1771"/>
      <c r="E2052" s="1770"/>
      <c r="F2052" s="1771"/>
      <c r="G2052" s="1770"/>
      <c r="H2052" s="1771"/>
      <c r="I2052" s="1770"/>
      <c r="J2052" s="1771"/>
      <c r="K2052" s="1771"/>
      <c r="L2052" s="1771"/>
      <c r="M2052" s="1771"/>
      <c r="N2052" s="1779"/>
      <c r="O2052" s="1770"/>
      <c r="P2052" s="1771"/>
      <c r="Q2052" s="1766"/>
      <c r="R2052" s="1766"/>
      <c r="S2052" s="1696"/>
      <c r="T2052" s="1696"/>
      <c r="U2052" s="1772"/>
      <c r="V2052" s="1696"/>
      <c r="W2052" s="1772"/>
      <c r="X2052" s="1696"/>
      <c r="Y2052" s="1696"/>
      <c r="Z2052" s="1773"/>
    </row>
    <row r="2053">
      <c r="A2053" s="1771"/>
      <c r="B2053" s="1777"/>
      <c r="C2053" s="1771"/>
      <c r="D2053" s="1771"/>
      <c r="E2053" s="1770"/>
      <c r="F2053" s="1771"/>
      <c r="G2053" s="1770"/>
      <c r="H2053" s="1771"/>
      <c r="I2053" s="1778"/>
      <c r="J2053" s="1771"/>
      <c r="K2053" s="1771"/>
      <c r="L2053" s="1771"/>
      <c r="M2053" s="1771"/>
      <c r="N2053" s="1771"/>
      <c r="O2053" s="1771"/>
      <c r="P2053" s="1771"/>
      <c r="Q2053" s="1766"/>
      <c r="R2053" s="1766"/>
      <c r="S2053" s="1696"/>
      <c r="T2053" s="1696"/>
      <c r="U2053" s="1772"/>
      <c r="V2053" s="1696"/>
      <c r="W2053" s="1772"/>
      <c r="X2053" s="1696"/>
      <c r="Y2053" s="1696"/>
      <c r="Z2053" s="1773"/>
    </row>
    <row r="2054">
      <c r="A2054" s="1771"/>
      <c r="B2054" s="1777"/>
      <c r="C2054" s="1771"/>
      <c r="D2054" s="1771"/>
      <c r="E2054" s="1770"/>
      <c r="F2054" s="1771"/>
      <c r="G2054" s="1771"/>
      <c r="H2054" s="1771"/>
      <c r="I2054" s="1778"/>
      <c r="J2054" s="1771"/>
      <c r="K2054" s="1771"/>
      <c r="L2054" s="1771"/>
      <c r="M2054" s="1771"/>
      <c r="N2054" s="1771"/>
      <c r="O2054" s="1771"/>
      <c r="P2054" s="1771"/>
      <c r="Q2054" s="1766"/>
      <c r="R2054" s="1766"/>
      <c r="S2054" s="1696"/>
      <c r="T2054" s="1696"/>
      <c r="U2054" s="1772"/>
      <c r="V2054" s="1696"/>
      <c r="W2054" s="1772"/>
      <c r="X2054" s="1696"/>
      <c r="Y2054" s="1696"/>
      <c r="Z2054" s="1773"/>
    </row>
    <row r="2055">
      <c r="A2055" s="1771"/>
      <c r="B2055" s="1777"/>
      <c r="C2055" s="1771"/>
      <c r="D2055" s="1771"/>
      <c r="E2055" s="1770"/>
      <c r="F2055" s="1771"/>
      <c r="G2055" s="1770"/>
      <c r="H2055" s="1771"/>
      <c r="I2055" s="1778"/>
      <c r="J2055" s="1771"/>
      <c r="K2055" s="1771"/>
      <c r="L2055" s="1771"/>
      <c r="M2055" s="1771"/>
      <c r="N2055" s="1771"/>
      <c r="O2055" s="1771"/>
      <c r="P2055" s="1771"/>
      <c r="Q2055" s="1766"/>
      <c r="R2055" s="1766"/>
      <c r="S2055" s="1696"/>
      <c r="T2055" s="1696"/>
      <c r="U2055" s="1772"/>
      <c r="V2055" s="1696"/>
      <c r="W2055" s="1772"/>
      <c r="X2055" s="1696"/>
      <c r="Y2055" s="1696"/>
      <c r="Z2055" s="1773"/>
    </row>
    <row r="2056">
      <c r="A2056" s="1771"/>
      <c r="B2056" s="1777"/>
      <c r="C2056" s="1771"/>
      <c r="D2056" s="1771"/>
      <c r="E2056" s="1770"/>
      <c r="F2056" s="1771"/>
      <c r="G2056" s="1770"/>
      <c r="H2056" s="1771"/>
      <c r="I2056" s="1778"/>
      <c r="J2056" s="1771"/>
      <c r="K2056" s="1771"/>
      <c r="L2056" s="1771"/>
      <c r="M2056" s="1771"/>
      <c r="N2056" s="1771"/>
      <c r="O2056" s="1771"/>
      <c r="P2056" s="1771"/>
      <c r="Q2056" s="1766"/>
      <c r="R2056" s="1766"/>
      <c r="S2056" s="1696"/>
      <c r="T2056" s="1696"/>
      <c r="U2056" s="1772"/>
      <c r="V2056" s="1696"/>
      <c r="W2056" s="1772"/>
      <c r="X2056" s="1696"/>
      <c r="Y2056" s="1696"/>
      <c r="Z2056" s="1773"/>
    </row>
    <row r="2057">
      <c r="A2057" s="1771"/>
      <c r="B2057" s="1777"/>
      <c r="C2057" s="1771"/>
      <c r="D2057" s="1771"/>
      <c r="E2057" s="1770"/>
      <c r="F2057" s="1771"/>
      <c r="G2057" s="1770"/>
      <c r="H2057" s="1771"/>
      <c r="I2057" s="1778"/>
      <c r="J2057" s="1771"/>
      <c r="K2057" s="1771"/>
      <c r="L2057" s="1771"/>
      <c r="M2057" s="1771"/>
      <c r="N2057" s="1771"/>
      <c r="O2057" s="1771"/>
      <c r="P2057" s="1771"/>
      <c r="Q2057" s="1766"/>
      <c r="R2057" s="1766"/>
      <c r="S2057" s="1696"/>
      <c r="T2057" s="1696"/>
      <c r="U2057" s="1772"/>
      <c r="V2057" s="1696"/>
      <c r="W2057" s="1772"/>
      <c r="X2057" s="1696"/>
      <c r="Y2057" s="1696"/>
      <c r="Z2057" s="1773"/>
    </row>
    <row r="2058">
      <c r="A2058" s="1771"/>
      <c r="B2058" s="1777"/>
      <c r="C2058" s="1771"/>
      <c r="D2058" s="1771"/>
      <c r="E2058" s="1770"/>
      <c r="F2058" s="1771"/>
      <c r="G2058" s="1770"/>
      <c r="H2058" s="1771"/>
      <c r="I2058" s="1778"/>
      <c r="J2058" s="1771"/>
      <c r="K2058" s="1771"/>
      <c r="L2058" s="1771"/>
      <c r="M2058" s="1771"/>
      <c r="N2058" s="1771"/>
      <c r="O2058" s="1771"/>
      <c r="P2058" s="1771"/>
      <c r="Q2058" s="1766"/>
      <c r="R2058" s="1766"/>
      <c r="S2058" s="1696"/>
      <c r="T2058" s="1696"/>
      <c r="U2058" s="1772"/>
      <c r="V2058" s="1696"/>
      <c r="W2058" s="1772"/>
      <c r="X2058" s="1696"/>
      <c r="Y2058" s="1696"/>
      <c r="Z2058" s="1773"/>
    </row>
    <row r="2059">
      <c r="A2059" s="1771"/>
      <c r="B2059" s="1777"/>
      <c r="C2059" s="1771"/>
      <c r="D2059" s="1771"/>
      <c r="E2059" s="1770"/>
      <c r="F2059" s="1771"/>
      <c r="G2059" s="1770"/>
      <c r="H2059" s="1771"/>
      <c r="I2059" s="1778"/>
      <c r="J2059" s="1771"/>
      <c r="K2059" s="1771"/>
      <c r="L2059" s="1771"/>
      <c r="M2059" s="1771"/>
      <c r="N2059" s="1771"/>
      <c r="O2059" s="1771"/>
      <c r="P2059" s="1771"/>
      <c r="Q2059" s="1766"/>
      <c r="R2059" s="1766"/>
      <c r="S2059" s="1696"/>
      <c r="T2059" s="1696"/>
      <c r="U2059" s="1772"/>
      <c r="V2059" s="1696"/>
      <c r="W2059" s="1772"/>
      <c r="X2059" s="1696"/>
      <c r="Y2059" s="1696"/>
      <c r="Z2059" s="1773"/>
    </row>
    <row r="2060">
      <c r="A2060" s="1771"/>
      <c r="B2060" s="1777"/>
      <c r="C2060" s="1771"/>
      <c r="D2060" s="1771"/>
      <c r="E2060" s="1770"/>
      <c r="F2060" s="1771"/>
      <c r="G2060" s="1771"/>
      <c r="H2060" s="1771"/>
      <c r="I2060" s="1778"/>
      <c r="J2060" s="1771"/>
      <c r="K2060" s="1771"/>
      <c r="L2060" s="1771"/>
      <c r="M2060" s="1771"/>
      <c r="N2060" s="1771"/>
      <c r="O2060" s="1771"/>
      <c r="P2060" s="1771"/>
      <c r="Q2060" s="1766"/>
      <c r="R2060" s="1766"/>
      <c r="S2060" s="1696"/>
      <c r="T2060" s="1696"/>
      <c r="U2060" s="1772"/>
      <c r="V2060" s="1696"/>
      <c r="W2060" s="1772"/>
      <c r="X2060" s="1696"/>
      <c r="Y2060" s="1696"/>
      <c r="Z2060" s="1773"/>
    </row>
    <row r="2061">
      <c r="A2061" s="1771"/>
      <c r="B2061" s="1777"/>
      <c r="C2061" s="1771"/>
      <c r="D2061" s="1771"/>
      <c r="E2061" s="1770"/>
      <c r="F2061" s="1771"/>
      <c r="G2061" s="1770"/>
      <c r="H2061" s="1771"/>
      <c r="I2061" s="1778"/>
      <c r="J2061" s="1771"/>
      <c r="K2061" s="1771"/>
      <c r="L2061" s="1771"/>
      <c r="M2061" s="1771"/>
      <c r="N2061" s="1771"/>
      <c r="O2061" s="1771"/>
      <c r="P2061" s="1771"/>
      <c r="Q2061" s="1766"/>
      <c r="R2061" s="1766"/>
      <c r="S2061" s="1696"/>
      <c r="T2061" s="1696"/>
      <c r="U2061" s="1772"/>
      <c r="V2061" s="1696"/>
      <c r="W2061" s="1772"/>
      <c r="X2061" s="1696"/>
      <c r="Y2061" s="1696"/>
      <c r="Z2061" s="1773"/>
    </row>
    <row r="2062">
      <c r="A2062" s="1771"/>
      <c r="B2062" s="1777"/>
      <c r="C2062" s="1771"/>
      <c r="D2062" s="1771"/>
      <c r="E2062" s="1770"/>
      <c r="F2062" s="1771"/>
      <c r="G2062" s="1770"/>
      <c r="H2062" s="1771"/>
      <c r="I2062" s="1770"/>
      <c r="J2062" s="1771"/>
      <c r="K2062" s="1771"/>
      <c r="L2062" s="1771"/>
      <c r="M2062" s="1771"/>
      <c r="N2062" s="1779"/>
      <c r="O2062" s="1770"/>
      <c r="P2062" s="1771"/>
      <c r="Q2062" s="1766"/>
      <c r="R2062" s="1766"/>
      <c r="S2062" s="1696"/>
      <c r="T2062" s="1696"/>
      <c r="U2062" s="1772"/>
      <c r="V2062" s="1696"/>
      <c r="W2062" s="1772"/>
      <c r="X2062" s="1696"/>
      <c r="Y2062" s="1696"/>
      <c r="Z2062" s="1773"/>
    </row>
    <row r="2063">
      <c r="A2063" s="1771"/>
      <c r="B2063" s="1777"/>
      <c r="C2063" s="1771"/>
      <c r="D2063" s="1771"/>
      <c r="E2063" s="1770"/>
      <c r="F2063" s="1771"/>
      <c r="G2063" s="1771"/>
      <c r="H2063" s="1771"/>
      <c r="I2063" s="1778"/>
      <c r="J2063" s="1771"/>
      <c r="K2063" s="1771"/>
      <c r="L2063" s="1771"/>
      <c r="M2063" s="1771"/>
      <c r="N2063" s="1771"/>
      <c r="O2063" s="1771"/>
      <c r="P2063" s="1771"/>
      <c r="Q2063" s="1766"/>
      <c r="R2063" s="1766"/>
      <c r="S2063" s="1696"/>
      <c r="T2063" s="1696"/>
      <c r="U2063" s="1772"/>
      <c r="V2063" s="1696"/>
      <c r="W2063" s="1772"/>
      <c r="X2063" s="1696"/>
      <c r="Y2063" s="1696"/>
      <c r="Z2063" s="1773"/>
    </row>
    <row r="2064">
      <c r="A2064" s="1771"/>
      <c r="B2064" s="1777"/>
      <c r="C2064" s="1771"/>
      <c r="D2064" s="1771"/>
      <c r="E2064" s="1770"/>
      <c r="F2064" s="1771"/>
      <c r="G2064" s="1770"/>
      <c r="H2064" s="1771"/>
      <c r="I2064" s="1778"/>
      <c r="J2064" s="1771"/>
      <c r="K2064" s="1771"/>
      <c r="L2064" s="1771"/>
      <c r="M2064" s="1771"/>
      <c r="N2064" s="1771"/>
      <c r="O2064" s="1771"/>
      <c r="P2064" s="1771"/>
      <c r="Q2064" s="1766"/>
      <c r="R2064" s="1766"/>
      <c r="S2064" s="1696"/>
      <c r="T2064" s="1696"/>
      <c r="U2064" s="1772"/>
      <c r="V2064" s="1696"/>
      <c r="W2064" s="1772"/>
      <c r="X2064" s="1696"/>
      <c r="Y2064" s="1696"/>
      <c r="Z2064" s="1773"/>
    </row>
    <row r="2065">
      <c r="A2065" s="1771"/>
      <c r="B2065" s="1777"/>
      <c r="C2065" s="1771"/>
      <c r="D2065" s="1771"/>
      <c r="E2065" s="1770"/>
      <c r="F2065" s="1771"/>
      <c r="G2065" s="1770"/>
      <c r="H2065" s="1771"/>
      <c r="I2065" s="1778"/>
      <c r="J2065" s="1771"/>
      <c r="K2065" s="1771"/>
      <c r="L2065" s="1771"/>
      <c r="M2065" s="1771"/>
      <c r="N2065" s="1771"/>
      <c r="O2065" s="1771"/>
      <c r="P2065" s="1771"/>
      <c r="Q2065" s="1766"/>
      <c r="R2065" s="1766"/>
      <c r="S2065" s="1696"/>
      <c r="T2065" s="1696"/>
      <c r="U2065" s="1772"/>
      <c r="V2065" s="1696"/>
      <c r="W2065" s="1772"/>
      <c r="X2065" s="1696"/>
      <c r="Y2065" s="1696"/>
      <c r="Z2065" s="1773"/>
    </row>
    <row r="2066">
      <c r="A2066" s="1771"/>
      <c r="B2066" s="1777"/>
      <c r="C2066" s="1771"/>
      <c r="D2066" s="1771"/>
      <c r="E2066" s="1770"/>
      <c r="F2066" s="1771"/>
      <c r="G2066" s="1771"/>
      <c r="H2066" s="1771"/>
      <c r="I2066" s="1778"/>
      <c r="J2066" s="1771"/>
      <c r="K2066" s="1771"/>
      <c r="L2066" s="1771"/>
      <c r="M2066" s="1771"/>
      <c r="N2066" s="1771"/>
      <c r="O2066" s="1771"/>
      <c r="P2066" s="1771"/>
      <c r="Q2066" s="1766"/>
      <c r="R2066" s="1766"/>
      <c r="S2066" s="1696"/>
      <c r="T2066" s="1696"/>
      <c r="U2066" s="1772"/>
      <c r="V2066" s="1696"/>
      <c r="W2066" s="1772"/>
      <c r="X2066" s="1696"/>
      <c r="Y2066" s="1696"/>
      <c r="Z2066" s="1773"/>
    </row>
    <row r="2067">
      <c r="A2067" s="1771"/>
      <c r="B2067" s="1777"/>
      <c r="C2067" s="1771"/>
      <c r="D2067" s="1771"/>
      <c r="E2067" s="1770"/>
      <c r="F2067" s="1771"/>
      <c r="G2067" s="1770"/>
      <c r="H2067" s="1771"/>
      <c r="I2067" s="1778"/>
      <c r="J2067" s="1771"/>
      <c r="K2067" s="1771"/>
      <c r="L2067" s="1771"/>
      <c r="M2067" s="1771"/>
      <c r="N2067" s="1771"/>
      <c r="O2067" s="1771"/>
      <c r="P2067" s="1771"/>
      <c r="Q2067" s="1766"/>
      <c r="R2067" s="1766"/>
      <c r="S2067" s="1696"/>
      <c r="T2067" s="1696"/>
      <c r="U2067" s="1772"/>
      <c r="V2067" s="1696"/>
      <c r="W2067" s="1772"/>
      <c r="X2067" s="1696"/>
      <c r="Y2067" s="1696"/>
      <c r="Z2067" s="1773"/>
    </row>
    <row r="2068">
      <c r="A2068" s="1771"/>
      <c r="B2068" s="1777"/>
      <c r="C2068" s="1771"/>
      <c r="D2068" s="1771"/>
      <c r="E2068" s="1770"/>
      <c r="F2068" s="1771"/>
      <c r="G2068" s="1770"/>
      <c r="H2068" s="1771"/>
      <c r="I2068" s="1778"/>
      <c r="J2068" s="1771"/>
      <c r="K2068" s="1771"/>
      <c r="L2068" s="1771"/>
      <c r="M2068" s="1771"/>
      <c r="N2068" s="1771"/>
      <c r="O2068" s="1771"/>
      <c r="P2068" s="1771"/>
      <c r="Q2068" s="1766"/>
      <c r="R2068" s="1766"/>
      <c r="S2068" s="1696"/>
      <c r="T2068" s="1696"/>
      <c r="U2068" s="1772"/>
      <c r="V2068" s="1696"/>
      <c r="W2068" s="1772"/>
      <c r="X2068" s="1696"/>
      <c r="Y2068" s="1696"/>
      <c r="Z2068" s="1773"/>
    </row>
    <row r="2069">
      <c r="A2069" s="1771"/>
      <c r="B2069" s="1777"/>
      <c r="C2069" s="1771"/>
      <c r="D2069" s="1771"/>
      <c r="E2069" s="1770"/>
      <c r="F2069" s="1771"/>
      <c r="G2069" s="1770"/>
      <c r="H2069" s="1771"/>
      <c r="I2069" s="1778"/>
      <c r="J2069" s="1771"/>
      <c r="K2069" s="1771"/>
      <c r="L2069" s="1771"/>
      <c r="M2069" s="1771"/>
      <c r="N2069" s="1771"/>
      <c r="O2069" s="1771"/>
      <c r="P2069" s="1771"/>
      <c r="Q2069" s="1766"/>
      <c r="R2069" s="1766"/>
      <c r="S2069" s="1696"/>
      <c r="T2069" s="1696"/>
      <c r="U2069" s="1772"/>
      <c r="V2069" s="1696"/>
      <c r="W2069" s="1772"/>
      <c r="X2069" s="1696"/>
      <c r="Y2069" s="1696"/>
      <c r="Z2069" s="1773"/>
    </row>
    <row r="2070">
      <c r="A2070" s="1771"/>
      <c r="B2070" s="1777"/>
      <c r="C2070" s="1771"/>
      <c r="D2070" s="1771"/>
      <c r="E2070" s="1770"/>
      <c r="F2070" s="1771"/>
      <c r="G2070" s="1770"/>
      <c r="H2070" s="1771"/>
      <c r="I2070" s="1778"/>
      <c r="J2070" s="1771"/>
      <c r="K2070" s="1771"/>
      <c r="L2070" s="1771"/>
      <c r="M2070" s="1771"/>
      <c r="N2070" s="1771"/>
      <c r="O2070" s="1771"/>
      <c r="P2070" s="1771"/>
      <c r="Q2070" s="1766"/>
      <c r="R2070" s="1766"/>
      <c r="S2070" s="1696"/>
      <c r="T2070" s="1696"/>
      <c r="U2070" s="1772"/>
      <c r="V2070" s="1696"/>
      <c r="W2070" s="1772"/>
      <c r="X2070" s="1696"/>
      <c r="Y2070" s="1696"/>
      <c r="Z2070" s="1773"/>
    </row>
    <row r="2071">
      <c r="A2071" s="1771"/>
      <c r="B2071" s="1777"/>
      <c r="C2071" s="1771"/>
      <c r="D2071" s="1771"/>
      <c r="E2071" s="1770"/>
      <c r="F2071" s="1771"/>
      <c r="G2071" s="1770"/>
      <c r="H2071" s="1771"/>
      <c r="I2071" s="1778"/>
      <c r="J2071" s="1771"/>
      <c r="K2071" s="1771"/>
      <c r="L2071" s="1771"/>
      <c r="M2071" s="1771"/>
      <c r="N2071" s="1771"/>
      <c r="O2071" s="1771"/>
      <c r="P2071" s="1771"/>
      <c r="Q2071" s="1766"/>
      <c r="R2071" s="1766"/>
      <c r="S2071" s="1696"/>
      <c r="T2071" s="1696"/>
      <c r="U2071" s="1772"/>
      <c r="V2071" s="1696"/>
      <c r="W2071" s="1772"/>
      <c r="X2071" s="1696"/>
      <c r="Y2071" s="1696"/>
      <c r="Z2071" s="1773"/>
    </row>
    <row r="2072">
      <c r="A2072" s="1771"/>
      <c r="B2072" s="1777"/>
      <c r="C2072" s="1771"/>
      <c r="D2072" s="1771"/>
      <c r="E2072" s="1770"/>
      <c r="F2072" s="1771"/>
      <c r="G2072" s="1771"/>
      <c r="H2072" s="1771"/>
      <c r="I2072" s="1778"/>
      <c r="J2072" s="1771"/>
      <c r="K2072" s="1771"/>
      <c r="L2072" s="1771"/>
      <c r="M2072" s="1771"/>
      <c r="N2072" s="1771"/>
      <c r="O2072" s="1771"/>
      <c r="P2072" s="1771"/>
      <c r="Q2072" s="1766"/>
      <c r="R2072" s="1766"/>
      <c r="S2072" s="1696"/>
      <c r="T2072" s="1696"/>
      <c r="U2072" s="1772"/>
      <c r="V2072" s="1696"/>
      <c r="W2072" s="1772"/>
      <c r="X2072" s="1696"/>
      <c r="Y2072" s="1696"/>
      <c r="Z2072" s="1773"/>
    </row>
    <row r="2073">
      <c r="A2073" s="1771"/>
      <c r="B2073" s="1777"/>
      <c r="C2073" s="1771"/>
      <c r="D2073" s="1771"/>
      <c r="E2073" s="1770"/>
      <c r="F2073" s="1771"/>
      <c r="G2073" s="1771"/>
      <c r="H2073" s="1771"/>
      <c r="I2073" s="1778"/>
      <c r="J2073" s="1771"/>
      <c r="K2073" s="1771"/>
      <c r="L2073" s="1771"/>
      <c r="M2073" s="1771"/>
      <c r="N2073" s="1771"/>
      <c r="O2073" s="1771"/>
      <c r="P2073" s="1771"/>
      <c r="Q2073" s="1766"/>
      <c r="R2073" s="1766"/>
      <c r="S2073" s="1696"/>
      <c r="T2073" s="1696"/>
      <c r="U2073" s="1772"/>
      <c r="V2073" s="1696"/>
      <c r="W2073" s="1772"/>
      <c r="X2073" s="1696"/>
      <c r="Y2073" s="1696"/>
      <c r="Z2073" s="1773"/>
    </row>
    <row r="2074">
      <c r="A2074" s="1771"/>
      <c r="B2074" s="1777"/>
      <c r="C2074" s="1771"/>
      <c r="D2074" s="1771"/>
      <c r="E2074" s="1770"/>
      <c r="F2074" s="1771"/>
      <c r="G2074" s="1770"/>
      <c r="H2074" s="1771"/>
      <c r="I2074" s="1778"/>
      <c r="J2074" s="1771"/>
      <c r="K2074" s="1771"/>
      <c r="L2074" s="1771"/>
      <c r="M2074" s="1771"/>
      <c r="N2074" s="1771"/>
      <c r="O2074" s="1771"/>
      <c r="P2074" s="1771"/>
      <c r="Q2074" s="1766"/>
      <c r="R2074" s="1766"/>
      <c r="S2074" s="1696"/>
      <c r="T2074" s="1696"/>
      <c r="U2074" s="1772"/>
      <c r="V2074" s="1696"/>
      <c r="W2074" s="1772"/>
      <c r="X2074" s="1696"/>
      <c r="Y2074" s="1696"/>
      <c r="Z2074" s="1773"/>
    </row>
    <row r="2075">
      <c r="A2075" s="1771"/>
      <c r="B2075" s="1777"/>
      <c r="C2075" s="1771"/>
      <c r="D2075" s="1771"/>
      <c r="E2075" s="1770"/>
      <c r="F2075" s="1771"/>
      <c r="G2075" s="1771"/>
      <c r="H2075" s="1771"/>
      <c r="I2075" s="1778"/>
      <c r="J2075" s="1771"/>
      <c r="K2075" s="1771"/>
      <c r="L2075" s="1771"/>
      <c r="M2075" s="1771"/>
      <c r="N2075" s="1771"/>
      <c r="O2075" s="1771"/>
      <c r="P2075" s="1771"/>
      <c r="Q2075" s="1766"/>
      <c r="R2075" s="1766"/>
      <c r="S2075" s="1696"/>
      <c r="T2075" s="1696"/>
      <c r="U2075" s="1772"/>
      <c r="V2075" s="1696"/>
      <c r="W2075" s="1772"/>
      <c r="X2075" s="1696"/>
      <c r="Y2075" s="1696"/>
      <c r="Z2075" s="1773"/>
    </row>
    <row r="2076">
      <c r="A2076" s="1771"/>
      <c r="B2076" s="1777"/>
      <c r="C2076" s="1771"/>
      <c r="D2076" s="1771"/>
      <c r="E2076" s="1770"/>
      <c r="F2076" s="1771"/>
      <c r="G2076" s="1771"/>
      <c r="H2076" s="1771"/>
      <c r="I2076" s="1778"/>
      <c r="J2076" s="1771"/>
      <c r="K2076" s="1771"/>
      <c r="L2076" s="1771"/>
      <c r="M2076" s="1771"/>
      <c r="N2076" s="1771"/>
      <c r="O2076" s="1771"/>
      <c r="P2076" s="1771"/>
      <c r="Q2076" s="1766"/>
      <c r="R2076" s="1766"/>
      <c r="S2076" s="1696"/>
      <c r="T2076" s="1696"/>
      <c r="U2076" s="1772"/>
      <c r="V2076" s="1696"/>
      <c r="W2076" s="1772"/>
      <c r="X2076" s="1696"/>
      <c r="Y2076" s="1696"/>
      <c r="Z2076" s="1773"/>
    </row>
    <row r="2077">
      <c r="A2077" s="1771"/>
      <c r="B2077" s="1777"/>
      <c r="C2077" s="1771"/>
      <c r="D2077" s="1771"/>
      <c r="E2077" s="1770"/>
      <c r="F2077" s="1771"/>
      <c r="G2077" s="1771"/>
      <c r="H2077" s="1771"/>
      <c r="I2077" s="1778"/>
      <c r="J2077" s="1771"/>
      <c r="K2077" s="1771"/>
      <c r="L2077" s="1771"/>
      <c r="M2077" s="1771"/>
      <c r="N2077" s="1771"/>
      <c r="O2077" s="1771"/>
      <c r="P2077" s="1771"/>
      <c r="Q2077" s="1766"/>
      <c r="R2077" s="1766"/>
      <c r="S2077" s="1696"/>
      <c r="T2077" s="1696"/>
      <c r="U2077" s="1772"/>
      <c r="V2077" s="1696"/>
      <c r="W2077" s="1772"/>
      <c r="X2077" s="1696"/>
      <c r="Y2077" s="1696"/>
      <c r="Z2077" s="1773"/>
    </row>
    <row r="2078">
      <c r="A2078" s="1771"/>
      <c r="B2078" s="1777"/>
      <c r="C2078" s="1771"/>
      <c r="D2078" s="1771"/>
      <c r="E2078" s="1770"/>
      <c r="F2078" s="1771"/>
      <c r="G2078" s="1771"/>
      <c r="H2078" s="1771"/>
      <c r="I2078" s="1785"/>
      <c r="J2078" s="1771"/>
      <c r="K2078" s="1771"/>
      <c r="L2078" s="1771"/>
      <c r="M2078" s="1771"/>
      <c r="N2078" s="1771"/>
      <c r="O2078" s="1771"/>
      <c r="P2078" s="1771"/>
      <c r="Q2078" s="1766"/>
      <c r="R2078" s="1766"/>
      <c r="S2078" s="1696"/>
      <c r="T2078" s="1696"/>
      <c r="U2078" s="1772"/>
      <c r="V2078" s="1696"/>
      <c r="W2078" s="1772"/>
      <c r="X2078" s="1696"/>
      <c r="Y2078" s="1696"/>
      <c r="Z2078" s="1773"/>
    </row>
    <row r="2079">
      <c r="A2079" s="1771"/>
      <c r="B2079" s="1777"/>
      <c r="C2079" s="1771"/>
      <c r="D2079" s="1771"/>
      <c r="E2079" s="1770"/>
      <c r="F2079" s="1771"/>
      <c r="G2079" s="1770"/>
      <c r="H2079" s="1771"/>
      <c r="I2079" s="1778"/>
      <c r="J2079" s="1771"/>
      <c r="K2079" s="1771"/>
      <c r="L2079" s="1771"/>
      <c r="M2079" s="1771"/>
      <c r="N2079" s="1771"/>
      <c r="O2079" s="1771"/>
      <c r="P2079" s="1771"/>
      <c r="Q2079" s="1766"/>
      <c r="R2079" s="1766"/>
      <c r="S2079" s="1696"/>
      <c r="T2079" s="1696"/>
      <c r="U2079" s="1772"/>
      <c r="V2079" s="1696"/>
      <c r="W2079" s="1772"/>
      <c r="X2079" s="1696"/>
      <c r="Y2079" s="1696"/>
      <c r="Z2079" s="1773"/>
    </row>
    <row r="2080">
      <c r="A2080" s="1771"/>
      <c r="B2080" s="1777"/>
      <c r="C2080" s="1771"/>
      <c r="D2080" s="1771"/>
      <c r="E2080" s="1770"/>
      <c r="F2080" s="1771"/>
      <c r="G2080" s="1770"/>
      <c r="H2080" s="1771"/>
      <c r="I2080" s="1778"/>
      <c r="J2080" s="1771"/>
      <c r="K2080" s="1771"/>
      <c r="L2080" s="1771"/>
      <c r="M2080" s="1771"/>
      <c r="N2080" s="1771"/>
      <c r="O2080" s="1771"/>
      <c r="P2080" s="1771"/>
      <c r="Q2080" s="1766"/>
      <c r="R2080" s="1766"/>
      <c r="S2080" s="1696"/>
      <c r="T2080" s="1696"/>
      <c r="U2080" s="1772"/>
      <c r="V2080" s="1696"/>
      <c r="W2080" s="1772"/>
      <c r="X2080" s="1696"/>
      <c r="Y2080" s="1696"/>
      <c r="Z2080" s="1773"/>
    </row>
    <row r="2081">
      <c r="A2081" s="1771"/>
      <c r="B2081" s="1777"/>
      <c r="C2081" s="1771"/>
      <c r="D2081" s="1771"/>
      <c r="E2081" s="1770"/>
      <c r="F2081" s="1771"/>
      <c r="G2081" s="1770"/>
      <c r="H2081" s="1771"/>
      <c r="I2081" s="1778"/>
      <c r="J2081" s="1771"/>
      <c r="K2081" s="1771"/>
      <c r="L2081" s="1771"/>
      <c r="M2081" s="1771"/>
      <c r="N2081" s="1771"/>
      <c r="O2081" s="1771"/>
      <c r="P2081" s="1771"/>
      <c r="Q2081" s="1766"/>
      <c r="R2081" s="1766"/>
      <c r="S2081" s="1696"/>
      <c r="T2081" s="1696"/>
      <c r="U2081" s="1772"/>
      <c r="V2081" s="1696"/>
      <c r="W2081" s="1772"/>
      <c r="X2081" s="1696"/>
      <c r="Y2081" s="1696"/>
      <c r="Z2081" s="1773"/>
    </row>
    <row r="2082">
      <c r="A2082" s="1771"/>
      <c r="B2082" s="1777"/>
      <c r="C2082" s="1771"/>
      <c r="D2082" s="1771"/>
      <c r="E2082" s="1770"/>
      <c r="F2082" s="1771"/>
      <c r="G2082" s="1770"/>
      <c r="H2082" s="1771"/>
      <c r="I2082" s="1778"/>
      <c r="J2082" s="1771"/>
      <c r="K2082" s="1771"/>
      <c r="L2082" s="1771"/>
      <c r="M2082" s="1771"/>
      <c r="N2082" s="1771"/>
      <c r="O2082" s="1771"/>
      <c r="P2082" s="1771"/>
      <c r="Q2082" s="1766"/>
      <c r="R2082" s="1766"/>
      <c r="S2082" s="1696"/>
      <c r="T2082" s="1696"/>
      <c r="U2082" s="1772"/>
      <c r="V2082" s="1696"/>
      <c r="W2082" s="1772"/>
      <c r="X2082" s="1696"/>
      <c r="Y2082" s="1696"/>
      <c r="Z2082" s="1773"/>
    </row>
    <row r="2083">
      <c r="A2083" s="1771"/>
      <c r="B2083" s="1777"/>
      <c r="C2083" s="1771"/>
      <c r="D2083" s="1771"/>
      <c r="E2083" s="1770"/>
      <c r="F2083" s="1771"/>
      <c r="G2083" s="1770"/>
      <c r="H2083" s="1771"/>
      <c r="I2083" s="1778"/>
      <c r="J2083" s="1771"/>
      <c r="K2083" s="1771"/>
      <c r="L2083" s="1771"/>
      <c r="M2083" s="1771"/>
      <c r="N2083" s="1779"/>
      <c r="O2083" s="1770"/>
      <c r="P2083" s="1771"/>
      <c r="Q2083" s="1766"/>
      <c r="R2083" s="1766"/>
      <c r="S2083" s="1696"/>
      <c r="T2083" s="1696"/>
      <c r="U2083" s="1772"/>
      <c r="V2083" s="1696"/>
      <c r="W2083" s="1772"/>
      <c r="X2083" s="1696"/>
      <c r="Y2083" s="1696"/>
      <c r="Z2083" s="1773"/>
    </row>
    <row r="2084">
      <c r="A2084" s="1771"/>
      <c r="B2084" s="1777"/>
      <c r="C2084" s="1771"/>
      <c r="D2084" s="1771"/>
      <c r="E2084" s="1770"/>
      <c r="F2084" s="1771"/>
      <c r="G2084" s="1770"/>
      <c r="H2084" s="1771"/>
      <c r="I2084" s="1778"/>
      <c r="J2084" s="1771"/>
      <c r="K2084" s="1771"/>
      <c r="L2084" s="1771"/>
      <c r="M2084" s="1771"/>
      <c r="N2084" s="1779"/>
      <c r="O2084" s="1770"/>
      <c r="P2084" s="1771"/>
      <c r="Q2084" s="1766"/>
      <c r="R2084" s="1766"/>
      <c r="S2084" s="1696"/>
      <c r="T2084" s="1696"/>
      <c r="U2084" s="1772"/>
      <c r="V2084" s="1696"/>
      <c r="W2084" s="1772"/>
      <c r="X2084" s="1696"/>
      <c r="Y2084" s="1696"/>
      <c r="Z2084" s="1773"/>
    </row>
    <row r="2085">
      <c r="A2085" s="1771"/>
      <c r="B2085" s="1777"/>
      <c r="C2085" s="1771"/>
      <c r="D2085" s="1771"/>
      <c r="E2085" s="1770"/>
      <c r="F2085" s="1771"/>
      <c r="G2085" s="1770"/>
      <c r="H2085" s="1771"/>
      <c r="I2085" s="1778"/>
      <c r="J2085" s="1771"/>
      <c r="K2085" s="1771"/>
      <c r="L2085" s="1771"/>
      <c r="M2085" s="1771"/>
      <c r="N2085" s="1771"/>
      <c r="O2085" s="1771"/>
      <c r="P2085" s="1771"/>
      <c r="Q2085" s="1766"/>
      <c r="R2085" s="1766"/>
      <c r="S2085" s="1696"/>
      <c r="T2085" s="1696"/>
      <c r="U2085" s="1772"/>
      <c r="V2085" s="1696"/>
      <c r="W2085" s="1772"/>
      <c r="X2085" s="1696"/>
      <c r="Y2085" s="1696"/>
      <c r="Z2085" s="1773"/>
    </row>
    <row r="2086">
      <c r="A2086" s="1771"/>
      <c r="B2086" s="1777"/>
      <c r="C2086" s="1771"/>
      <c r="D2086" s="1771"/>
      <c r="E2086" s="1770"/>
      <c r="F2086" s="1771"/>
      <c r="G2086" s="1770"/>
      <c r="H2086" s="1771"/>
      <c r="I2086" s="1778"/>
      <c r="J2086" s="1771"/>
      <c r="K2086" s="1771"/>
      <c r="L2086" s="1771"/>
      <c r="M2086" s="1771"/>
      <c r="N2086" s="1779"/>
      <c r="O2086" s="1770"/>
      <c r="P2086" s="1771"/>
      <c r="Q2086" s="1766"/>
      <c r="R2086" s="1766"/>
      <c r="S2086" s="1696"/>
      <c r="T2086" s="1696"/>
      <c r="U2086" s="1772"/>
      <c r="V2086" s="1696"/>
      <c r="W2086" s="1772"/>
      <c r="X2086" s="1696"/>
      <c r="Y2086" s="1696"/>
      <c r="Z2086" s="1773"/>
    </row>
    <row r="2087">
      <c r="A2087" s="1771"/>
      <c r="B2087" s="1777"/>
      <c r="C2087" s="1771"/>
      <c r="D2087" s="1771"/>
      <c r="E2087" s="1770"/>
      <c r="F2087" s="1771"/>
      <c r="G2087" s="1770"/>
      <c r="H2087" s="1771"/>
      <c r="I2087" s="1778"/>
      <c r="J2087" s="1771"/>
      <c r="K2087" s="1771"/>
      <c r="L2087" s="1771"/>
      <c r="M2087" s="1771"/>
      <c r="N2087" s="1771"/>
      <c r="O2087" s="1771"/>
      <c r="P2087" s="1771"/>
      <c r="Q2087" s="1766"/>
      <c r="R2087" s="1766"/>
      <c r="S2087" s="1696"/>
      <c r="T2087" s="1696"/>
      <c r="U2087" s="1772"/>
      <c r="V2087" s="1696"/>
      <c r="W2087" s="1772"/>
      <c r="X2087" s="1696"/>
      <c r="Y2087" s="1696"/>
      <c r="Z2087" s="1773"/>
    </row>
    <row r="2088">
      <c r="A2088" s="1771"/>
      <c r="B2088" s="1777"/>
      <c r="C2088" s="1771"/>
      <c r="D2088" s="1771"/>
      <c r="E2088" s="1770"/>
      <c r="F2088" s="1771"/>
      <c r="G2088" s="1770"/>
      <c r="H2088" s="1771"/>
      <c r="I2088" s="1778"/>
      <c r="J2088" s="1771"/>
      <c r="K2088" s="1771"/>
      <c r="L2088" s="1771"/>
      <c r="M2088" s="1771"/>
      <c r="N2088" s="1771"/>
      <c r="O2088" s="1771"/>
      <c r="P2088" s="1771"/>
      <c r="Q2088" s="1766"/>
      <c r="R2088" s="1766"/>
      <c r="S2088" s="1696"/>
      <c r="T2088" s="1696"/>
      <c r="U2088" s="1772"/>
      <c r="V2088" s="1696"/>
      <c r="W2088" s="1772"/>
      <c r="X2088" s="1696"/>
      <c r="Y2088" s="1696"/>
      <c r="Z2088" s="1773"/>
    </row>
    <row r="2089">
      <c r="A2089" s="1771"/>
      <c r="B2089" s="1777"/>
      <c r="C2089" s="1771"/>
      <c r="D2089" s="1771"/>
      <c r="E2089" s="1770"/>
      <c r="F2089" s="1771"/>
      <c r="G2089" s="1770"/>
      <c r="H2089" s="1771"/>
      <c r="I2089" s="1778"/>
      <c r="J2089" s="1771"/>
      <c r="K2089" s="1771"/>
      <c r="L2089" s="1771"/>
      <c r="M2089" s="1771"/>
      <c r="N2089" s="1771"/>
      <c r="O2089" s="1771"/>
      <c r="P2089" s="1771"/>
      <c r="Q2089" s="1766"/>
      <c r="R2089" s="1766"/>
      <c r="S2089" s="1696"/>
      <c r="T2089" s="1696"/>
      <c r="U2089" s="1772"/>
      <c r="V2089" s="1696"/>
      <c r="W2089" s="1772"/>
      <c r="X2089" s="1696"/>
      <c r="Y2089" s="1696"/>
      <c r="Z2089" s="1773"/>
    </row>
    <row r="2090">
      <c r="A2090" s="1771"/>
      <c r="B2090" s="1777"/>
      <c r="C2090" s="1771"/>
      <c r="D2090" s="1771"/>
      <c r="E2090" s="1770"/>
      <c r="F2090" s="1771"/>
      <c r="G2090" s="1770"/>
      <c r="H2090" s="1771"/>
      <c r="I2090" s="1778"/>
      <c r="J2090" s="1771"/>
      <c r="K2090" s="1771"/>
      <c r="L2090" s="1771"/>
      <c r="M2090" s="1771"/>
      <c r="N2090" s="1779"/>
      <c r="O2090" s="1770"/>
      <c r="P2090" s="1771"/>
      <c r="Q2090" s="1766"/>
      <c r="R2090" s="1766"/>
      <c r="S2090" s="1696"/>
      <c r="T2090" s="1696"/>
      <c r="U2090" s="1772"/>
      <c r="V2090" s="1696"/>
      <c r="W2090" s="1772"/>
      <c r="X2090" s="1696"/>
      <c r="Y2090" s="1696"/>
      <c r="Z2090" s="1773"/>
    </row>
    <row r="2091">
      <c r="A2091" s="1771"/>
      <c r="B2091" s="1777"/>
      <c r="C2091" s="1771"/>
      <c r="D2091" s="1771"/>
      <c r="E2091" s="1770"/>
      <c r="F2091" s="1771"/>
      <c r="G2091" s="1770"/>
      <c r="H2091" s="1771"/>
      <c r="I2091" s="1778"/>
      <c r="J2091" s="1771"/>
      <c r="K2091" s="1771"/>
      <c r="L2091" s="1771"/>
      <c r="M2091" s="1771"/>
      <c r="N2091" s="1779"/>
      <c r="O2091" s="1770"/>
      <c r="P2091" s="1771"/>
      <c r="Q2091" s="1766"/>
      <c r="R2091" s="1766"/>
      <c r="S2091" s="1696"/>
      <c r="T2091" s="1696"/>
      <c r="U2091" s="1772"/>
      <c r="V2091" s="1696"/>
      <c r="W2091" s="1772"/>
      <c r="X2091" s="1696"/>
      <c r="Y2091" s="1696"/>
      <c r="Z2091" s="1773"/>
    </row>
    <row r="2092">
      <c r="A2092" s="1771"/>
      <c r="B2092" s="1777"/>
      <c r="C2092" s="1771"/>
      <c r="D2092" s="1771"/>
      <c r="E2092" s="1770"/>
      <c r="F2092" s="1771"/>
      <c r="G2092" s="1770"/>
      <c r="H2092" s="1771"/>
      <c r="I2092" s="1770"/>
      <c r="J2092" s="1771"/>
      <c r="K2092" s="1771"/>
      <c r="L2092" s="1771"/>
      <c r="M2092" s="1771"/>
      <c r="N2092" s="1779"/>
      <c r="O2092" s="1770"/>
      <c r="P2092" s="1771"/>
      <c r="Q2092" s="1766"/>
      <c r="R2092" s="1766"/>
      <c r="S2092" s="1696"/>
      <c r="T2092" s="1696"/>
      <c r="U2092" s="1772"/>
      <c r="V2092" s="1696"/>
      <c r="W2092" s="1772"/>
      <c r="X2092" s="1696"/>
      <c r="Y2092" s="1696"/>
      <c r="Z2092" s="1773"/>
    </row>
    <row r="2093">
      <c r="A2093" s="1771"/>
      <c r="B2093" s="1777"/>
      <c r="C2093" s="1771"/>
      <c r="D2093" s="1771"/>
      <c r="E2093" s="1770"/>
      <c r="F2093" s="1771"/>
      <c r="G2093" s="1770"/>
      <c r="H2093" s="1771"/>
      <c r="I2093" s="1778"/>
      <c r="J2093" s="1771"/>
      <c r="K2093" s="1771"/>
      <c r="L2093" s="1771"/>
      <c r="M2093" s="1771"/>
      <c r="N2093" s="1779"/>
      <c r="O2093" s="1770"/>
      <c r="P2093" s="1771"/>
      <c r="Q2093" s="1766"/>
      <c r="R2093" s="1766"/>
      <c r="S2093" s="1696"/>
      <c r="T2093" s="1696"/>
      <c r="U2093" s="1772"/>
      <c r="V2093" s="1696"/>
      <c r="W2093" s="1772"/>
      <c r="X2093" s="1696"/>
      <c r="Y2093" s="1696"/>
      <c r="Z2093" s="1773"/>
    </row>
    <row r="2094">
      <c r="A2094" s="1771"/>
      <c r="B2094" s="1777"/>
      <c r="C2094" s="1771"/>
      <c r="D2094" s="1771"/>
      <c r="E2094" s="1770"/>
      <c r="F2094" s="1771"/>
      <c r="G2094" s="1770"/>
      <c r="H2094" s="1771"/>
      <c r="I2094" s="1778"/>
      <c r="J2094" s="1771"/>
      <c r="K2094" s="1771"/>
      <c r="L2094" s="1771"/>
      <c r="M2094" s="1771"/>
      <c r="N2094" s="1779"/>
      <c r="O2094" s="1770"/>
      <c r="P2094" s="1771"/>
      <c r="Q2094" s="1766"/>
      <c r="R2094" s="1766"/>
      <c r="S2094" s="1696"/>
      <c r="T2094" s="1696"/>
      <c r="U2094" s="1772"/>
      <c r="V2094" s="1696"/>
      <c r="W2094" s="1772"/>
      <c r="X2094" s="1696"/>
      <c r="Y2094" s="1696"/>
      <c r="Z2094" s="1773"/>
    </row>
    <row r="2095">
      <c r="A2095" s="1771"/>
      <c r="B2095" s="1777"/>
      <c r="C2095" s="1771"/>
      <c r="D2095" s="1771"/>
      <c r="E2095" s="1770"/>
      <c r="F2095" s="1771"/>
      <c r="G2095" s="1770"/>
      <c r="H2095" s="1771"/>
      <c r="I2095" s="1778"/>
      <c r="J2095" s="1771"/>
      <c r="K2095" s="1771"/>
      <c r="L2095" s="1771"/>
      <c r="M2095" s="1771"/>
      <c r="N2095" s="1779"/>
      <c r="O2095" s="1770"/>
      <c r="P2095" s="1771"/>
      <c r="Q2095" s="1766"/>
      <c r="R2095" s="1766"/>
      <c r="S2095" s="1696"/>
      <c r="T2095" s="1696"/>
      <c r="U2095" s="1772"/>
      <c r="V2095" s="1696"/>
      <c r="W2095" s="1772"/>
      <c r="X2095" s="1696"/>
      <c r="Y2095" s="1696"/>
      <c r="Z2095" s="1773"/>
    </row>
    <row r="2096">
      <c r="A2096" s="1771"/>
      <c r="B2096" s="1777"/>
      <c r="C2096" s="1771"/>
      <c r="D2096" s="1771"/>
      <c r="E2096" s="1770"/>
      <c r="F2096" s="1771"/>
      <c r="G2096" s="1770"/>
      <c r="H2096" s="1771"/>
      <c r="I2096" s="1778"/>
      <c r="J2096" s="1771"/>
      <c r="K2096" s="1771"/>
      <c r="L2096" s="1771"/>
      <c r="M2096" s="1771"/>
      <c r="N2096" s="1779"/>
      <c r="O2096" s="1770"/>
      <c r="P2096" s="1771"/>
      <c r="Q2096" s="1766"/>
      <c r="R2096" s="1766"/>
      <c r="S2096" s="1696"/>
      <c r="T2096" s="1696"/>
      <c r="U2096" s="1772"/>
      <c r="V2096" s="1696"/>
      <c r="W2096" s="1772"/>
      <c r="X2096" s="1696"/>
      <c r="Y2096" s="1696"/>
      <c r="Z2096" s="1773"/>
    </row>
    <row r="2097">
      <c r="A2097" s="1771"/>
      <c r="B2097" s="1777"/>
      <c r="C2097" s="1771"/>
      <c r="D2097" s="1771"/>
      <c r="E2097" s="1770"/>
      <c r="F2097" s="1771"/>
      <c r="G2097" s="1770"/>
      <c r="H2097" s="1771"/>
      <c r="I2097" s="1778"/>
      <c r="J2097" s="1771"/>
      <c r="K2097" s="1771"/>
      <c r="L2097" s="1771"/>
      <c r="M2097" s="1771"/>
      <c r="N2097" s="1779"/>
      <c r="O2097" s="1770"/>
      <c r="P2097" s="1771"/>
      <c r="Q2097" s="1766"/>
      <c r="R2097" s="1766"/>
      <c r="S2097" s="1696"/>
      <c r="T2097" s="1696"/>
      <c r="U2097" s="1772"/>
      <c r="V2097" s="1696"/>
      <c r="W2097" s="1772"/>
      <c r="X2097" s="1696"/>
      <c r="Y2097" s="1696"/>
      <c r="Z2097" s="1773"/>
    </row>
    <row r="2098">
      <c r="A2098" s="1771"/>
      <c r="B2098" s="1777"/>
      <c r="C2098" s="1771"/>
      <c r="D2098" s="1771"/>
      <c r="E2098" s="1770"/>
      <c r="F2098" s="1771"/>
      <c r="G2098" s="1771"/>
      <c r="H2098" s="1771"/>
      <c r="I2098" s="1778"/>
      <c r="J2098" s="1771"/>
      <c r="K2098" s="1771"/>
      <c r="L2098" s="1771"/>
      <c r="M2098" s="1771"/>
      <c r="N2098" s="1779"/>
      <c r="O2098" s="1770"/>
      <c r="P2098" s="1771"/>
      <c r="Q2098" s="1766"/>
      <c r="R2098" s="1766"/>
      <c r="S2098" s="1696"/>
      <c r="T2098" s="1696"/>
      <c r="U2098" s="1772"/>
      <c r="V2098" s="1696"/>
      <c r="W2098" s="1772"/>
      <c r="X2098" s="1696"/>
      <c r="Y2098" s="1696"/>
      <c r="Z2098" s="1773"/>
    </row>
    <row r="2099">
      <c r="A2099" s="1771"/>
      <c r="B2099" s="1777"/>
      <c r="C2099" s="1771"/>
      <c r="D2099" s="1771"/>
      <c r="E2099" s="1770"/>
      <c r="F2099" s="1771"/>
      <c r="G2099" s="1770"/>
      <c r="H2099" s="1771"/>
      <c r="I2099" s="1778"/>
      <c r="J2099" s="1771"/>
      <c r="K2099" s="1771"/>
      <c r="L2099" s="1771"/>
      <c r="M2099" s="1771"/>
      <c r="N2099" s="1779"/>
      <c r="O2099" s="1770"/>
      <c r="P2099" s="1771"/>
      <c r="Q2099" s="1766"/>
      <c r="R2099" s="1766"/>
      <c r="S2099" s="1696"/>
      <c r="T2099" s="1696"/>
      <c r="U2099" s="1772"/>
      <c r="V2099" s="1696"/>
      <c r="W2099" s="1772"/>
      <c r="X2099" s="1696"/>
      <c r="Y2099" s="1696"/>
      <c r="Z2099" s="1773"/>
    </row>
    <row r="2100">
      <c r="A2100" s="1771"/>
      <c r="B2100" s="1777"/>
      <c r="C2100" s="1771"/>
      <c r="D2100" s="1771"/>
      <c r="E2100" s="1770"/>
      <c r="F2100" s="1771"/>
      <c r="G2100" s="1770"/>
      <c r="H2100" s="1771"/>
      <c r="I2100" s="1778"/>
      <c r="J2100" s="1771"/>
      <c r="K2100" s="1771"/>
      <c r="L2100" s="1771"/>
      <c r="M2100" s="1771"/>
      <c r="N2100" s="1779"/>
      <c r="O2100" s="1770"/>
      <c r="P2100" s="1771"/>
      <c r="Q2100" s="1766"/>
      <c r="R2100" s="1766"/>
      <c r="S2100" s="1696"/>
      <c r="T2100" s="1696"/>
      <c r="U2100" s="1772"/>
      <c r="V2100" s="1696"/>
      <c r="W2100" s="1772"/>
      <c r="X2100" s="1696"/>
      <c r="Y2100" s="1696"/>
      <c r="Z2100" s="1773"/>
    </row>
    <row r="2101">
      <c r="A2101" s="1771"/>
      <c r="B2101" s="1777"/>
      <c r="C2101" s="1771"/>
      <c r="D2101" s="1771"/>
      <c r="E2101" s="1770"/>
      <c r="F2101" s="1771"/>
      <c r="G2101" s="1770"/>
      <c r="H2101" s="1771"/>
      <c r="I2101" s="1778"/>
      <c r="J2101" s="1771"/>
      <c r="K2101" s="1771"/>
      <c r="L2101" s="1771"/>
      <c r="M2101" s="1771"/>
      <c r="N2101" s="1779"/>
      <c r="O2101" s="1770"/>
      <c r="P2101" s="1771"/>
      <c r="Q2101" s="1766"/>
      <c r="R2101" s="1766"/>
      <c r="S2101" s="1696"/>
      <c r="T2101" s="1696"/>
      <c r="U2101" s="1772"/>
      <c r="V2101" s="1696"/>
      <c r="W2101" s="1772"/>
      <c r="X2101" s="1696"/>
      <c r="Y2101" s="1696"/>
      <c r="Z2101" s="1773"/>
    </row>
    <row r="2102">
      <c r="A2102" s="1771"/>
      <c r="B2102" s="1777"/>
      <c r="C2102" s="1771"/>
      <c r="D2102" s="1771"/>
      <c r="E2102" s="1770"/>
      <c r="F2102" s="1771"/>
      <c r="G2102" s="1770"/>
      <c r="H2102" s="1771"/>
      <c r="I2102" s="1778"/>
      <c r="J2102" s="1771"/>
      <c r="K2102" s="1771"/>
      <c r="L2102" s="1771"/>
      <c r="M2102" s="1771"/>
      <c r="N2102" s="1779"/>
      <c r="O2102" s="1770"/>
      <c r="P2102" s="1771"/>
      <c r="Q2102" s="1766"/>
      <c r="R2102" s="1766"/>
      <c r="S2102" s="1696"/>
      <c r="T2102" s="1696"/>
      <c r="U2102" s="1772"/>
      <c r="V2102" s="1696"/>
      <c r="W2102" s="1772"/>
      <c r="X2102" s="1696"/>
      <c r="Y2102" s="1696"/>
      <c r="Z2102" s="1773"/>
    </row>
    <row r="2103">
      <c r="A2103" s="1771"/>
      <c r="B2103" s="1777"/>
      <c r="C2103" s="1771"/>
      <c r="D2103" s="1771"/>
      <c r="E2103" s="1770"/>
      <c r="F2103" s="1771"/>
      <c r="G2103" s="1770"/>
      <c r="H2103" s="1771"/>
      <c r="I2103" s="1778"/>
      <c r="J2103" s="1771"/>
      <c r="K2103" s="1771"/>
      <c r="L2103" s="1771"/>
      <c r="M2103" s="1771"/>
      <c r="N2103" s="1771"/>
      <c r="O2103" s="1771"/>
      <c r="P2103" s="1771"/>
      <c r="Q2103" s="1766"/>
      <c r="R2103" s="1766"/>
      <c r="S2103" s="1696"/>
      <c r="T2103" s="1696"/>
      <c r="U2103" s="1772"/>
      <c r="V2103" s="1696"/>
      <c r="W2103" s="1772"/>
      <c r="X2103" s="1696"/>
      <c r="Y2103" s="1696"/>
      <c r="Z2103" s="1773"/>
    </row>
    <row r="2104">
      <c r="A2104" s="1771"/>
      <c r="B2104" s="1777"/>
      <c r="C2104" s="1771"/>
      <c r="D2104" s="1771"/>
      <c r="E2104" s="1770"/>
      <c r="F2104" s="1771"/>
      <c r="G2104" s="1770"/>
      <c r="H2104" s="1771"/>
      <c r="I2104" s="1778"/>
      <c r="J2104" s="1771"/>
      <c r="K2104" s="1771"/>
      <c r="L2104" s="1771"/>
      <c r="M2104" s="1771"/>
      <c r="N2104" s="1771"/>
      <c r="O2104" s="1771"/>
      <c r="P2104" s="1771"/>
      <c r="Q2104" s="1766"/>
      <c r="R2104" s="1766"/>
      <c r="S2104" s="1696"/>
      <c r="T2104" s="1696"/>
      <c r="U2104" s="1772"/>
      <c r="V2104" s="1696"/>
      <c r="W2104" s="1772"/>
      <c r="X2104" s="1696"/>
      <c r="Y2104" s="1696"/>
      <c r="Z2104" s="1773"/>
    </row>
    <row r="2105">
      <c r="A2105" s="1771"/>
      <c r="B2105" s="1777"/>
      <c r="C2105" s="1771"/>
      <c r="D2105" s="1771"/>
      <c r="E2105" s="1770"/>
      <c r="F2105" s="1771"/>
      <c r="G2105" s="1770"/>
      <c r="H2105" s="1771"/>
      <c r="I2105" s="1778"/>
      <c r="J2105" s="1771"/>
      <c r="K2105" s="1771"/>
      <c r="L2105" s="1771"/>
      <c r="M2105" s="1771"/>
      <c r="N2105" s="1771"/>
      <c r="O2105" s="1771"/>
      <c r="P2105" s="1771"/>
      <c r="Q2105" s="1766"/>
      <c r="R2105" s="1766"/>
      <c r="S2105" s="1696"/>
      <c r="T2105" s="1696"/>
      <c r="U2105" s="1772"/>
      <c r="V2105" s="1696"/>
      <c r="W2105" s="1772"/>
      <c r="X2105" s="1696"/>
      <c r="Y2105" s="1696"/>
      <c r="Z2105" s="1773"/>
    </row>
    <row r="2106">
      <c r="A2106" s="1771"/>
      <c r="B2106" s="1777"/>
      <c r="C2106" s="1771"/>
      <c r="D2106" s="1771"/>
      <c r="E2106" s="1770"/>
      <c r="F2106" s="1771"/>
      <c r="G2106" s="1770"/>
      <c r="H2106" s="1771"/>
      <c r="I2106" s="1778"/>
      <c r="J2106" s="1771"/>
      <c r="K2106" s="1771"/>
      <c r="L2106" s="1770"/>
      <c r="M2106" s="1771"/>
      <c r="N2106" s="1771"/>
      <c r="O2106" s="1771"/>
      <c r="P2106" s="1771"/>
      <c r="Q2106" s="1766"/>
      <c r="R2106" s="1766"/>
      <c r="S2106" s="1696"/>
      <c r="T2106" s="1696"/>
      <c r="U2106" s="1772"/>
      <c r="V2106" s="1696"/>
      <c r="W2106" s="1772"/>
      <c r="X2106" s="1696"/>
      <c r="Y2106" s="1696"/>
      <c r="Z2106" s="1773"/>
    </row>
    <row r="2107">
      <c r="A2107" s="1771"/>
      <c r="B2107" s="1777"/>
      <c r="C2107" s="1771"/>
      <c r="D2107" s="1771"/>
      <c r="E2107" s="1770"/>
      <c r="F2107" s="1771"/>
      <c r="G2107" s="1771"/>
      <c r="H2107" s="1771"/>
      <c r="I2107" s="1778"/>
      <c r="J2107" s="1771"/>
      <c r="K2107" s="1771"/>
      <c r="L2107" s="1771"/>
      <c r="M2107" s="1771"/>
      <c r="N2107" s="1779"/>
      <c r="O2107" s="1770"/>
      <c r="P2107" s="1771"/>
      <c r="Q2107" s="1766"/>
      <c r="R2107" s="1766"/>
      <c r="S2107" s="1696"/>
      <c r="T2107" s="1696"/>
      <c r="U2107" s="1772"/>
      <c r="V2107" s="1696"/>
      <c r="W2107" s="1772"/>
      <c r="X2107" s="1696"/>
      <c r="Y2107" s="1696"/>
      <c r="Z2107" s="1773"/>
    </row>
    <row r="2108">
      <c r="A2108" s="1771"/>
      <c r="B2108" s="1777"/>
      <c r="C2108" s="1771"/>
      <c r="D2108" s="1771"/>
      <c r="E2108" s="1770"/>
      <c r="F2108" s="1771"/>
      <c r="G2108" s="1771"/>
      <c r="H2108" s="1771"/>
      <c r="I2108" s="1778"/>
      <c r="J2108" s="1771"/>
      <c r="K2108" s="1771"/>
      <c r="L2108" s="1771"/>
      <c r="M2108" s="1771"/>
      <c r="N2108" s="1779"/>
      <c r="O2108" s="1770"/>
      <c r="P2108" s="1771"/>
      <c r="Q2108" s="1766"/>
      <c r="R2108" s="1766"/>
      <c r="S2108" s="1696"/>
      <c r="T2108" s="1696"/>
      <c r="U2108" s="1772"/>
      <c r="V2108" s="1696"/>
      <c r="W2108" s="1772"/>
      <c r="X2108" s="1696"/>
      <c r="Y2108" s="1696"/>
      <c r="Z2108" s="1773"/>
    </row>
    <row r="2109">
      <c r="A2109" s="1771"/>
      <c r="B2109" s="1777"/>
      <c r="C2109" s="1771"/>
      <c r="D2109" s="1771"/>
      <c r="E2109" s="1770"/>
      <c r="F2109" s="1771"/>
      <c r="G2109" s="1770"/>
      <c r="H2109" s="1771"/>
      <c r="I2109" s="1778"/>
      <c r="J2109" s="1771"/>
      <c r="K2109" s="1771"/>
      <c r="L2109" s="1771"/>
      <c r="M2109" s="1771"/>
      <c r="N2109" s="1779"/>
      <c r="O2109" s="1770"/>
      <c r="P2109" s="1771"/>
      <c r="Q2109" s="1766"/>
      <c r="R2109" s="1766"/>
      <c r="S2109" s="1696"/>
      <c r="T2109" s="1696"/>
      <c r="U2109" s="1772"/>
      <c r="V2109" s="1696"/>
      <c r="W2109" s="1772"/>
      <c r="X2109" s="1696"/>
      <c r="Y2109" s="1696"/>
      <c r="Z2109" s="1773"/>
    </row>
    <row r="2110">
      <c r="A2110" s="1771"/>
      <c r="B2110" s="1777"/>
      <c r="C2110" s="1771"/>
      <c r="D2110" s="1771"/>
      <c r="E2110" s="1770"/>
      <c r="F2110" s="1771"/>
      <c r="G2110" s="1770"/>
      <c r="H2110" s="1771"/>
      <c r="I2110" s="1778"/>
      <c r="J2110" s="1771"/>
      <c r="K2110" s="1771"/>
      <c r="L2110" s="1771"/>
      <c r="M2110" s="1771"/>
      <c r="N2110" s="1771"/>
      <c r="O2110" s="1771"/>
      <c r="P2110" s="1771"/>
      <c r="Q2110" s="1766"/>
      <c r="R2110" s="1766"/>
      <c r="S2110" s="1696"/>
      <c r="T2110" s="1696"/>
      <c r="U2110" s="1772"/>
      <c r="V2110" s="1696"/>
      <c r="W2110" s="1772"/>
      <c r="X2110" s="1696"/>
      <c r="Y2110" s="1696"/>
      <c r="Z2110" s="1773"/>
    </row>
    <row r="2111">
      <c r="A2111" s="1771"/>
      <c r="B2111" s="1777"/>
      <c r="C2111" s="1771"/>
      <c r="D2111" s="1771"/>
      <c r="E2111" s="1770"/>
      <c r="F2111" s="1771"/>
      <c r="G2111" s="1770"/>
      <c r="H2111" s="1771"/>
      <c r="I2111" s="1778"/>
      <c r="J2111" s="1771"/>
      <c r="K2111" s="1771"/>
      <c r="L2111" s="1771"/>
      <c r="M2111" s="1771"/>
      <c r="N2111" s="1771"/>
      <c r="O2111" s="1771"/>
      <c r="P2111" s="1771"/>
      <c r="Q2111" s="1766"/>
      <c r="R2111" s="1766"/>
      <c r="S2111" s="1696"/>
      <c r="T2111" s="1696"/>
      <c r="U2111" s="1772"/>
      <c r="V2111" s="1696"/>
      <c r="W2111" s="1772"/>
      <c r="X2111" s="1696"/>
      <c r="Y2111" s="1696"/>
      <c r="Z2111" s="1773"/>
    </row>
    <row r="2112">
      <c r="A2112" s="1771"/>
      <c r="B2112" s="1777"/>
      <c r="C2112" s="1771"/>
      <c r="D2112" s="1771"/>
      <c r="E2112" s="1770"/>
      <c r="F2112" s="1771"/>
      <c r="G2112" s="1770"/>
      <c r="H2112" s="1771"/>
      <c r="I2112" s="1778"/>
      <c r="J2112" s="1771"/>
      <c r="K2112" s="1771"/>
      <c r="L2112" s="1771"/>
      <c r="M2112" s="1771"/>
      <c r="N2112" s="1779"/>
      <c r="O2112" s="1770"/>
      <c r="P2112" s="1771"/>
      <c r="Q2112" s="1766"/>
      <c r="R2112" s="1766"/>
      <c r="S2112" s="1696"/>
      <c r="T2112" s="1696"/>
      <c r="U2112" s="1772"/>
      <c r="V2112" s="1696"/>
      <c r="W2112" s="1772"/>
      <c r="X2112" s="1696"/>
      <c r="Y2112" s="1696"/>
      <c r="Z2112" s="1773"/>
    </row>
    <row r="2113">
      <c r="A2113" s="1771"/>
      <c r="B2113" s="1777"/>
      <c r="C2113" s="1771"/>
      <c r="D2113" s="1771"/>
      <c r="E2113" s="1770"/>
      <c r="F2113" s="1771"/>
      <c r="G2113" s="1771"/>
      <c r="H2113" s="1771"/>
      <c r="I2113" s="1778"/>
      <c r="J2113" s="1771"/>
      <c r="K2113" s="1771"/>
      <c r="L2113" s="1771"/>
      <c r="M2113" s="1771"/>
      <c r="N2113" s="1771"/>
      <c r="O2113" s="1771"/>
      <c r="P2113" s="1771"/>
      <c r="Q2113" s="1766"/>
      <c r="R2113" s="1766"/>
      <c r="S2113" s="1696"/>
      <c r="T2113" s="1696"/>
      <c r="U2113" s="1772"/>
      <c r="V2113" s="1696"/>
      <c r="W2113" s="1772"/>
      <c r="X2113" s="1696"/>
      <c r="Y2113" s="1696"/>
      <c r="Z2113" s="1773"/>
    </row>
    <row r="2114">
      <c r="A2114" s="1771"/>
      <c r="B2114" s="1777"/>
      <c r="C2114" s="1771"/>
      <c r="D2114" s="1771"/>
      <c r="E2114" s="1770"/>
      <c r="F2114" s="1771"/>
      <c r="G2114" s="1771"/>
      <c r="H2114" s="1771"/>
      <c r="I2114" s="1778"/>
      <c r="J2114" s="1771"/>
      <c r="K2114" s="1771"/>
      <c r="L2114" s="1771"/>
      <c r="M2114" s="1771"/>
      <c r="N2114" s="1771"/>
      <c r="O2114" s="1771"/>
      <c r="P2114" s="1771"/>
      <c r="Q2114" s="1766"/>
      <c r="R2114" s="1766"/>
      <c r="S2114" s="1696"/>
      <c r="T2114" s="1696"/>
      <c r="U2114" s="1772"/>
      <c r="V2114" s="1696"/>
      <c r="W2114" s="1772"/>
      <c r="X2114" s="1696"/>
      <c r="Y2114" s="1696"/>
      <c r="Z2114" s="1773"/>
    </row>
    <row r="2115">
      <c r="A2115" s="1771"/>
      <c r="B2115" s="1777"/>
      <c r="C2115" s="1771"/>
      <c r="D2115" s="1771"/>
      <c r="E2115" s="1770"/>
      <c r="F2115" s="1771"/>
      <c r="G2115" s="1771"/>
      <c r="H2115" s="1771"/>
      <c r="I2115" s="1778"/>
      <c r="J2115" s="1771"/>
      <c r="K2115" s="1771"/>
      <c r="L2115" s="1771"/>
      <c r="M2115" s="1771"/>
      <c r="N2115" s="1771"/>
      <c r="O2115" s="1771"/>
      <c r="P2115" s="1771"/>
      <c r="Q2115" s="1766"/>
      <c r="R2115" s="1766"/>
      <c r="S2115" s="1696"/>
      <c r="T2115" s="1696"/>
      <c r="U2115" s="1772"/>
      <c r="V2115" s="1696"/>
      <c r="W2115" s="1772"/>
      <c r="X2115" s="1696"/>
      <c r="Y2115" s="1696"/>
      <c r="Z2115" s="1773"/>
    </row>
    <row r="2116">
      <c r="A2116" s="1771"/>
      <c r="B2116" s="1777"/>
      <c r="C2116" s="1771"/>
      <c r="D2116" s="1771"/>
      <c r="E2116" s="1770"/>
      <c r="F2116" s="1771"/>
      <c r="G2116" s="1771"/>
      <c r="H2116" s="1771"/>
      <c r="I2116" s="1778"/>
      <c r="J2116" s="1771"/>
      <c r="K2116" s="1771"/>
      <c r="L2116" s="1771"/>
      <c r="M2116" s="1771"/>
      <c r="N2116" s="1771"/>
      <c r="O2116" s="1771"/>
      <c r="P2116" s="1771"/>
      <c r="Q2116" s="1766"/>
      <c r="R2116" s="1766"/>
      <c r="S2116" s="1696"/>
      <c r="T2116" s="1696"/>
      <c r="U2116" s="1772"/>
      <c r="V2116" s="1696"/>
      <c r="W2116" s="1772"/>
      <c r="X2116" s="1696"/>
      <c r="Y2116" s="1696"/>
      <c r="Z2116" s="1773"/>
    </row>
    <row r="2117">
      <c r="A2117" s="1771"/>
      <c r="B2117" s="1777"/>
      <c r="C2117" s="1771"/>
      <c r="D2117" s="1771"/>
      <c r="E2117" s="1770"/>
      <c r="F2117" s="1771"/>
      <c r="G2117" s="1770"/>
      <c r="H2117" s="1771"/>
      <c r="I2117" s="1778"/>
      <c r="J2117" s="1771"/>
      <c r="K2117" s="1771"/>
      <c r="L2117" s="1771"/>
      <c r="M2117" s="1771"/>
      <c r="N2117" s="1771"/>
      <c r="O2117" s="1771"/>
      <c r="P2117" s="1771"/>
      <c r="Q2117" s="1766"/>
      <c r="R2117" s="1766"/>
      <c r="S2117" s="1696"/>
      <c r="T2117" s="1696"/>
      <c r="U2117" s="1772"/>
      <c r="V2117" s="1696"/>
      <c r="W2117" s="1772"/>
      <c r="X2117" s="1696"/>
      <c r="Y2117" s="1696"/>
      <c r="Z2117" s="1773"/>
    </row>
    <row r="2118">
      <c r="A2118" s="1771"/>
      <c r="B2118" s="1777"/>
      <c r="C2118" s="1771"/>
      <c r="D2118" s="1771"/>
      <c r="E2118" s="1770"/>
      <c r="F2118" s="1771"/>
      <c r="G2118" s="1770"/>
      <c r="H2118" s="1771"/>
      <c r="I2118" s="1778"/>
      <c r="J2118" s="1771"/>
      <c r="K2118" s="1771"/>
      <c r="L2118" s="1771"/>
      <c r="M2118" s="1771"/>
      <c r="N2118" s="1771"/>
      <c r="O2118" s="1771"/>
      <c r="P2118" s="1771"/>
      <c r="Q2118" s="1766"/>
      <c r="R2118" s="1766"/>
      <c r="S2118" s="1696"/>
      <c r="T2118" s="1696"/>
      <c r="U2118" s="1772"/>
      <c r="V2118" s="1696"/>
      <c r="W2118" s="1772"/>
      <c r="X2118" s="1696"/>
      <c r="Y2118" s="1696"/>
      <c r="Z2118" s="1773"/>
    </row>
    <row r="2119">
      <c r="A2119" s="1771"/>
      <c r="B2119" s="1777"/>
      <c r="C2119" s="1771"/>
      <c r="D2119" s="1771"/>
      <c r="E2119" s="1770"/>
      <c r="F2119" s="1771"/>
      <c r="G2119" s="1770"/>
      <c r="H2119" s="1771"/>
      <c r="I2119" s="1778"/>
      <c r="J2119" s="1771"/>
      <c r="K2119" s="1771"/>
      <c r="L2119" s="1771"/>
      <c r="M2119" s="1771"/>
      <c r="N2119" s="1779"/>
      <c r="O2119" s="1770"/>
      <c r="P2119" s="1771"/>
      <c r="Q2119" s="1766"/>
      <c r="R2119" s="1766"/>
      <c r="S2119" s="1696"/>
      <c r="T2119" s="1696"/>
      <c r="U2119" s="1772"/>
      <c r="V2119" s="1696"/>
      <c r="W2119" s="1772"/>
      <c r="X2119" s="1696"/>
      <c r="Y2119" s="1696"/>
      <c r="Z2119" s="1773"/>
    </row>
    <row r="2120">
      <c r="A2120" s="1771"/>
      <c r="B2120" s="1777"/>
      <c r="C2120" s="1771"/>
      <c r="D2120" s="1771"/>
      <c r="E2120" s="1770"/>
      <c r="F2120" s="1771"/>
      <c r="G2120" s="1770"/>
      <c r="H2120" s="1771"/>
      <c r="I2120" s="1778"/>
      <c r="J2120" s="1771"/>
      <c r="K2120" s="1771"/>
      <c r="L2120" s="1771"/>
      <c r="M2120" s="1771"/>
      <c r="N2120" s="1779"/>
      <c r="O2120" s="1770"/>
      <c r="P2120" s="1771"/>
      <c r="Q2120" s="1766"/>
      <c r="R2120" s="1766"/>
      <c r="S2120" s="1696"/>
      <c r="T2120" s="1696"/>
      <c r="U2120" s="1772"/>
      <c r="V2120" s="1696"/>
      <c r="W2120" s="1772"/>
      <c r="X2120" s="1696"/>
      <c r="Y2120" s="1696"/>
      <c r="Z2120" s="1773"/>
    </row>
    <row r="2121">
      <c r="A2121" s="1771"/>
      <c r="B2121" s="1777"/>
      <c r="C2121" s="1771"/>
      <c r="D2121" s="1771"/>
      <c r="E2121" s="1770"/>
      <c r="F2121" s="1771"/>
      <c r="G2121" s="1770"/>
      <c r="H2121" s="1771"/>
      <c r="I2121" s="1778"/>
      <c r="J2121" s="1771"/>
      <c r="K2121" s="1771"/>
      <c r="L2121" s="1771"/>
      <c r="M2121" s="1771"/>
      <c r="N2121" s="1779"/>
      <c r="O2121" s="1770"/>
      <c r="P2121" s="1771"/>
      <c r="Q2121" s="1766"/>
      <c r="R2121" s="1766"/>
      <c r="S2121" s="1696"/>
      <c r="T2121" s="1696"/>
      <c r="U2121" s="1772"/>
      <c r="V2121" s="1696"/>
      <c r="W2121" s="1772"/>
      <c r="X2121" s="1696"/>
      <c r="Y2121" s="1696"/>
      <c r="Z2121" s="1773"/>
    </row>
    <row r="2122">
      <c r="A2122" s="1771"/>
      <c r="B2122" s="1777"/>
      <c r="C2122" s="1771"/>
      <c r="D2122" s="1771"/>
      <c r="E2122" s="1770"/>
      <c r="F2122" s="1771"/>
      <c r="G2122" s="1770"/>
      <c r="H2122" s="1771"/>
      <c r="I2122" s="1778"/>
      <c r="J2122" s="1771"/>
      <c r="K2122" s="1771"/>
      <c r="L2122" s="1771"/>
      <c r="M2122" s="1771"/>
      <c r="N2122" s="1771"/>
      <c r="O2122" s="1771"/>
      <c r="P2122" s="1771"/>
      <c r="Q2122" s="1766"/>
      <c r="R2122" s="1766"/>
      <c r="S2122" s="1696"/>
      <c r="T2122" s="1696"/>
      <c r="U2122" s="1772"/>
      <c r="V2122" s="1696"/>
      <c r="W2122" s="1772"/>
      <c r="X2122" s="1696"/>
      <c r="Y2122" s="1696"/>
      <c r="Z2122" s="1773"/>
    </row>
    <row r="2123">
      <c r="A2123" s="1771"/>
      <c r="B2123" s="1777"/>
      <c r="C2123" s="1771"/>
      <c r="D2123" s="1771"/>
      <c r="E2123" s="1770"/>
      <c r="F2123" s="1771"/>
      <c r="G2123" s="1771"/>
      <c r="H2123" s="1771"/>
      <c r="I2123" s="1778"/>
      <c r="J2123" s="1771"/>
      <c r="K2123" s="1771"/>
      <c r="L2123" s="1771"/>
      <c r="M2123" s="1771"/>
      <c r="N2123" s="1771"/>
      <c r="O2123" s="1771"/>
      <c r="P2123" s="1771"/>
      <c r="Q2123" s="1766"/>
      <c r="R2123" s="1766"/>
      <c r="S2123" s="1696"/>
      <c r="T2123" s="1696"/>
      <c r="U2123" s="1772"/>
      <c r="V2123" s="1696"/>
      <c r="W2123" s="1772"/>
      <c r="X2123" s="1696"/>
      <c r="Y2123" s="1696"/>
      <c r="Z2123" s="1773"/>
    </row>
    <row r="2124">
      <c r="A2124" s="1771"/>
      <c r="B2124" s="1777"/>
      <c r="C2124" s="1771"/>
      <c r="D2124" s="1771"/>
      <c r="E2124" s="1770"/>
      <c r="F2124" s="1771"/>
      <c r="G2124" s="1771"/>
      <c r="H2124" s="1771"/>
      <c r="I2124" s="1778"/>
      <c r="J2124" s="1771"/>
      <c r="K2124" s="1771"/>
      <c r="L2124" s="1771"/>
      <c r="M2124" s="1771"/>
      <c r="N2124" s="1779"/>
      <c r="O2124" s="1770"/>
      <c r="P2124" s="1771"/>
      <c r="Q2124" s="1766"/>
      <c r="R2124" s="1766"/>
      <c r="S2124" s="1696"/>
      <c r="T2124" s="1696"/>
      <c r="U2124" s="1772"/>
      <c r="V2124" s="1696"/>
      <c r="W2124" s="1772"/>
      <c r="X2124" s="1696"/>
      <c r="Y2124" s="1696"/>
      <c r="Z2124" s="1773"/>
    </row>
    <row r="2125">
      <c r="A2125" s="1771"/>
      <c r="B2125" s="1777"/>
      <c r="C2125" s="1771"/>
      <c r="D2125" s="1771"/>
      <c r="E2125" s="1770"/>
      <c r="F2125" s="1771"/>
      <c r="G2125" s="1771"/>
      <c r="H2125" s="1771"/>
      <c r="I2125" s="1778"/>
      <c r="J2125" s="1771"/>
      <c r="K2125" s="1771"/>
      <c r="L2125" s="1771"/>
      <c r="M2125" s="1771"/>
      <c r="N2125" s="1779"/>
      <c r="O2125" s="1770"/>
      <c r="P2125" s="1771"/>
      <c r="Q2125" s="1766"/>
      <c r="R2125" s="1766"/>
      <c r="S2125" s="1696"/>
      <c r="T2125" s="1696"/>
      <c r="U2125" s="1772"/>
      <c r="V2125" s="1696"/>
      <c r="W2125" s="1772"/>
      <c r="X2125" s="1696"/>
      <c r="Y2125" s="1696"/>
      <c r="Z2125" s="1773"/>
    </row>
    <row r="2126">
      <c r="A2126" s="1771"/>
      <c r="B2126" s="1777"/>
      <c r="C2126" s="1771"/>
      <c r="D2126" s="1771"/>
      <c r="E2126" s="1770"/>
      <c r="F2126" s="1771"/>
      <c r="G2126" s="1770"/>
      <c r="H2126" s="1771"/>
      <c r="I2126" s="1778"/>
      <c r="J2126" s="1771"/>
      <c r="K2126" s="1771"/>
      <c r="L2126" s="1771"/>
      <c r="M2126" s="1771"/>
      <c r="N2126" s="1779"/>
      <c r="O2126" s="1770"/>
      <c r="P2126" s="1771"/>
      <c r="Q2126" s="1766"/>
      <c r="R2126" s="1766"/>
      <c r="S2126" s="1696"/>
      <c r="T2126" s="1696"/>
      <c r="U2126" s="1772"/>
      <c r="V2126" s="1696"/>
      <c r="W2126" s="1772"/>
      <c r="X2126" s="1696"/>
      <c r="Y2126" s="1696"/>
      <c r="Z2126" s="1773"/>
    </row>
    <row r="2127">
      <c r="A2127" s="1771"/>
      <c r="B2127" s="1777"/>
      <c r="C2127" s="1771"/>
      <c r="D2127" s="1771"/>
      <c r="E2127" s="1770"/>
      <c r="F2127" s="1771"/>
      <c r="G2127" s="1771"/>
      <c r="H2127" s="1771"/>
      <c r="I2127" s="1778"/>
      <c r="J2127" s="1771"/>
      <c r="K2127" s="1771"/>
      <c r="L2127" s="1771"/>
      <c r="M2127" s="1771"/>
      <c r="N2127" s="1779"/>
      <c r="O2127" s="1770"/>
      <c r="P2127" s="1771"/>
      <c r="Q2127" s="1766"/>
      <c r="R2127" s="1766"/>
      <c r="S2127" s="1696"/>
      <c r="T2127" s="1696"/>
      <c r="U2127" s="1772"/>
      <c r="V2127" s="1696"/>
      <c r="W2127" s="1772"/>
      <c r="X2127" s="1696"/>
      <c r="Y2127" s="1696"/>
      <c r="Z2127" s="1773"/>
    </row>
    <row r="2128">
      <c r="A2128" s="1771"/>
      <c r="B2128" s="1777"/>
      <c r="C2128" s="1771"/>
      <c r="D2128" s="1771"/>
      <c r="E2128" s="1770"/>
      <c r="F2128" s="1771"/>
      <c r="G2128" s="1770"/>
      <c r="H2128" s="1771"/>
      <c r="I2128" s="1778"/>
      <c r="J2128" s="1771"/>
      <c r="K2128" s="1771"/>
      <c r="L2128" s="1771"/>
      <c r="M2128" s="1771"/>
      <c r="N2128" s="1779"/>
      <c r="O2128" s="1770"/>
      <c r="P2128" s="1771"/>
      <c r="Q2128" s="1766"/>
      <c r="R2128" s="1766"/>
      <c r="S2128" s="1696"/>
      <c r="T2128" s="1696"/>
      <c r="U2128" s="1772"/>
      <c r="V2128" s="1696"/>
      <c r="W2128" s="1772"/>
      <c r="X2128" s="1696"/>
      <c r="Y2128" s="1696"/>
      <c r="Z2128" s="1773"/>
    </row>
    <row r="2129">
      <c r="A2129" s="1771"/>
      <c r="B2129" s="1777"/>
      <c r="C2129" s="1771"/>
      <c r="D2129" s="1771"/>
      <c r="E2129" s="1770"/>
      <c r="F2129" s="1771"/>
      <c r="G2129" s="1770"/>
      <c r="H2129" s="1771"/>
      <c r="I2129" s="1778"/>
      <c r="J2129" s="1771"/>
      <c r="K2129" s="1771"/>
      <c r="L2129" s="1771"/>
      <c r="M2129" s="1771"/>
      <c r="N2129" s="1779"/>
      <c r="O2129" s="1770"/>
      <c r="P2129" s="1771"/>
      <c r="Q2129" s="1766"/>
      <c r="R2129" s="1766"/>
      <c r="S2129" s="1696"/>
      <c r="T2129" s="1696"/>
      <c r="U2129" s="1772"/>
      <c r="V2129" s="1696"/>
      <c r="W2129" s="1772"/>
      <c r="X2129" s="1696"/>
      <c r="Y2129" s="1696"/>
      <c r="Z2129" s="1773"/>
    </row>
    <row r="2130">
      <c r="A2130" s="1771"/>
      <c r="B2130" s="1777"/>
      <c r="C2130" s="1771"/>
      <c r="D2130" s="1771"/>
      <c r="E2130" s="1770"/>
      <c r="F2130" s="1771"/>
      <c r="G2130" s="1771"/>
      <c r="H2130" s="1771"/>
      <c r="I2130" s="1778"/>
      <c r="J2130" s="1771"/>
      <c r="K2130" s="1771"/>
      <c r="L2130" s="1771"/>
      <c r="M2130" s="1771"/>
      <c r="N2130" s="1779"/>
      <c r="O2130" s="1770"/>
      <c r="P2130" s="1771"/>
      <c r="Q2130" s="1766"/>
      <c r="R2130" s="1766"/>
      <c r="S2130" s="1696"/>
      <c r="T2130" s="1696"/>
      <c r="U2130" s="1772"/>
      <c r="V2130" s="1696"/>
      <c r="W2130" s="1772"/>
      <c r="X2130" s="1696"/>
      <c r="Y2130" s="1696"/>
      <c r="Z2130" s="1773"/>
    </row>
    <row r="2131">
      <c r="A2131" s="1771"/>
      <c r="B2131" s="1777"/>
      <c r="C2131" s="1771"/>
      <c r="D2131" s="1771"/>
      <c r="E2131" s="1770"/>
      <c r="F2131" s="1771"/>
      <c r="G2131" s="1770"/>
      <c r="H2131" s="1771"/>
      <c r="I2131" s="1778"/>
      <c r="J2131" s="1771"/>
      <c r="K2131" s="1771"/>
      <c r="L2131" s="1771"/>
      <c r="M2131" s="1771"/>
      <c r="N2131" s="1779"/>
      <c r="O2131" s="1770"/>
      <c r="P2131" s="1771"/>
      <c r="Q2131" s="1766"/>
      <c r="R2131" s="1766"/>
      <c r="S2131" s="1696"/>
      <c r="T2131" s="1696"/>
      <c r="U2131" s="1772"/>
      <c r="V2131" s="1696"/>
      <c r="W2131" s="1772"/>
      <c r="X2131" s="1696"/>
      <c r="Y2131" s="1696"/>
      <c r="Z2131" s="1773"/>
    </row>
    <row r="2132">
      <c r="A2132" s="1771"/>
      <c r="B2132" s="1777"/>
      <c r="C2132" s="1771"/>
      <c r="D2132" s="1771"/>
      <c r="E2132" s="1770"/>
      <c r="F2132" s="1771"/>
      <c r="G2132" s="1770"/>
      <c r="H2132" s="1771"/>
      <c r="I2132" s="1778"/>
      <c r="J2132" s="1771"/>
      <c r="K2132" s="1771"/>
      <c r="L2132" s="1771"/>
      <c r="M2132" s="1771"/>
      <c r="N2132" s="1771"/>
      <c r="O2132" s="1771"/>
      <c r="P2132" s="1771"/>
      <c r="Q2132" s="1766"/>
      <c r="R2132" s="1766"/>
      <c r="S2132" s="1696"/>
      <c r="T2132" s="1696"/>
      <c r="U2132" s="1772"/>
      <c r="V2132" s="1696"/>
      <c r="W2132" s="1772"/>
      <c r="X2132" s="1696"/>
      <c r="Y2132" s="1696"/>
      <c r="Z2132" s="1773"/>
    </row>
    <row r="2133">
      <c r="A2133" s="1771"/>
      <c r="B2133" s="1777"/>
      <c r="C2133" s="1771"/>
      <c r="D2133" s="1771"/>
      <c r="E2133" s="1770"/>
      <c r="F2133" s="1771"/>
      <c r="G2133" s="1770"/>
      <c r="H2133" s="1771"/>
      <c r="I2133" s="1778"/>
      <c r="J2133" s="1771"/>
      <c r="K2133" s="1771"/>
      <c r="L2133" s="1771"/>
      <c r="M2133" s="1771"/>
      <c r="N2133" s="1771"/>
      <c r="O2133" s="1771"/>
      <c r="P2133" s="1771"/>
      <c r="Q2133" s="1766"/>
      <c r="R2133" s="1766"/>
      <c r="S2133" s="1696"/>
      <c r="T2133" s="1696"/>
      <c r="U2133" s="1772"/>
      <c r="V2133" s="1696"/>
      <c r="W2133" s="1772"/>
      <c r="X2133" s="1696"/>
      <c r="Y2133" s="1696"/>
      <c r="Z2133" s="1773"/>
    </row>
    <row r="2134">
      <c r="A2134" s="1771"/>
      <c r="B2134" s="1777"/>
      <c r="C2134" s="1771"/>
      <c r="D2134" s="1771"/>
      <c r="E2134" s="1770"/>
      <c r="F2134" s="1771"/>
      <c r="G2134" s="1770"/>
      <c r="H2134" s="1771"/>
      <c r="I2134" s="1778"/>
      <c r="J2134" s="1771"/>
      <c r="K2134" s="1771"/>
      <c r="L2134" s="1771"/>
      <c r="M2134" s="1771"/>
      <c r="N2134" s="1771"/>
      <c r="O2134" s="1771"/>
      <c r="P2134" s="1771"/>
      <c r="Q2134" s="1766"/>
      <c r="R2134" s="1766"/>
      <c r="S2134" s="1696"/>
      <c r="T2134" s="1696"/>
      <c r="U2134" s="1772"/>
      <c r="V2134" s="1696"/>
      <c r="W2134" s="1772"/>
      <c r="X2134" s="1696"/>
      <c r="Y2134" s="1696"/>
      <c r="Z2134" s="1773"/>
    </row>
    <row r="2135">
      <c r="A2135" s="1771"/>
      <c r="B2135" s="1777"/>
      <c r="C2135" s="1771"/>
      <c r="D2135" s="1771"/>
      <c r="E2135" s="1770"/>
      <c r="F2135" s="1771"/>
      <c r="G2135" s="1770"/>
      <c r="H2135" s="1771"/>
      <c r="I2135" s="1770"/>
      <c r="J2135" s="1771"/>
      <c r="K2135" s="1771"/>
      <c r="L2135" s="1771"/>
      <c r="M2135" s="1771"/>
      <c r="N2135" s="1771"/>
      <c r="O2135" s="1771"/>
      <c r="P2135" s="1771"/>
      <c r="Q2135" s="1766"/>
      <c r="R2135" s="1766"/>
      <c r="S2135" s="1696"/>
      <c r="T2135" s="1696"/>
      <c r="U2135" s="1772"/>
      <c r="V2135" s="1696"/>
      <c r="W2135" s="1772"/>
      <c r="X2135" s="1696"/>
      <c r="Y2135" s="1696"/>
      <c r="Z2135" s="1773"/>
    </row>
    <row r="2136">
      <c r="A2136" s="1771"/>
      <c r="B2136" s="1777"/>
      <c r="C2136" s="1771"/>
      <c r="D2136" s="1771"/>
      <c r="E2136" s="1770"/>
      <c r="F2136" s="1771"/>
      <c r="G2136" s="1771"/>
      <c r="H2136" s="1771"/>
      <c r="I2136" s="1778"/>
      <c r="J2136" s="1771"/>
      <c r="K2136" s="1771"/>
      <c r="L2136" s="1771"/>
      <c r="M2136" s="1771"/>
      <c r="N2136" s="1771"/>
      <c r="O2136" s="1771"/>
      <c r="P2136" s="1771"/>
      <c r="Q2136" s="1766"/>
      <c r="R2136" s="1766"/>
      <c r="S2136" s="1696"/>
      <c r="T2136" s="1696"/>
      <c r="U2136" s="1772"/>
      <c r="V2136" s="1696"/>
      <c r="W2136" s="1772"/>
      <c r="X2136" s="1696"/>
      <c r="Y2136" s="1696"/>
      <c r="Z2136" s="1773"/>
    </row>
    <row r="2137">
      <c r="A2137" s="1771"/>
      <c r="B2137" s="1777"/>
      <c r="C2137" s="1771"/>
      <c r="D2137" s="1771"/>
      <c r="E2137" s="1770"/>
      <c r="F2137" s="1771"/>
      <c r="G2137" s="1771"/>
      <c r="H2137" s="1771"/>
      <c r="I2137" s="1770"/>
      <c r="J2137" s="1771"/>
      <c r="K2137" s="1771"/>
      <c r="L2137" s="1771"/>
      <c r="M2137" s="1771"/>
      <c r="N2137" s="1779"/>
      <c r="O2137" s="1770"/>
      <c r="P2137" s="1771"/>
      <c r="Q2137" s="1766"/>
      <c r="R2137" s="1766"/>
      <c r="S2137" s="1696"/>
      <c r="T2137" s="1696"/>
      <c r="U2137" s="1772"/>
      <c r="V2137" s="1696"/>
      <c r="W2137" s="1772"/>
      <c r="X2137" s="1696"/>
      <c r="Y2137" s="1696"/>
      <c r="Z2137" s="1773"/>
    </row>
    <row r="2138">
      <c r="A2138" s="1771"/>
      <c r="B2138" s="1777"/>
      <c r="C2138" s="1771"/>
      <c r="D2138" s="1771"/>
      <c r="E2138" s="1770"/>
      <c r="F2138" s="1771"/>
      <c r="G2138" s="1770"/>
      <c r="H2138" s="1771"/>
      <c r="I2138" s="1778"/>
      <c r="J2138" s="1771"/>
      <c r="K2138" s="1771"/>
      <c r="L2138" s="1771"/>
      <c r="M2138" s="1771"/>
      <c r="N2138" s="1779"/>
      <c r="O2138" s="1770"/>
      <c r="P2138" s="1771"/>
      <c r="Q2138" s="1766"/>
      <c r="R2138" s="1766"/>
      <c r="S2138" s="1696"/>
      <c r="T2138" s="1696"/>
      <c r="U2138" s="1772"/>
      <c r="V2138" s="1696"/>
      <c r="W2138" s="1772"/>
      <c r="X2138" s="1696"/>
      <c r="Y2138" s="1696"/>
      <c r="Z2138" s="1773"/>
    </row>
    <row r="2139">
      <c r="A2139" s="1771"/>
      <c r="B2139" s="1777"/>
      <c r="C2139" s="1771"/>
      <c r="D2139" s="1771"/>
      <c r="E2139" s="1770"/>
      <c r="F2139" s="1771"/>
      <c r="G2139" s="1771"/>
      <c r="H2139" s="1771"/>
      <c r="I2139" s="1778"/>
      <c r="J2139" s="1771"/>
      <c r="K2139" s="1771"/>
      <c r="L2139" s="1771"/>
      <c r="M2139" s="1771"/>
      <c r="N2139" s="1771"/>
      <c r="O2139" s="1771"/>
      <c r="P2139" s="1771"/>
      <c r="Q2139" s="1766"/>
      <c r="R2139" s="1766"/>
      <c r="S2139" s="1696"/>
      <c r="T2139" s="1696"/>
      <c r="U2139" s="1772"/>
      <c r="V2139" s="1696"/>
      <c r="W2139" s="1772"/>
      <c r="X2139" s="1696"/>
      <c r="Y2139" s="1696"/>
      <c r="Z2139" s="1773"/>
    </row>
    <row r="2140">
      <c r="A2140" s="1771"/>
      <c r="B2140" s="1777"/>
      <c r="C2140" s="1771"/>
      <c r="D2140" s="1771"/>
      <c r="E2140" s="1770"/>
      <c r="F2140" s="1771"/>
      <c r="G2140" s="1770"/>
      <c r="H2140" s="1771"/>
      <c r="I2140" s="1778"/>
      <c r="J2140" s="1771"/>
      <c r="K2140" s="1771"/>
      <c r="L2140" s="1771"/>
      <c r="M2140" s="1771"/>
      <c r="N2140" s="1771"/>
      <c r="O2140" s="1771"/>
      <c r="P2140" s="1771"/>
      <c r="Q2140" s="1766"/>
      <c r="R2140" s="1766"/>
      <c r="S2140" s="1696"/>
      <c r="T2140" s="1696"/>
      <c r="U2140" s="1772"/>
      <c r="V2140" s="1696"/>
      <c r="W2140" s="1772"/>
      <c r="X2140" s="1696"/>
      <c r="Y2140" s="1696"/>
      <c r="Z2140" s="1773"/>
    </row>
    <row r="2141">
      <c r="A2141" s="1771"/>
      <c r="B2141" s="1777"/>
      <c r="C2141" s="1771"/>
      <c r="D2141" s="1771"/>
      <c r="E2141" s="1770"/>
      <c r="F2141" s="1771"/>
      <c r="G2141" s="1770"/>
      <c r="H2141" s="1771"/>
      <c r="I2141" s="1778"/>
      <c r="J2141" s="1771"/>
      <c r="K2141" s="1771"/>
      <c r="L2141" s="1771"/>
      <c r="M2141" s="1771"/>
      <c r="N2141" s="1771"/>
      <c r="O2141" s="1771"/>
      <c r="P2141" s="1771"/>
      <c r="Q2141" s="1766"/>
      <c r="R2141" s="1766"/>
      <c r="S2141" s="1696"/>
      <c r="T2141" s="1696"/>
      <c r="U2141" s="1772"/>
      <c r="V2141" s="1696"/>
      <c r="W2141" s="1772"/>
      <c r="X2141" s="1696"/>
      <c r="Y2141" s="1696"/>
      <c r="Z2141" s="1773"/>
    </row>
    <row r="2142">
      <c r="A2142" s="1771"/>
      <c r="B2142" s="1777"/>
      <c r="C2142" s="1771"/>
      <c r="D2142" s="1771"/>
      <c r="E2142" s="1770"/>
      <c r="F2142" s="1771"/>
      <c r="G2142" s="1770"/>
      <c r="H2142" s="1771"/>
      <c r="I2142" s="1778"/>
      <c r="J2142" s="1771"/>
      <c r="K2142" s="1771"/>
      <c r="L2142" s="1771"/>
      <c r="M2142" s="1771"/>
      <c r="N2142" s="1771"/>
      <c r="O2142" s="1771"/>
      <c r="P2142" s="1771"/>
      <c r="Q2142" s="1766"/>
      <c r="R2142" s="1766"/>
      <c r="S2142" s="1696"/>
      <c r="T2142" s="1696"/>
      <c r="U2142" s="1772"/>
      <c r="V2142" s="1696"/>
      <c r="W2142" s="1772"/>
      <c r="X2142" s="1696"/>
      <c r="Y2142" s="1696"/>
      <c r="Z2142" s="1773"/>
    </row>
    <row r="2143">
      <c r="A2143" s="1771"/>
      <c r="B2143" s="1777"/>
      <c r="C2143" s="1771"/>
      <c r="D2143" s="1771"/>
      <c r="E2143" s="1770"/>
      <c r="F2143" s="1771"/>
      <c r="G2143" s="1770"/>
      <c r="H2143" s="1771"/>
      <c r="I2143" s="1778"/>
      <c r="J2143" s="1771"/>
      <c r="K2143" s="1771"/>
      <c r="L2143" s="1771"/>
      <c r="M2143" s="1771"/>
      <c r="N2143" s="1771"/>
      <c r="O2143" s="1771"/>
      <c r="P2143" s="1771"/>
      <c r="Q2143" s="1766"/>
      <c r="R2143" s="1766"/>
      <c r="S2143" s="1696"/>
      <c r="T2143" s="1696"/>
      <c r="U2143" s="1772"/>
      <c r="V2143" s="1696"/>
      <c r="W2143" s="1772"/>
      <c r="X2143" s="1696"/>
      <c r="Y2143" s="1696"/>
      <c r="Z2143" s="1773"/>
    </row>
    <row r="2144">
      <c r="A2144" s="1771"/>
      <c r="B2144" s="1777"/>
      <c r="C2144" s="1771"/>
      <c r="D2144" s="1771"/>
      <c r="E2144" s="1770"/>
      <c r="F2144" s="1771"/>
      <c r="G2144" s="1771"/>
      <c r="H2144" s="1771"/>
      <c r="I2144" s="1778"/>
      <c r="J2144" s="1771"/>
      <c r="K2144" s="1771"/>
      <c r="L2144" s="1771"/>
      <c r="M2144" s="1771"/>
      <c r="N2144" s="1779"/>
      <c r="O2144" s="1770"/>
      <c r="P2144" s="1771"/>
      <c r="Q2144" s="1766"/>
      <c r="R2144" s="1766"/>
      <c r="S2144" s="1696"/>
      <c r="T2144" s="1696"/>
      <c r="U2144" s="1772"/>
      <c r="V2144" s="1696"/>
      <c r="W2144" s="1772"/>
      <c r="X2144" s="1696"/>
      <c r="Y2144" s="1696"/>
      <c r="Z2144" s="1773"/>
    </row>
    <row r="2145">
      <c r="A2145" s="1771"/>
      <c r="B2145" s="1777"/>
      <c r="C2145" s="1771"/>
      <c r="D2145" s="1771"/>
      <c r="E2145" s="1770"/>
      <c r="F2145" s="1771"/>
      <c r="G2145" s="1770"/>
      <c r="H2145" s="1771"/>
      <c r="I2145" s="1778"/>
      <c r="J2145" s="1771"/>
      <c r="K2145" s="1771"/>
      <c r="L2145" s="1771"/>
      <c r="M2145" s="1771"/>
      <c r="N2145" s="1771"/>
      <c r="O2145" s="1771"/>
      <c r="P2145" s="1771"/>
      <c r="Q2145" s="1766"/>
      <c r="R2145" s="1766"/>
      <c r="S2145" s="1696"/>
      <c r="T2145" s="1696"/>
      <c r="U2145" s="1772"/>
      <c r="V2145" s="1696"/>
      <c r="W2145" s="1772"/>
      <c r="X2145" s="1696"/>
      <c r="Y2145" s="1696"/>
      <c r="Z2145" s="1773"/>
    </row>
    <row r="2146">
      <c r="A2146" s="1771"/>
      <c r="B2146" s="1777"/>
      <c r="C2146" s="1771"/>
      <c r="D2146" s="1771"/>
      <c r="E2146" s="1770"/>
      <c r="F2146" s="1771"/>
      <c r="G2146" s="1770"/>
      <c r="H2146" s="1771"/>
      <c r="I2146" s="1778"/>
      <c r="J2146" s="1771"/>
      <c r="K2146" s="1771"/>
      <c r="L2146" s="1771"/>
      <c r="M2146" s="1771"/>
      <c r="N2146" s="1771"/>
      <c r="O2146" s="1771"/>
      <c r="P2146" s="1771"/>
      <c r="Q2146" s="1766"/>
      <c r="R2146" s="1766"/>
      <c r="S2146" s="1696"/>
      <c r="T2146" s="1696"/>
      <c r="U2146" s="1772"/>
      <c r="V2146" s="1696"/>
      <c r="W2146" s="1772"/>
      <c r="X2146" s="1696"/>
      <c r="Y2146" s="1696"/>
      <c r="Z2146" s="1773"/>
    </row>
    <row r="2147">
      <c r="A2147" s="1771"/>
      <c r="B2147" s="1777"/>
      <c r="C2147" s="1771"/>
      <c r="D2147" s="1771"/>
      <c r="E2147" s="1770"/>
      <c r="F2147" s="1771"/>
      <c r="G2147" s="1770"/>
      <c r="H2147" s="1771"/>
      <c r="I2147" s="1778"/>
      <c r="J2147" s="1771"/>
      <c r="K2147" s="1771"/>
      <c r="L2147" s="1771"/>
      <c r="M2147" s="1771"/>
      <c r="N2147" s="1771"/>
      <c r="O2147" s="1771"/>
      <c r="P2147" s="1771"/>
      <c r="Q2147" s="1766"/>
      <c r="R2147" s="1766"/>
      <c r="S2147" s="1696"/>
      <c r="T2147" s="1696"/>
      <c r="U2147" s="1772"/>
      <c r="V2147" s="1696"/>
      <c r="W2147" s="1772"/>
      <c r="X2147" s="1696"/>
      <c r="Y2147" s="1696"/>
      <c r="Z2147" s="1773"/>
    </row>
    <row r="2148">
      <c r="A2148" s="1771"/>
      <c r="B2148" s="1777"/>
      <c r="C2148" s="1771"/>
      <c r="D2148" s="1771"/>
      <c r="E2148" s="1770"/>
      <c r="F2148" s="1771"/>
      <c r="G2148" s="1771"/>
      <c r="H2148" s="1771"/>
      <c r="I2148" s="1778"/>
      <c r="J2148" s="1771"/>
      <c r="K2148" s="1771"/>
      <c r="L2148" s="1771"/>
      <c r="M2148" s="1771"/>
      <c r="N2148" s="1771"/>
      <c r="O2148" s="1771"/>
      <c r="P2148" s="1771"/>
      <c r="Q2148" s="1766"/>
      <c r="R2148" s="1766"/>
      <c r="S2148" s="1696"/>
      <c r="T2148" s="1696"/>
      <c r="U2148" s="1772"/>
      <c r="V2148" s="1696"/>
      <c r="W2148" s="1772"/>
      <c r="X2148" s="1696"/>
      <c r="Y2148" s="1696"/>
      <c r="Z2148" s="1773"/>
    </row>
    <row r="2149">
      <c r="A2149" s="1771"/>
      <c r="B2149" s="1777"/>
      <c r="C2149" s="1771"/>
      <c r="D2149" s="1771"/>
      <c r="E2149" s="1770"/>
      <c r="F2149" s="1771"/>
      <c r="G2149" s="1770"/>
      <c r="H2149" s="1771"/>
      <c r="I2149" s="1778"/>
      <c r="J2149" s="1771"/>
      <c r="K2149" s="1771"/>
      <c r="L2149" s="1771"/>
      <c r="M2149" s="1771"/>
      <c r="N2149" s="1779"/>
      <c r="O2149" s="1770"/>
      <c r="P2149" s="1771"/>
      <c r="Q2149" s="1766"/>
      <c r="R2149" s="1766"/>
      <c r="S2149" s="1696"/>
      <c r="T2149" s="1696"/>
      <c r="U2149" s="1772"/>
      <c r="V2149" s="1696"/>
      <c r="W2149" s="1772"/>
      <c r="X2149" s="1696"/>
      <c r="Y2149" s="1696"/>
      <c r="Z2149" s="1773"/>
    </row>
    <row r="2150">
      <c r="A2150" s="1771"/>
      <c r="B2150" s="1777"/>
      <c r="C2150" s="1771"/>
      <c r="D2150" s="1771"/>
      <c r="E2150" s="1770"/>
      <c r="F2150" s="1771"/>
      <c r="G2150" s="1770"/>
      <c r="H2150" s="1771"/>
      <c r="I2150" s="1778"/>
      <c r="J2150" s="1771"/>
      <c r="K2150" s="1771"/>
      <c r="L2150" s="1771"/>
      <c r="M2150" s="1771"/>
      <c r="N2150" s="1779"/>
      <c r="O2150" s="1770"/>
      <c r="P2150" s="1771"/>
      <c r="Q2150" s="1766"/>
      <c r="R2150" s="1766"/>
      <c r="S2150" s="1696"/>
      <c r="T2150" s="1696"/>
      <c r="U2150" s="1772"/>
      <c r="V2150" s="1696"/>
      <c r="W2150" s="1772"/>
      <c r="X2150" s="1696"/>
      <c r="Y2150" s="1696"/>
      <c r="Z2150" s="1773"/>
    </row>
    <row r="2151">
      <c r="A2151" s="1771"/>
      <c r="B2151" s="1777"/>
      <c r="C2151" s="1771"/>
      <c r="D2151" s="1771"/>
      <c r="E2151" s="1770"/>
      <c r="F2151" s="1771"/>
      <c r="G2151" s="1770"/>
      <c r="H2151" s="1771"/>
      <c r="I2151" s="1778"/>
      <c r="J2151" s="1771"/>
      <c r="K2151" s="1771"/>
      <c r="L2151" s="1771"/>
      <c r="M2151" s="1771"/>
      <c r="N2151" s="1779"/>
      <c r="O2151" s="1770"/>
      <c r="P2151" s="1771"/>
      <c r="Q2151" s="1766"/>
      <c r="R2151" s="1766"/>
      <c r="S2151" s="1696"/>
      <c r="T2151" s="1696"/>
      <c r="U2151" s="1772"/>
      <c r="V2151" s="1696"/>
      <c r="W2151" s="1772"/>
      <c r="X2151" s="1696"/>
      <c r="Y2151" s="1696"/>
      <c r="Z2151" s="1773"/>
    </row>
    <row r="2152">
      <c r="A2152" s="1771"/>
      <c r="B2152" s="1777"/>
      <c r="C2152" s="1771"/>
      <c r="D2152" s="1771"/>
      <c r="E2152" s="1770"/>
      <c r="F2152" s="1771"/>
      <c r="G2152" s="1770"/>
      <c r="H2152" s="1771"/>
      <c r="I2152" s="1778"/>
      <c r="J2152" s="1771"/>
      <c r="K2152" s="1771"/>
      <c r="L2152" s="1771"/>
      <c r="M2152" s="1771"/>
      <c r="N2152" s="1779"/>
      <c r="O2152" s="1770"/>
      <c r="P2152" s="1771"/>
      <c r="Q2152" s="1766"/>
      <c r="R2152" s="1766"/>
      <c r="S2152" s="1696"/>
      <c r="T2152" s="1696"/>
      <c r="U2152" s="1772"/>
      <c r="V2152" s="1696"/>
      <c r="W2152" s="1772"/>
      <c r="X2152" s="1696"/>
      <c r="Y2152" s="1696"/>
      <c r="Z2152" s="1773"/>
    </row>
    <row r="2153">
      <c r="A2153" s="1771"/>
      <c r="B2153" s="1777"/>
      <c r="C2153" s="1771"/>
      <c r="D2153" s="1771"/>
      <c r="E2153" s="1770"/>
      <c r="F2153" s="1771"/>
      <c r="G2153" s="1770"/>
      <c r="H2153" s="1771"/>
      <c r="I2153" s="1778"/>
      <c r="J2153" s="1771"/>
      <c r="K2153" s="1771"/>
      <c r="L2153" s="1771"/>
      <c r="M2153" s="1771"/>
      <c r="N2153" s="1771"/>
      <c r="O2153" s="1771"/>
      <c r="P2153" s="1771"/>
      <c r="Q2153" s="1766"/>
      <c r="R2153" s="1766"/>
      <c r="S2153" s="1696"/>
      <c r="T2153" s="1696"/>
      <c r="U2153" s="1772"/>
      <c r="V2153" s="1696"/>
      <c r="W2153" s="1772"/>
      <c r="X2153" s="1696"/>
      <c r="Y2153" s="1696"/>
      <c r="Z2153" s="1773"/>
    </row>
    <row r="2154">
      <c r="A2154" s="1771"/>
      <c r="B2154" s="1777"/>
      <c r="C2154" s="1771"/>
      <c r="D2154" s="1771"/>
      <c r="E2154" s="1770"/>
      <c r="F2154" s="1771"/>
      <c r="G2154" s="1770"/>
      <c r="H2154" s="1771"/>
      <c r="I2154" s="1778"/>
      <c r="J2154" s="1771"/>
      <c r="K2154" s="1771"/>
      <c r="L2154" s="1771"/>
      <c r="M2154" s="1771"/>
      <c r="N2154" s="1771"/>
      <c r="O2154" s="1771"/>
      <c r="P2154" s="1771"/>
      <c r="Q2154" s="1766"/>
      <c r="R2154" s="1766"/>
      <c r="S2154" s="1696"/>
      <c r="T2154" s="1696"/>
      <c r="U2154" s="1772"/>
      <c r="V2154" s="1696"/>
      <c r="W2154" s="1772"/>
      <c r="X2154" s="1696"/>
      <c r="Y2154" s="1696"/>
      <c r="Z2154" s="1773"/>
    </row>
    <row r="2155">
      <c r="A2155" s="1771"/>
      <c r="B2155" s="1777"/>
      <c r="C2155" s="1771"/>
      <c r="D2155" s="1771"/>
      <c r="E2155" s="1770"/>
      <c r="F2155" s="1771"/>
      <c r="G2155" s="1770"/>
      <c r="H2155" s="1771"/>
      <c r="I2155" s="1778"/>
      <c r="J2155" s="1771"/>
      <c r="K2155" s="1771"/>
      <c r="L2155" s="1771"/>
      <c r="M2155" s="1771"/>
      <c r="N2155" s="1779"/>
      <c r="O2155" s="1771"/>
      <c r="P2155" s="1771"/>
      <c r="Q2155" s="1766"/>
      <c r="R2155" s="1766"/>
      <c r="S2155" s="1696"/>
      <c r="T2155" s="1696"/>
      <c r="U2155" s="1772"/>
      <c r="V2155" s="1696"/>
      <c r="W2155" s="1772"/>
      <c r="X2155" s="1696"/>
      <c r="Y2155" s="1696"/>
      <c r="Z2155" s="1773"/>
    </row>
    <row r="2156">
      <c r="A2156" s="1771"/>
      <c r="B2156" s="1777"/>
      <c r="C2156" s="1771"/>
      <c r="D2156" s="1771"/>
      <c r="E2156" s="1770"/>
      <c r="F2156" s="1771"/>
      <c r="G2156" s="1771"/>
      <c r="H2156" s="1771"/>
      <c r="I2156" s="1778"/>
      <c r="J2156" s="1771"/>
      <c r="K2156" s="1771"/>
      <c r="L2156" s="1771"/>
      <c r="M2156" s="1771"/>
      <c r="N2156" s="1771"/>
      <c r="O2156" s="1771"/>
      <c r="P2156" s="1771"/>
      <c r="Q2156" s="1766"/>
      <c r="R2156" s="1766"/>
      <c r="S2156" s="1696"/>
      <c r="T2156" s="1696"/>
      <c r="U2156" s="1772"/>
      <c r="V2156" s="1696"/>
      <c r="W2156" s="1772"/>
      <c r="X2156" s="1696"/>
      <c r="Y2156" s="1696"/>
      <c r="Z2156" s="1773"/>
    </row>
    <row r="2157">
      <c r="A2157" s="1771"/>
      <c r="B2157" s="1777"/>
      <c r="C2157" s="1771"/>
      <c r="D2157" s="1771"/>
      <c r="E2157" s="1770"/>
      <c r="F2157" s="1771"/>
      <c r="G2157" s="1771"/>
      <c r="H2157" s="1771"/>
      <c r="I2157" s="1778"/>
      <c r="J2157" s="1771"/>
      <c r="K2157" s="1771"/>
      <c r="L2157" s="1771"/>
      <c r="M2157" s="1771"/>
      <c r="N2157" s="1771"/>
      <c r="O2157" s="1771"/>
      <c r="P2157" s="1771"/>
      <c r="Q2157" s="1766"/>
      <c r="R2157" s="1766"/>
      <c r="S2157" s="1696"/>
      <c r="T2157" s="1696"/>
      <c r="U2157" s="1772"/>
      <c r="V2157" s="1696"/>
      <c r="W2157" s="1772"/>
      <c r="X2157" s="1696"/>
      <c r="Y2157" s="1696"/>
      <c r="Z2157" s="1773"/>
    </row>
    <row r="2158">
      <c r="A2158" s="1771"/>
      <c r="B2158" s="1777"/>
      <c r="C2158" s="1771"/>
      <c r="D2158" s="1771"/>
      <c r="E2158" s="1770"/>
      <c r="F2158" s="1771"/>
      <c r="G2158" s="1771"/>
      <c r="H2158" s="1771"/>
      <c r="I2158" s="1778"/>
      <c r="J2158" s="1771"/>
      <c r="K2158" s="1771"/>
      <c r="L2158" s="1771"/>
      <c r="M2158" s="1771"/>
      <c r="N2158" s="1771"/>
      <c r="O2158" s="1771"/>
      <c r="P2158" s="1771"/>
      <c r="Q2158" s="1766"/>
      <c r="R2158" s="1766"/>
      <c r="S2158" s="1696"/>
      <c r="T2158" s="1696"/>
      <c r="U2158" s="1772"/>
      <c r="V2158" s="1696"/>
      <c r="W2158" s="1772"/>
      <c r="X2158" s="1696"/>
      <c r="Y2158" s="1696"/>
      <c r="Z2158" s="1773"/>
    </row>
    <row r="2159">
      <c r="A2159" s="1771"/>
      <c r="B2159" s="1777"/>
      <c r="C2159" s="1771"/>
      <c r="D2159" s="1771"/>
      <c r="E2159" s="1770"/>
      <c r="F2159" s="1771"/>
      <c r="G2159" s="1770"/>
      <c r="H2159" s="1771"/>
      <c r="I2159" s="1778"/>
      <c r="J2159" s="1771"/>
      <c r="K2159" s="1771"/>
      <c r="L2159" s="1771"/>
      <c r="M2159" s="1771"/>
      <c r="N2159" s="1771"/>
      <c r="O2159" s="1771"/>
      <c r="P2159" s="1771"/>
      <c r="Q2159" s="1766"/>
      <c r="R2159" s="1766"/>
      <c r="S2159" s="1696"/>
      <c r="T2159" s="1696"/>
      <c r="U2159" s="1772"/>
      <c r="V2159" s="1696"/>
      <c r="W2159" s="1772"/>
      <c r="X2159" s="1696"/>
      <c r="Y2159" s="1696"/>
      <c r="Z2159" s="1773"/>
    </row>
    <row r="2160">
      <c r="A2160" s="1771"/>
      <c r="B2160" s="1777"/>
      <c r="C2160" s="1771"/>
      <c r="D2160" s="1771"/>
      <c r="E2160" s="1770"/>
      <c r="F2160" s="1771"/>
      <c r="G2160" s="1771"/>
      <c r="H2160" s="1771"/>
      <c r="I2160" s="1778"/>
      <c r="J2160" s="1771"/>
      <c r="K2160" s="1771"/>
      <c r="L2160" s="1771"/>
      <c r="M2160" s="1771"/>
      <c r="N2160" s="1771"/>
      <c r="O2160" s="1771"/>
      <c r="P2160" s="1771"/>
      <c r="Q2160" s="1766"/>
      <c r="R2160" s="1766"/>
      <c r="S2160" s="1696"/>
      <c r="T2160" s="1696"/>
      <c r="U2160" s="1772"/>
      <c r="V2160" s="1696"/>
      <c r="W2160" s="1772"/>
      <c r="X2160" s="1696"/>
      <c r="Y2160" s="1696"/>
      <c r="Z2160" s="1773"/>
    </row>
    <row r="2161">
      <c r="A2161" s="1771"/>
      <c r="B2161" s="1777"/>
      <c r="C2161" s="1771"/>
      <c r="D2161" s="1771"/>
      <c r="E2161" s="1770"/>
      <c r="F2161" s="1771"/>
      <c r="G2161" s="1770"/>
      <c r="H2161" s="1771"/>
      <c r="I2161" s="1778"/>
      <c r="J2161" s="1771"/>
      <c r="K2161" s="1771"/>
      <c r="L2161" s="1771"/>
      <c r="M2161" s="1771"/>
      <c r="N2161" s="1779"/>
      <c r="O2161" s="1770"/>
      <c r="P2161" s="1771"/>
      <c r="Q2161" s="1766"/>
      <c r="R2161" s="1766"/>
      <c r="S2161" s="1696"/>
      <c r="T2161" s="1696"/>
      <c r="U2161" s="1772"/>
      <c r="V2161" s="1696"/>
      <c r="W2161" s="1772"/>
      <c r="X2161" s="1696"/>
      <c r="Y2161" s="1696"/>
      <c r="Z2161" s="1773"/>
    </row>
    <row r="2162">
      <c r="A2162" s="1771"/>
      <c r="B2162" s="1777"/>
      <c r="C2162" s="1771"/>
      <c r="D2162" s="1771"/>
      <c r="E2162" s="1770"/>
      <c r="F2162" s="1771"/>
      <c r="G2162" s="1771"/>
      <c r="H2162" s="1771"/>
      <c r="I2162" s="1778"/>
      <c r="J2162" s="1771"/>
      <c r="K2162" s="1771"/>
      <c r="L2162" s="1771"/>
      <c r="M2162" s="1771"/>
      <c r="N2162" s="1771"/>
      <c r="O2162" s="1771"/>
      <c r="P2162" s="1771"/>
      <c r="Q2162" s="1766"/>
      <c r="R2162" s="1766"/>
      <c r="S2162" s="1696"/>
      <c r="T2162" s="1696"/>
      <c r="U2162" s="1772"/>
      <c r="V2162" s="1696"/>
      <c r="W2162" s="1772"/>
      <c r="X2162" s="1696"/>
      <c r="Y2162" s="1696"/>
      <c r="Z2162" s="1773"/>
    </row>
    <row r="2163">
      <c r="A2163" s="1771"/>
      <c r="B2163" s="1777"/>
      <c r="C2163" s="1771"/>
      <c r="D2163" s="1771"/>
      <c r="E2163" s="1770"/>
      <c r="F2163" s="1771"/>
      <c r="G2163" s="1771"/>
      <c r="H2163" s="1771"/>
      <c r="I2163" s="1778"/>
      <c r="J2163" s="1771"/>
      <c r="K2163" s="1771"/>
      <c r="L2163" s="1771"/>
      <c r="M2163" s="1771"/>
      <c r="N2163" s="1771"/>
      <c r="O2163" s="1771"/>
      <c r="P2163" s="1771"/>
      <c r="Q2163" s="1766"/>
      <c r="R2163" s="1766"/>
      <c r="S2163" s="1696"/>
      <c r="T2163" s="1696"/>
      <c r="U2163" s="1772"/>
      <c r="V2163" s="1696"/>
      <c r="W2163" s="1772"/>
      <c r="X2163" s="1696"/>
      <c r="Y2163" s="1696"/>
      <c r="Z2163" s="1773"/>
    </row>
    <row r="2164">
      <c r="A2164" s="1771"/>
      <c r="B2164" s="1777"/>
      <c r="C2164" s="1771"/>
      <c r="D2164" s="1771"/>
      <c r="E2164" s="1770"/>
      <c r="F2164" s="1771"/>
      <c r="G2164" s="1771"/>
      <c r="H2164" s="1771"/>
      <c r="I2164" s="1778"/>
      <c r="J2164" s="1771"/>
      <c r="K2164" s="1771"/>
      <c r="L2164" s="1771"/>
      <c r="M2164" s="1771"/>
      <c r="N2164" s="1779"/>
      <c r="O2164" s="1770"/>
      <c r="P2164" s="1771"/>
      <c r="Q2164" s="1766"/>
      <c r="R2164" s="1766"/>
      <c r="S2164" s="1696"/>
      <c r="T2164" s="1696"/>
      <c r="U2164" s="1772"/>
      <c r="V2164" s="1696"/>
      <c r="W2164" s="1772"/>
      <c r="X2164" s="1696"/>
      <c r="Y2164" s="1696"/>
      <c r="Z2164" s="1773"/>
    </row>
    <row r="2165">
      <c r="A2165" s="1771"/>
      <c r="B2165" s="1777"/>
      <c r="C2165" s="1771"/>
      <c r="D2165" s="1771"/>
      <c r="E2165" s="1770"/>
      <c r="F2165" s="1771"/>
      <c r="G2165" s="1771"/>
      <c r="H2165" s="1771"/>
      <c r="I2165" s="1778"/>
      <c r="J2165" s="1771"/>
      <c r="K2165" s="1771"/>
      <c r="L2165" s="1771"/>
      <c r="M2165" s="1771"/>
      <c r="N2165" s="1779"/>
      <c r="O2165" s="1770"/>
      <c r="P2165" s="1771"/>
      <c r="Q2165" s="1766"/>
      <c r="R2165" s="1766"/>
      <c r="S2165" s="1696"/>
      <c r="T2165" s="1696"/>
      <c r="U2165" s="1772"/>
      <c r="V2165" s="1696"/>
      <c r="W2165" s="1772"/>
      <c r="X2165" s="1696"/>
      <c r="Y2165" s="1696"/>
      <c r="Z2165" s="1773"/>
    </row>
    <row r="2166">
      <c r="A2166" s="1771"/>
      <c r="B2166" s="1777"/>
      <c r="C2166" s="1771"/>
      <c r="D2166" s="1771"/>
      <c r="E2166" s="1770"/>
      <c r="F2166" s="1771"/>
      <c r="G2166" s="1771"/>
      <c r="H2166" s="1771"/>
      <c r="I2166" s="1778"/>
      <c r="J2166" s="1771"/>
      <c r="K2166" s="1771"/>
      <c r="L2166" s="1771"/>
      <c r="M2166" s="1771"/>
      <c r="N2166" s="1779"/>
      <c r="O2166" s="1770"/>
      <c r="P2166" s="1771"/>
      <c r="Q2166" s="1766"/>
      <c r="R2166" s="1766"/>
      <c r="S2166" s="1696"/>
      <c r="T2166" s="1696"/>
      <c r="U2166" s="1772"/>
      <c r="V2166" s="1696"/>
      <c r="W2166" s="1772"/>
      <c r="X2166" s="1696"/>
      <c r="Y2166" s="1696"/>
      <c r="Z2166" s="1773"/>
    </row>
    <row r="2167">
      <c r="A2167" s="1771"/>
      <c r="B2167" s="1777"/>
      <c r="C2167" s="1771"/>
      <c r="D2167" s="1771"/>
      <c r="E2167" s="1770"/>
      <c r="F2167" s="1771"/>
      <c r="G2167" s="1770"/>
      <c r="H2167" s="1771"/>
      <c r="I2167" s="1770"/>
      <c r="J2167" s="1771"/>
      <c r="K2167" s="1771"/>
      <c r="L2167" s="1771"/>
      <c r="M2167" s="1771"/>
      <c r="N2167" s="1771"/>
      <c r="O2167" s="1771"/>
      <c r="P2167" s="1771"/>
      <c r="Q2167" s="1766"/>
      <c r="R2167" s="1766"/>
      <c r="S2167" s="1696"/>
      <c r="T2167" s="1696"/>
      <c r="U2167" s="1772"/>
      <c r="V2167" s="1696"/>
      <c r="W2167" s="1772"/>
      <c r="X2167" s="1696"/>
      <c r="Y2167" s="1696"/>
      <c r="Z2167" s="1773"/>
    </row>
    <row r="2168">
      <c r="A2168" s="1771"/>
      <c r="B2168" s="1777"/>
      <c r="C2168" s="1771"/>
      <c r="D2168" s="1771"/>
      <c r="E2168" s="1770"/>
      <c r="F2168" s="1771"/>
      <c r="G2168" s="1770"/>
      <c r="H2168" s="1771"/>
      <c r="I2168" s="1785"/>
      <c r="J2168" s="1771"/>
      <c r="K2168" s="1771"/>
      <c r="L2168" s="1771"/>
      <c r="M2168" s="1771"/>
      <c r="N2168" s="1771"/>
      <c r="O2168" s="1771"/>
      <c r="P2168" s="1771"/>
      <c r="Q2168" s="1766"/>
      <c r="R2168" s="1766"/>
      <c r="S2168" s="1696"/>
      <c r="T2168" s="1696"/>
      <c r="U2168" s="1772"/>
      <c r="V2168" s="1696"/>
      <c r="W2168" s="1772"/>
      <c r="X2168" s="1696"/>
      <c r="Y2168" s="1696"/>
      <c r="Z2168" s="1773"/>
    </row>
    <row r="2169">
      <c r="A2169" s="1771"/>
      <c r="B2169" s="1777"/>
      <c r="C2169" s="1771"/>
      <c r="D2169" s="1771"/>
      <c r="E2169" s="1770"/>
      <c r="F2169" s="1771"/>
      <c r="G2169" s="1770"/>
      <c r="H2169" s="1771"/>
      <c r="I2169" s="1778"/>
      <c r="J2169" s="1771"/>
      <c r="K2169" s="1771"/>
      <c r="L2169" s="1771"/>
      <c r="M2169" s="1771"/>
      <c r="N2169" s="1779"/>
      <c r="O2169" s="1770"/>
      <c r="P2169" s="1771"/>
      <c r="Q2169" s="1766"/>
      <c r="R2169" s="1766"/>
      <c r="S2169" s="1696"/>
      <c r="T2169" s="1696"/>
      <c r="U2169" s="1772"/>
      <c r="V2169" s="1696"/>
      <c r="W2169" s="1772"/>
      <c r="X2169" s="1696"/>
      <c r="Y2169" s="1696"/>
      <c r="Z2169" s="1773"/>
    </row>
    <row r="2170">
      <c r="A2170" s="1771"/>
      <c r="B2170" s="1777"/>
      <c r="C2170" s="1771"/>
      <c r="D2170" s="1771"/>
      <c r="E2170" s="1770"/>
      <c r="F2170" s="1771"/>
      <c r="G2170" s="1770"/>
      <c r="H2170" s="1771"/>
      <c r="I2170" s="1778"/>
      <c r="J2170" s="1771"/>
      <c r="K2170" s="1771"/>
      <c r="L2170" s="1771"/>
      <c r="M2170" s="1771"/>
      <c r="N2170" s="1779"/>
      <c r="O2170" s="1770"/>
      <c r="P2170" s="1771"/>
      <c r="Q2170" s="1766"/>
      <c r="R2170" s="1766"/>
      <c r="S2170" s="1696"/>
      <c r="T2170" s="1696"/>
      <c r="U2170" s="1772"/>
      <c r="V2170" s="1696"/>
      <c r="W2170" s="1772"/>
      <c r="X2170" s="1696"/>
      <c r="Y2170" s="1696"/>
      <c r="Z2170" s="1773"/>
    </row>
    <row r="2171">
      <c r="A2171" s="1771"/>
      <c r="B2171" s="1777"/>
      <c r="C2171" s="1771"/>
      <c r="D2171" s="1771"/>
      <c r="E2171" s="1770"/>
      <c r="F2171" s="1771"/>
      <c r="G2171" s="1771"/>
      <c r="H2171" s="1771"/>
      <c r="I2171" s="1778"/>
      <c r="J2171" s="1771"/>
      <c r="K2171" s="1771"/>
      <c r="L2171" s="1771"/>
      <c r="M2171" s="1771"/>
      <c r="N2171" s="1771"/>
      <c r="O2171" s="1771"/>
      <c r="P2171" s="1771"/>
      <c r="Q2171" s="1766"/>
      <c r="R2171" s="1766"/>
      <c r="S2171" s="1696"/>
      <c r="T2171" s="1696"/>
      <c r="U2171" s="1772"/>
      <c r="V2171" s="1696"/>
      <c r="W2171" s="1772"/>
      <c r="X2171" s="1696"/>
      <c r="Y2171" s="1696"/>
      <c r="Z2171" s="1773"/>
    </row>
    <row r="2172">
      <c r="A2172" s="1771"/>
      <c r="B2172" s="1777"/>
      <c r="C2172" s="1771"/>
      <c r="D2172" s="1771"/>
      <c r="E2172" s="1770"/>
      <c r="F2172" s="1771"/>
      <c r="G2172" s="1770"/>
      <c r="H2172" s="1771"/>
      <c r="I2172" s="1778"/>
      <c r="J2172" s="1771"/>
      <c r="K2172" s="1771"/>
      <c r="L2172" s="1771"/>
      <c r="M2172" s="1771"/>
      <c r="N2172" s="1771"/>
      <c r="O2172" s="1771"/>
      <c r="P2172" s="1771"/>
      <c r="Q2172" s="1766"/>
      <c r="R2172" s="1766"/>
      <c r="S2172" s="1696"/>
      <c r="T2172" s="1696"/>
      <c r="U2172" s="1772"/>
      <c r="V2172" s="1696"/>
      <c r="W2172" s="1772"/>
      <c r="X2172" s="1696"/>
      <c r="Y2172" s="1696"/>
      <c r="Z2172" s="1773"/>
    </row>
    <row r="2173">
      <c r="A2173" s="1771"/>
      <c r="B2173" s="1777"/>
      <c r="C2173" s="1771"/>
      <c r="D2173" s="1771"/>
      <c r="E2173" s="1770"/>
      <c r="F2173" s="1771"/>
      <c r="G2173" s="1770"/>
      <c r="H2173" s="1771"/>
      <c r="I2173" s="1778"/>
      <c r="J2173" s="1771"/>
      <c r="K2173" s="1771"/>
      <c r="L2173" s="1771"/>
      <c r="M2173" s="1771"/>
      <c r="N2173" s="1771"/>
      <c r="O2173" s="1771"/>
      <c r="P2173" s="1771"/>
      <c r="Q2173" s="1766"/>
      <c r="R2173" s="1766"/>
      <c r="S2173" s="1696"/>
      <c r="T2173" s="1696"/>
      <c r="U2173" s="1772"/>
      <c r="V2173" s="1696"/>
      <c r="W2173" s="1772"/>
      <c r="X2173" s="1696"/>
      <c r="Y2173" s="1696"/>
      <c r="Z2173" s="1773"/>
    </row>
    <row r="2174">
      <c r="A2174" s="1771"/>
      <c r="B2174" s="1777"/>
      <c r="C2174" s="1771"/>
      <c r="D2174" s="1771"/>
      <c r="E2174" s="1770"/>
      <c r="F2174" s="1771"/>
      <c r="G2174" s="1770"/>
      <c r="H2174" s="1771"/>
      <c r="I2174" s="1778"/>
      <c r="J2174" s="1771"/>
      <c r="K2174" s="1771"/>
      <c r="L2174" s="1771"/>
      <c r="M2174" s="1771"/>
      <c r="N2174" s="1771"/>
      <c r="O2174" s="1771"/>
      <c r="P2174" s="1771"/>
      <c r="Q2174" s="1766"/>
      <c r="R2174" s="1766"/>
      <c r="S2174" s="1696"/>
      <c r="T2174" s="1696"/>
      <c r="U2174" s="1772"/>
      <c r="V2174" s="1696"/>
      <c r="W2174" s="1772"/>
      <c r="X2174" s="1696"/>
      <c r="Y2174" s="1696"/>
      <c r="Z2174" s="1773"/>
    </row>
    <row r="2175">
      <c r="A2175" s="1771"/>
      <c r="B2175" s="1777"/>
      <c r="C2175" s="1771"/>
      <c r="D2175" s="1771"/>
      <c r="E2175" s="1770"/>
      <c r="F2175" s="1771"/>
      <c r="G2175" s="1770"/>
      <c r="H2175" s="1771"/>
      <c r="I2175" s="1778"/>
      <c r="J2175" s="1771"/>
      <c r="K2175" s="1771"/>
      <c r="L2175" s="1771"/>
      <c r="M2175" s="1771"/>
      <c r="N2175" s="1771"/>
      <c r="O2175" s="1771"/>
      <c r="P2175" s="1771"/>
      <c r="Q2175" s="1766"/>
      <c r="R2175" s="1766"/>
      <c r="S2175" s="1696"/>
      <c r="T2175" s="1696"/>
      <c r="U2175" s="1772"/>
      <c r="V2175" s="1696"/>
      <c r="W2175" s="1772"/>
      <c r="X2175" s="1696"/>
      <c r="Y2175" s="1696"/>
      <c r="Z2175" s="1773"/>
    </row>
    <row r="2176">
      <c r="A2176" s="1771"/>
      <c r="B2176" s="1777"/>
      <c r="C2176" s="1771"/>
      <c r="D2176" s="1771"/>
      <c r="E2176" s="1770"/>
      <c r="F2176" s="1771"/>
      <c r="G2176" s="1771"/>
      <c r="H2176" s="1771"/>
      <c r="I2176" s="1778"/>
      <c r="J2176" s="1771"/>
      <c r="K2176" s="1771"/>
      <c r="L2176" s="1771"/>
      <c r="M2176" s="1771"/>
      <c r="N2176" s="1779"/>
      <c r="O2176" s="1770"/>
      <c r="P2176" s="1771"/>
      <c r="Q2176" s="1766"/>
      <c r="R2176" s="1766"/>
      <c r="S2176" s="1696"/>
      <c r="T2176" s="1696"/>
      <c r="U2176" s="1772"/>
      <c r="V2176" s="1696"/>
      <c r="W2176" s="1772"/>
      <c r="X2176" s="1696"/>
      <c r="Y2176" s="1696"/>
      <c r="Z2176" s="1773"/>
    </row>
    <row r="2177">
      <c r="A2177" s="1771"/>
      <c r="B2177" s="1777"/>
      <c r="C2177" s="1771"/>
      <c r="D2177" s="1771"/>
      <c r="E2177" s="1770"/>
      <c r="F2177" s="1771"/>
      <c r="G2177" s="1770"/>
      <c r="H2177" s="1771"/>
      <c r="I2177" s="1778"/>
      <c r="J2177" s="1771"/>
      <c r="K2177" s="1771"/>
      <c r="L2177" s="1771"/>
      <c r="M2177" s="1771"/>
      <c r="N2177" s="1771"/>
      <c r="O2177" s="1771"/>
      <c r="P2177" s="1771"/>
      <c r="Q2177" s="1766"/>
      <c r="R2177" s="1766"/>
      <c r="S2177" s="1696"/>
      <c r="T2177" s="1696"/>
      <c r="U2177" s="1772"/>
      <c r="V2177" s="1696"/>
      <c r="W2177" s="1772"/>
      <c r="X2177" s="1696"/>
      <c r="Y2177" s="1696"/>
      <c r="Z2177" s="1773"/>
    </row>
    <row r="2178">
      <c r="A2178" s="1771"/>
      <c r="B2178" s="1777"/>
      <c r="C2178" s="1771"/>
      <c r="D2178" s="1771"/>
      <c r="E2178" s="1770"/>
      <c r="F2178" s="1771"/>
      <c r="G2178" s="1770"/>
      <c r="H2178" s="1771"/>
      <c r="I2178" s="1778"/>
      <c r="J2178" s="1771"/>
      <c r="K2178" s="1771"/>
      <c r="L2178" s="1771"/>
      <c r="M2178" s="1771"/>
      <c r="N2178" s="1771"/>
      <c r="O2178" s="1771"/>
      <c r="P2178" s="1771"/>
      <c r="Q2178" s="1766"/>
      <c r="R2178" s="1766"/>
      <c r="S2178" s="1696"/>
      <c r="T2178" s="1696"/>
      <c r="U2178" s="1772"/>
      <c r="V2178" s="1696"/>
      <c r="W2178" s="1772"/>
      <c r="X2178" s="1696"/>
      <c r="Y2178" s="1696"/>
      <c r="Z2178" s="1773"/>
    </row>
    <row r="2179">
      <c r="A2179" s="1771"/>
      <c r="B2179" s="1777"/>
      <c r="C2179" s="1771"/>
      <c r="D2179" s="1771"/>
      <c r="E2179" s="1770"/>
      <c r="F2179" s="1771"/>
      <c r="G2179" s="1770"/>
      <c r="H2179" s="1771"/>
      <c r="I2179" s="1778"/>
      <c r="J2179" s="1771"/>
      <c r="K2179" s="1771"/>
      <c r="L2179" s="1771"/>
      <c r="M2179" s="1771"/>
      <c r="N2179" s="1771"/>
      <c r="O2179" s="1771"/>
      <c r="P2179" s="1771"/>
      <c r="Q2179" s="1766"/>
      <c r="R2179" s="1766"/>
      <c r="S2179" s="1696"/>
      <c r="T2179" s="1696"/>
      <c r="U2179" s="1772"/>
      <c r="V2179" s="1696"/>
      <c r="W2179" s="1772"/>
      <c r="X2179" s="1696"/>
      <c r="Y2179" s="1696"/>
      <c r="Z2179" s="1773"/>
    </row>
    <row r="2180">
      <c r="A2180" s="1771"/>
      <c r="B2180" s="1777"/>
      <c r="C2180" s="1771"/>
      <c r="D2180" s="1771"/>
      <c r="E2180" s="1770"/>
      <c r="F2180" s="1771"/>
      <c r="G2180" s="1770"/>
      <c r="H2180" s="1771"/>
      <c r="I2180" s="1778"/>
      <c r="J2180" s="1771"/>
      <c r="K2180" s="1771"/>
      <c r="L2180" s="1771"/>
      <c r="M2180" s="1771"/>
      <c r="N2180" s="1779"/>
      <c r="O2180" s="1770"/>
      <c r="P2180" s="1771"/>
      <c r="Q2180" s="1766"/>
      <c r="R2180" s="1766"/>
      <c r="S2180" s="1696"/>
      <c r="T2180" s="1696"/>
      <c r="U2180" s="1772"/>
      <c r="V2180" s="1696"/>
      <c r="W2180" s="1772"/>
      <c r="X2180" s="1696"/>
      <c r="Y2180" s="1696"/>
      <c r="Z2180" s="1773"/>
    </row>
    <row r="2181">
      <c r="A2181" s="1771"/>
      <c r="B2181" s="1777"/>
      <c r="C2181" s="1771"/>
      <c r="D2181" s="1771"/>
      <c r="E2181" s="1770"/>
      <c r="F2181" s="1771"/>
      <c r="G2181" s="1770"/>
      <c r="H2181" s="1771"/>
      <c r="I2181" s="1778"/>
      <c r="J2181" s="1771"/>
      <c r="K2181" s="1771"/>
      <c r="L2181" s="1771"/>
      <c r="M2181" s="1771"/>
      <c r="N2181" s="1779"/>
      <c r="O2181" s="1770"/>
      <c r="P2181" s="1771"/>
      <c r="Q2181" s="1766"/>
      <c r="R2181" s="1766"/>
      <c r="S2181" s="1696"/>
      <c r="T2181" s="1696"/>
      <c r="U2181" s="1772"/>
      <c r="V2181" s="1696"/>
      <c r="W2181" s="1772"/>
      <c r="X2181" s="1696"/>
      <c r="Y2181" s="1696"/>
      <c r="Z2181" s="1773"/>
    </row>
    <row r="2182">
      <c r="A2182" s="1771"/>
      <c r="B2182" s="1777"/>
      <c r="C2182" s="1771"/>
      <c r="D2182" s="1771"/>
      <c r="E2182" s="1770"/>
      <c r="F2182" s="1771"/>
      <c r="G2182" s="1771"/>
      <c r="H2182" s="1771"/>
      <c r="I2182" s="1778"/>
      <c r="J2182" s="1771"/>
      <c r="K2182" s="1771"/>
      <c r="L2182" s="1771"/>
      <c r="M2182" s="1771"/>
      <c r="N2182" s="1779"/>
      <c r="O2182" s="1770"/>
      <c r="P2182" s="1771"/>
      <c r="Q2182" s="1766"/>
      <c r="R2182" s="1766"/>
      <c r="S2182" s="1696"/>
      <c r="T2182" s="1696"/>
      <c r="U2182" s="1772"/>
      <c r="V2182" s="1696"/>
      <c r="W2182" s="1772"/>
      <c r="X2182" s="1696"/>
      <c r="Y2182" s="1696"/>
      <c r="Z2182" s="1773"/>
    </row>
    <row r="2183">
      <c r="A2183" s="1771"/>
      <c r="B2183" s="1777"/>
      <c r="C2183" s="1771"/>
      <c r="D2183" s="1771"/>
      <c r="E2183" s="1770"/>
      <c r="F2183" s="1771"/>
      <c r="G2183" s="1770"/>
      <c r="H2183" s="1771"/>
      <c r="I2183" s="1778"/>
      <c r="J2183" s="1771"/>
      <c r="K2183" s="1771"/>
      <c r="L2183" s="1771"/>
      <c r="M2183" s="1771"/>
      <c r="N2183" s="1779"/>
      <c r="O2183" s="1770"/>
      <c r="P2183" s="1771"/>
      <c r="Q2183" s="1766"/>
      <c r="R2183" s="1766"/>
      <c r="S2183" s="1696"/>
      <c r="T2183" s="1696"/>
      <c r="U2183" s="1772"/>
      <c r="V2183" s="1696"/>
      <c r="W2183" s="1772"/>
      <c r="X2183" s="1696"/>
      <c r="Y2183" s="1696"/>
      <c r="Z2183" s="1773"/>
    </row>
    <row r="2184">
      <c r="A2184" s="1771"/>
      <c r="B2184" s="1777"/>
      <c r="C2184" s="1771"/>
      <c r="D2184" s="1771"/>
      <c r="E2184" s="1770"/>
      <c r="F2184" s="1771"/>
      <c r="G2184" s="1770"/>
      <c r="H2184" s="1771"/>
      <c r="I2184" s="1778"/>
      <c r="J2184" s="1771"/>
      <c r="K2184" s="1771"/>
      <c r="L2184" s="1771"/>
      <c r="M2184" s="1771"/>
      <c r="N2184" s="1771"/>
      <c r="O2184" s="1771"/>
      <c r="P2184" s="1771"/>
      <c r="Q2184" s="1766"/>
      <c r="R2184" s="1766"/>
      <c r="S2184" s="1696"/>
      <c r="T2184" s="1696"/>
      <c r="U2184" s="1772"/>
      <c r="V2184" s="1696"/>
      <c r="W2184" s="1772"/>
      <c r="X2184" s="1696"/>
      <c r="Y2184" s="1696"/>
      <c r="Z2184" s="1773"/>
    </row>
    <row r="2185">
      <c r="A2185" s="1771"/>
      <c r="B2185" s="1777"/>
      <c r="C2185" s="1771"/>
      <c r="D2185" s="1771"/>
      <c r="E2185" s="1770"/>
      <c r="F2185" s="1771"/>
      <c r="G2185" s="1770"/>
      <c r="H2185" s="1771"/>
      <c r="I2185" s="1778"/>
      <c r="J2185" s="1771"/>
      <c r="K2185" s="1771"/>
      <c r="L2185" s="1771"/>
      <c r="M2185" s="1771"/>
      <c r="N2185" s="1771"/>
      <c r="O2185" s="1771"/>
      <c r="P2185" s="1771"/>
      <c r="Q2185" s="1766"/>
      <c r="R2185" s="1766"/>
      <c r="S2185" s="1696"/>
      <c r="T2185" s="1696"/>
      <c r="U2185" s="1772"/>
      <c r="V2185" s="1696"/>
      <c r="W2185" s="1772"/>
      <c r="X2185" s="1696"/>
      <c r="Y2185" s="1696"/>
      <c r="Z2185" s="1773"/>
    </row>
    <row r="2186">
      <c r="A2186" s="1771"/>
      <c r="B2186" s="1777"/>
      <c r="C2186" s="1771"/>
      <c r="D2186" s="1771"/>
      <c r="E2186" s="1770"/>
      <c r="F2186" s="1771"/>
      <c r="G2186" s="1770"/>
      <c r="H2186" s="1771"/>
      <c r="I2186" s="1778"/>
      <c r="J2186" s="1771"/>
      <c r="K2186" s="1771"/>
      <c r="L2186" s="1771"/>
      <c r="M2186" s="1771"/>
      <c r="N2186" s="1771"/>
      <c r="O2186" s="1771"/>
      <c r="P2186" s="1771"/>
      <c r="Q2186" s="1766"/>
      <c r="R2186" s="1766"/>
      <c r="S2186" s="1696"/>
      <c r="T2186" s="1696"/>
      <c r="U2186" s="1772"/>
      <c r="V2186" s="1696"/>
      <c r="W2186" s="1772"/>
      <c r="X2186" s="1696"/>
      <c r="Y2186" s="1696"/>
      <c r="Z2186" s="1773"/>
    </row>
    <row r="2187">
      <c r="A2187" s="1771"/>
      <c r="B2187" s="1777"/>
      <c r="C2187" s="1771"/>
      <c r="D2187" s="1771"/>
      <c r="E2187" s="1770"/>
      <c r="F2187" s="1771"/>
      <c r="G2187" s="1770"/>
      <c r="H2187" s="1771"/>
      <c r="I2187" s="1778"/>
      <c r="J2187" s="1771"/>
      <c r="K2187" s="1771"/>
      <c r="L2187" s="1771"/>
      <c r="M2187" s="1771"/>
      <c r="N2187" s="1771"/>
      <c r="O2187" s="1771"/>
      <c r="P2187" s="1771"/>
      <c r="Q2187" s="1766"/>
      <c r="R2187" s="1766"/>
      <c r="S2187" s="1696"/>
      <c r="T2187" s="1696"/>
      <c r="U2187" s="1772"/>
      <c r="V2187" s="1696"/>
      <c r="W2187" s="1772"/>
      <c r="X2187" s="1696"/>
      <c r="Y2187" s="1696"/>
      <c r="Z2187" s="1773"/>
    </row>
    <row r="2188">
      <c r="A2188" s="1771"/>
      <c r="B2188" s="1777"/>
      <c r="C2188" s="1771"/>
      <c r="D2188" s="1771"/>
      <c r="E2188" s="1770"/>
      <c r="F2188" s="1771"/>
      <c r="G2188" s="1770"/>
      <c r="H2188" s="1771"/>
      <c r="I2188" s="1778"/>
      <c r="J2188" s="1771"/>
      <c r="K2188" s="1771"/>
      <c r="L2188" s="1771"/>
      <c r="M2188" s="1771"/>
      <c r="N2188" s="1771"/>
      <c r="O2188" s="1771"/>
      <c r="P2188" s="1771"/>
      <c r="Q2188" s="1766"/>
      <c r="R2188" s="1766"/>
      <c r="S2188" s="1696"/>
      <c r="T2188" s="1696"/>
      <c r="U2188" s="1772"/>
      <c r="V2188" s="1696"/>
      <c r="W2188" s="1772"/>
      <c r="X2188" s="1696"/>
      <c r="Y2188" s="1696"/>
      <c r="Z2188" s="1773"/>
    </row>
    <row r="2189">
      <c r="A2189" s="1771"/>
      <c r="B2189" s="1777"/>
      <c r="C2189" s="1771"/>
      <c r="D2189" s="1771"/>
      <c r="E2189" s="1770"/>
      <c r="F2189" s="1771"/>
      <c r="G2189" s="1770"/>
      <c r="H2189" s="1771"/>
      <c r="I2189" s="1778"/>
      <c r="J2189" s="1771"/>
      <c r="K2189" s="1771"/>
      <c r="L2189" s="1771"/>
      <c r="M2189" s="1771"/>
      <c r="N2189" s="1779"/>
      <c r="O2189" s="1770"/>
      <c r="P2189" s="1771"/>
      <c r="Q2189" s="1766"/>
      <c r="R2189" s="1766"/>
      <c r="S2189" s="1696"/>
      <c r="T2189" s="1696"/>
      <c r="U2189" s="1772"/>
      <c r="V2189" s="1696"/>
      <c r="W2189" s="1772"/>
      <c r="X2189" s="1696"/>
      <c r="Y2189" s="1696"/>
      <c r="Z2189" s="1773"/>
    </row>
    <row r="2190">
      <c r="A2190" s="1771"/>
      <c r="B2190" s="1777"/>
      <c r="C2190" s="1771"/>
      <c r="D2190" s="1771"/>
      <c r="E2190" s="1770"/>
      <c r="F2190" s="1771"/>
      <c r="G2190" s="1770"/>
      <c r="H2190" s="1771"/>
      <c r="I2190" s="1778"/>
      <c r="J2190" s="1771"/>
      <c r="K2190" s="1771"/>
      <c r="L2190" s="1771"/>
      <c r="M2190" s="1771"/>
      <c r="N2190" s="1771"/>
      <c r="O2190" s="1771"/>
      <c r="P2190" s="1771"/>
      <c r="Q2190" s="1766"/>
      <c r="R2190" s="1766"/>
      <c r="S2190" s="1696"/>
      <c r="T2190" s="1696"/>
      <c r="U2190" s="1772"/>
      <c r="V2190" s="1696"/>
      <c r="W2190" s="1772"/>
      <c r="X2190" s="1696"/>
      <c r="Y2190" s="1696"/>
      <c r="Z2190" s="1773"/>
    </row>
    <row r="2191">
      <c r="A2191" s="1771"/>
      <c r="B2191" s="1777"/>
      <c r="C2191" s="1771"/>
      <c r="D2191" s="1771"/>
      <c r="E2191" s="1770"/>
      <c r="F2191" s="1771"/>
      <c r="G2191" s="1770"/>
      <c r="H2191" s="1771"/>
      <c r="I2191" s="1778"/>
      <c r="J2191" s="1771"/>
      <c r="K2191" s="1771"/>
      <c r="L2191" s="1771"/>
      <c r="M2191" s="1771"/>
      <c r="N2191" s="1779"/>
      <c r="O2191" s="1770"/>
      <c r="P2191" s="1771"/>
      <c r="Q2191" s="1766"/>
      <c r="R2191" s="1766"/>
      <c r="S2191" s="1696"/>
      <c r="T2191" s="1696"/>
      <c r="U2191" s="1772"/>
      <c r="V2191" s="1696"/>
      <c r="W2191" s="1772"/>
      <c r="X2191" s="1696"/>
      <c r="Y2191" s="1696"/>
      <c r="Z2191" s="1773"/>
    </row>
    <row r="2192">
      <c r="A2192" s="1771"/>
      <c r="B2192" s="1777"/>
      <c r="C2192" s="1771"/>
      <c r="D2192" s="1771"/>
      <c r="E2192" s="1770"/>
      <c r="F2192" s="1771"/>
      <c r="G2192" s="1770"/>
      <c r="H2192" s="1771"/>
      <c r="I2192" s="1778"/>
      <c r="J2192" s="1771"/>
      <c r="K2192" s="1771"/>
      <c r="L2192" s="1771"/>
      <c r="M2192" s="1771"/>
      <c r="N2192" s="1779"/>
      <c r="O2192" s="1770"/>
      <c r="P2192" s="1771"/>
      <c r="Q2192" s="1766"/>
      <c r="R2192" s="1766"/>
      <c r="S2192" s="1696"/>
      <c r="T2192" s="1696"/>
      <c r="U2192" s="1772"/>
      <c r="V2192" s="1696"/>
      <c r="W2192" s="1772"/>
      <c r="X2192" s="1696"/>
      <c r="Y2192" s="1696"/>
      <c r="Z2192" s="1773"/>
    </row>
    <row r="2193">
      <c r="A2193" s="1771"/>
      <c r="B2193" s="1777"/>
      <c r="C2193" s="1771"/>
      <c r="D2193" s="1771"/>
      <c r="E2193" s="1770"/>
      <c r="F2193" s="1771"/>
      <c r="G2193" s="1770"/>
      <c r="H2193" s="1771"/>
      <c r="I2193" s="1778"/>
      <c r="J2193" s="1771"/>
      <c r="K2193" s="1771"/>
      <c r="L2193" s="1771"/>
      <c r="M2193" s="1771"/>
      <c r="N2193" s="1779"/>
      <c r="O2193" s="1770"/>
      <c r="P2193" s="1771"/>
      <c r="Q2193" s="1766"/>
      <c r="R2193" s="1766"/>
      <c r="S2193" s="1696"/>
      <c r="T2193" s="1696"/>
      <c r="U2193" s="1772"/>
      <c r="V2193" s="1696"/>
      <c r="W2193" s="1772"/>
      <c r="X2193" s="1696"/>
      <c r="Y2193" s="1696"/>
      <c r="Z2193" s="1773"/>
    </row>
    <row r="2194">
      <c r="A2194" s="1771"/>
      <c r="B2194" s="1777"/>
      <c r="C2194" s="1771"/>
      <c r="D2194" s="1771"/>
      <c r="E2194" s="1770"/>
      <c r="F2194" s="1771"/>
      <c r="G2194" s="1771"/>
      <c r="H2194" s="1771"/>
      <c r="I2194" s="1778"/>
      <c r="J2194" s="1771"/>
      <c r="K2194" s="1771"/>
      <c r="L2194" s="1771"/>
      <c r="M2194" s="1771"/>
      <c r="N2194" s="1771"/>
      <c r="O2194" s="1771"/>
      <c r="P2194" s="1771"/>
      <c r="Q2194" s="1766"/>
      <c r="R2194" s="1766"/>
      <c r="S2194" s="1696"/>
      <c r="T2194" s="1696"/>
      <c r="U2194" s="1772"/>
      <c r="V2194" s="1696"/>
      <c r="W2194" s="1772"/>
      <c r="X2194" s="1696"/>
      <c r="Y2194" s="1696"/>
      <c r="Z2194" s="1773"/>
    </row>
    <row r="2195">
      <c r="A2195" s="1771"/>
      <c r="B2195" s="1777"/>
      <c r="C2195" s="1771"/>
      <c r="D2195" s="1771"/>
      <c r="E2195" s="1770"/>
      <c r="F2195" s="1771"/>
      <c r="G2195" s="1770"/>
      <c r="H2195" s="1771"/>
      <c r="I2195" s="1778"/>
      <c r="J2195" s="1771"/>
      <c r="K2195" s="1771"/>
      <c r="L2195" s="1771"/>
      <c r="M2195" s="1771"/>
      <c r="N2195" s="1771"/>
      <c r="O2195" s="1771"/>
      <c r="P2195" s="1771"/>
      <c r="Q2195" s="1766"/>
      <c r="R2195" s="1766"/>
      <c r="S2195" s="1696"/>
      <c r="T2195" s="1696"/>
      <c r="U2195" s="1772"/>
      <c r="V2195" s="1696"/>
      <c r="W2195" s="1772"/>
      <c r="X2195" s="1696"/>
      <c r="Y2195" s="1696"/>
      <c r="Z2195" s="1773"/>
    </row>
    <row r="2196">
      <c r="A2196" s="1771"/>
      <c r="B2196" s="1777"/>
      <c r="C2196" s="1771"/>
      <c r="D2196" s="1771"/>
      <c r="E2196" s="1770"/>
      <c r="F2196" s="1771"/>
      <c r="G2196" s="1771"/>
      <c r="H2196" s="1771"/>
      <c r="I2196" s="1778"/>
      <c r="J2196" s="1771"/>
      <c r="K2196" s="1771"/>
      <c r="L2196" s="1771"/>
      <c r="M2196" s="1771"/>
      <c r="N2196" s="1771"/>
      <c r="O2196" s="1771"/>
      <c r="P2196" s="1771"/>
      <c r="Q2196" s="1766"/>
      <c r="R2196" s="1766"/>
      <c r="S2196" s="1696"/>
      <c r="T2196" s="1696"/>
      <c r="U2196" s="1772"/>
      <c r="V2196" s="1696"/>
      <c r="W2196" s="1772"/>
      <c r="X2196" s="1696"/>
      <c r="Y2196" s="1696"/>
      <c r="Z2196" s="1773"/>
    </row>
    <row r="2197">
      <c r="A2197" s="1771"/>
      <c r="B2197" s="1777"/>
      <c r="C2197" s="1771"/>
      <c r="D2197" s="1771"/>
      <c r="E2197" s="1770"/>
      <c r="F2197" s="1771"/>
      <c r="G2197" s="1771"/>
      <c r="H2197" s="1771"/>
      <c r="I2197" s="1778"/>
      <c r="J2197" s="1771"/>
      <c r="K2197" s="1771"/>
      <c r="L2197" s="1771"/>
      <c r="M2197" s="1771"/>
      <c r="N2197" s="1771"/>
      <c r="O2197" s="1771"/>
      <c r="P2197" s="1771"/>
      <c r="Q2197" s="1766"/>
      <c r="R2197" s="1766"/>
      <c r="S2197" s="1696"/>
      <c r="T2197" s="1696"/>
      <c r="U2197" s="1772"/>
      <c r="V2197" s="1696"/>
      <c r="W2197" s="1772"/>
      <c r="X2197" s="1696"/>
      <c r="Y2197" s="1696"/>
      <c r="Z2197" s="1773"/>
    </row>
    <row r="2198">
      <c r="A2198" s="1771"/>
      <c r="B2198" s="1777"/>
      <c r="C2198" s="1771"/>
      <c r="D2198" s="1771"/>
      <c r="E2198" s="1770"/>
      <c r="F2198" s="1771"/>
      <c r="G2198" s="1771"/>
      <c r="H2198" s="1771"/>
      <c r="I2198" s="1778"/>
      <c r="J2198" s="1771"/>
      <c r="K2198" s="1771"/>
      <c r="L2198" s="1771"/>
      <c r="M2198" s="1771"/>
      <c r="N2198" s="1779"/>
      <c r="O2198" s="1770"/>
      <c r="P2198" s="1771"/>
      <c r="Q2198" s="1766"/>
      <c r="R2198" s="1766"/>
      <c r="S2198" s="1696"/>
      <c r="T2198" s="1696"/>
      <c r="U2198" s="1772"/>
      <c r="V2198" s="1696"/>
      <c r="W2198" s="1772"/>
      <c r="X2198" s="1696"/>
      <c r="Y2198" s="1696"/>
      <c r="Z2198" s="1773"/>
    </row>
    <row r="2199">
      <c r="A2199" s="1771"/>
      <c r="B2199" s="1777"/>
      <c r="C2199" s="1771"/>
      <c r="D2199" s="1771"/>
      <c r="E2199" s="1770"/>
      <c r="F2199" s="1771"/>
      <c r="G2199" s="1770"/>
      <c r="H2199" s="1771"/>
      <c r="I2199" s="1778"/>
      <c r="J2199" s="1771"/>
      <c r="K2199" s="1771"/>
      <c r="L2199" s="1771"/>
      <c r="M2199" s="1771"/>
      <c r="N2199" s="1779"/>
      <c r="O2199" s="1770"/>
      <c r="P2199" s="1771"/>
      <c r="Q2199" s="1766"/>
      <c r="R2199" s="1766"/>
      <c r="S2199" s="1696"/>
      <c r="T2199" s="1696"/>
      <c r="U2199" s="1772"/>
      <c r="V2199" s="1696"/>
      <c r="W2199" s="1772"/>
      <c r="X2199" s="1696"/>
      <c r="Y2199" s="1696"/>
      <c r="Z2199" s="1773"/>
    </row>
    <row r="2200">
      <c r="A2200" s="1771"/>
      <c r="B2200" s="1777"/>
      <c r="C2200" s="1771"/>
      <c r="D2200" s="1771"/>
      <c r="E2200" s="1770"/>
      <c r="F2200" s="1771"/>
      <c r="G2200" s="1770"/>
      <c r="H2200" s="1771"/>
      <c r="I2200" s="1778"/>
      <c r="J2200" s="1771"/>
      <c r="K2200" s="1771"/>
      <c r="L2200" s="1771"/>
      <c r="M2200" s="1771"/>
      <c r="N2200" s="1779"/>
      <c r="O2200" s="1770"/>
      <c r="P2200" s="1771"/>
      <c r="Q2200" s="1766"/>
      <c r="R2200" s="1766"/>
      <c r="S2200" s="1696"/>
      <c r="T2200" s="1696"/>
      <c r="U2200" s="1772"/>
      <c r="V2200" s="1696"/>
      <c r="W2200" s="1772"/>
      <c r="X2200" s="1696"/>
      <c r="Y2200" s="1696"/>
      <c r="Z2200" s="1773"/>
    </row>
    <row r="2201">
      <c r="A2201" s="1771"/>
      <c r="B2201" s="1777"/>
      <c r="C2201" s="1771"/>
      <c r="D2201" s="1771"/>
      <c r="E2201" s="1770"/>
      <c r="F2201" s="1771"/>
      <c r="G2201" s="1770"/>
      <c r="H2201" s="1771"/>
      <c r="I2201" s="1778"/>
      <c r="J2201" s="1771"/>
      <c r="K2201" s="1771"/>
      <c r="L2201" s="1771"/>
      <c r="M2201" s="1771"/>
      <c r="N2201" s="1779"/>
      <c r="O2201" s="1770"/>
      <c r="P2201" s="1771"/>
      <c r="Q2201" s="1766"/>
      <c r="R2201" s="1766"/>
      <c r="S2201" s="1696"/>
      <c r="T2201" s="1696"/>
      <c r="U2201" s="1772"/>
      <c r="V2201" s="1696"/>
      <c r="W2201" s="1772"/>
      <c r="X2201" s="1696"/>
      <c r="Y2201" s="1696"/>
      <c r="Z2201" s="1773"/>
    </row>
    <row r="2202">
      <c r="A2202" s="1771"/>
      <c r="B2202" s="1777"/>
      <c r="C2202" s="1771"/>
      <c r="D2202" s="1771"/>
      <c r="E2202" s="1770"/>
      <c r="F2202" s="1771"/>
      <c r="G2202" s="1771"/>
      <c r="H2202" s="1771"/>
      <c r="I2202" s="1778"/>
      <c r="J2202" s="1771"/>
      <c r="K2202" s="1771"/>
      <c r="L2202" s="1771"/>
      <c r="M2202" s="1771"/>
      <c r="N2202" s="1779"/>
      <c r="O2202" s="1770"/>
      <c r="P2202" s="1771"/>
      <c r="Q2202" s="1766"/>
      <c r="R2202" s="1766"/>
      <c r="S2202" s="1696"/>
      <c r="T2202" s="1696"/>
      <c r="U2202" s="1772"/>
      <c r="V2202" s="1696"/>
      <c r="W2202" s="1772"/>
      <c r="X2202" s="1696"/>
      <c r="Y2202" s="1696"/>
      <c r="Z2202" s="1773"/>
    </row>
    <row r="2203">
      <c r="A2203" s="1771"/>
      <c r="B2203" s="1777"/>
      <c r="C2203" s="1771"/>
      <c r="D2203" s="1771"/>
      <c r="E2203" s="1770"/>
      <c r="F2203" s="1771"/>
      <c r="G2203" s="1777"/>
      <c r="H2203" s="1771"/>
      <c r="I2203" s="1778"/>
      <c r="J2203" s="1771"/>
      <c r="K2203" s="1771"/>
      <c r="L2203" s="1771"/>
      <c r="M2203" s="1771"/>
      <c r="N2203" s="1779"/>
      <c r="O2203" s="1770"/>
      <c r="P2203" s="1771"/>
      <c r="Q2203" s="1766"/>
      <c r="R2203" s="1766"/>
      <c r="S2203" s="1696"/>
      <c r="T2203" s="1696"/>
      <c r="U2203" s="1772"/>
      <c r="V2203" s="1696"/>
      <c r="W2203" s="1772"/>
      <c r="X2203" s="1696"/>
      <c r="Y2203" s="1696"/>
      <c r="Z2203" s="1773"/>
    </row>
    <row r="2204">
      <c r="A2204" s="1771"/>
      <c r="B2204" s="1777"/>
      <c r="C2204" s="1771"/>
      <c r="D2204" s="1771"/>
      <c r="E2204" s="1770"/>
      <c r="F2204" s="1771"/>
      <c r="G2204" s="1770"/>
      <c r="H2204" s="1771"/>
      <c r="I2204" s="1778"/>
      <c r="J2204" s="1771"/>
      <c r="K2204" s="1771"/>
      <c r="L2204" s="1771"/>
      <c r="M2204" s="1771"/>
      <c r="N2204" s="1779"/>
      <c r="O2204" s="1770"/>
      <c r="P2204" s="1771"/>
      <c r="Q2204" s="1766"/>
      <c r="R2204" s="1766"/>
      <c r="S2204" s="1696"/>
      <c r="T2204" s="1696"/>
      <c r="U2204" s="1772"/>
      <c r="V2204" s="1696"/>
      <c r="W2204" s="1772"/>
      <c r="X2204" s="1696"/>
      <c r="Y2204" s="1696"/>
      <c r="Z2204" s="1773"/>
    </row>
    <row r="2205">
      <c r="A2205" s="1771"/>
      <c r="B2205" s="1777"/>
      <c r="C2205" s="1771"/>
      <c r="D2205" s="1771"/>
      <c r="E2205" s="1770"/>
      <c r="F2205" s="1771"/>
      <c r="G2205" s="1771"/>
      <c r="H2205" s="1771"/>
      <c r="I2205" s="1778"/>
      <c r="J2205" s="1771"/>
      <c r="K2205" s="1771"/>
      <c r="L2205" s="1771"/>
      <c r="M2205" s="1771"/>
      <c r="N2205" s="1779"/>
      <c r="O2205" s="1770"/>
      <c r="P2205" s="1771"/>
      <c r="Q2205" s="1766"/>
      <c r="R2205" s="1766"/>
      <c r="S2205" s="1696"/>
      <c r="T2205" s="1696"/>
      <c r="U2205" s="1772"/>
      <c r="V2205" s="1696"/>
      <c r="W2205" s="1772"/>
      <c r="X2205" s="1696"/>
      <c r="Y2205" s="1696"/>
      <c r="Z2205" s="1773"/>
    </row>
    <row r="2206">
      <c r="A2206" s="1771"/>
      <c r="B2206" s="1777"/>
      <c r="C2206" s="1771"/>
      <c r="D2206" s="1771"/>
      <c r="E2206" s="1770"/>
      <c r="F2206" s="1771"/>
      <c r="G2206" s="1770"/>
      <c r="H2206" s="1771"/>
      <c r="I2206" s="1778"/>
      <c r="J2206" s="1771"/>
      <c r="K2206" s="1771"/>
      <c r="L2206" s="1771"/>
      <c r="M2206" s="1771"/>
      <c r="N2206" s="1779"/>
      <c r="O2206" s="1770"/>
      <c r="P2206" s="1771"/>
      <c r="Q2206" s="1766"/>
      <c r="R2206" s="1766"/>
      <c r="S2206" s="1696"/>
      <c r="T2206" s="1696"/>
      <c r="U2206" s="1772"/>
      <c r="V2206" s="1696"/>
      <c r="W2206" s="1772"/>
      <c r="X2206" s="1696"/>
      <c r="Y2206" s="1696"/>
      <c r="Z2206" s="1773"/>
    </row>
    <row r="2207">
      <c r="A2207" s="1771"/>
      <c r="B2207" s="1777"/>
      <c r="C2207" s="1771"/>
      <c r="D2207" s="1771"/>
      <c r="E2207" s="1770"/>
      <c r="F2207" s="1771"/>
      <c r="G2207" s="1771"/>
      <c r="H2207" s="1771"/>
      <c r="I2207" s="1778"/>
      <c r="J2207" s="1771"/>
      <c r="K2207" s="1771"/>
      <c r="L2207" s="1771"/>
      <c r="M2207" s="1771"/>
      <c r="N2207" s="1779"/>
      <c r="O2207" s="1770"/>
      <c r="P2207" s="1771"/>
      <c r="Q2207" s="1766"/>
      <c r="R2207" s="1766"/>
      <c r="S2207" s="1696"/>
      <c r="T2207" s="1696"/>
      <c r="U2207" s="1772"/>
      <c r="V2207" s="1696"/>
      <c r="W2207" s="1772"/>
      <c r="X2207" s="1696"/>
      <c r="Y2207" s="1696"/>
      <c r="Z2207" s="1773"/>
    </row>
    <row r="2208">
      <c r="A2208" s="1771"/>
      <c r="B2208" s="1777"/>
      <c r="C2208" s="1771"/>
      <c r="D2208" s="1771"/>
      <c r="E2208" s="1770"/>
      <c r="F2208" s="1771"/>
      <c r="G2208" s="1771"/>
      <c r="H2208" s="1771"/>
      <c r="I2208" s="1778"/>
      <c r="J2208" s="1771"/>
      <c r="K2208" s="1771"/>
      <c r="L2208" s="1771"/>
      <c r="M2208" s="1771"/>
      <c r="N2208" s="1779"/>
      <c r="O2208" s="1770"/>
      <c r="P2208" s="1771"/>
      <c r="Q2208" s="1766"/>
      <c r="R2208" s="1766"/>
      <c r="S2208" s="1696"/>
      <c r="T2208" s="1696"/>
      <c r="U2208" s="1772"/>
      <c r="V2208" s="1696"/>
      <c r="W2208" s="1772"/>
      <c r="X2208" s="1696"/>
      <c r="Y2208" s="1696"/>
      <c r="Z2208" s="1773"/>
    </row>
    <row r="2209">
      <c r="A2209" s="1771"/>
      <c r="B2209" s="1777"/>
      <c r="C2209" s="1771"/>
      <c r="D2209" s="1771"/>
      <c r="E2209" s="1770"/>
      <c r="F2209" s="1771"/>
      <c r="G2209" s="1770"/>
      <c r="H2209" s="1771"/>
      <c r="I2209" s="1778"/>
      <c r="J2209" s="1771"/>
      <c r="K2209" s="1771"/>
      <c r="L2209" s="1771"/>
      <c r="M2209" s="1771"/>
      <c r="N2209" s="1779"/>
      <c r="O2209" s="1770"/>
      <c r="P2209" s="1771"/>
      <c r="Q2209" s="1766"/>
      <c r="R2209" s="1766"/>
      <c r="S2209" s="1696"/>
      <c r="T2209" s="1696"/>
      <c r="U2209" s="1772"/>
      <c r="V2209" s="1696"/>
      <c r="W2209" s="1772"/>
      <c r="X2209" s="1696"/>
      <c r="Y2209" s="1696"/>
      <c r="Z2209" s="1773"/>
    </row>
    <row r="2210">
      <c r="A2210" s="1771"/>
      <c r="B2210" s="1777"/>
      <c r="C2210" s="1771"/>
      <c r="D2210" s="1771"/>
      <c r="E2210" s="1770"/>
      <c r="F2210" s="1771"/>
      <c r="G2210" s="1771"/>
      <c r="H2210" s="1771"/>
      <c r="I2210" s="1785"/>
      <c r="J2210" s="1771"/>
      <c r="K2210" s="1771"/>
      <c r="L2210" s="1771"/>
      <c r="M2210" s="1771"/>
      <c r="N2210" s="1779"/>
      <c r="O2210" s="1770"/>
      <c r="P2210" s="1771"/>
      <c r="Q2210" s="1766"/>
      <c r="R2210" s="1766"/>
      <c r="S2210" s="1696"/>
      <c r="T2210" s="1696"/>
      <c r="U2210" s="1772"/>
      <c r="V2210" s="1696"/>
      <c r="W2210" s="1772"/>
      <c r="X2210" s="1696"/>
      <c r="Y2210" s="1696"/>
      <c r="Z2210" s="1773"/>
    </row>
    <row r="2211">
      <c r="A2211" s="1771"/>
      <c r="B2211" s="1777"/>
      <c r="C2211" s="1771"/>
      <c r="D2211" s="1771"/>
      <c r="E2211" s="1770"/>
      <c r="F2211" s="1771"/>
      <c r="G2211" s="1770"/>
      <c r="H2211" s="1771"/>
      <c r="I2211" s="1770"/>
      <c r="J2211" s="1771"/>
      <c r="K2211" s="1771"/>
      <c r="L2211" s="1771"/>
      <c r="M2211" s="1771"/>
      <c r="N2211" s="1779"/>
      <c r="O2211" s="1770"/>
      <c r="P2211" s="1771"/>
      <c r="Q2211" s="1766"/>
      <c r="R2211" s="1766"/>
      <c r="S2211" s="1696"/>
      <c r="T2211" s="1696"/>
      <c r="U2211" s="1772"/>
      <c r="V2211" s="1696"/>
      <c r="W2211" s="1772"/>
      <c r="X2211" s="1696"/>
      <c r="Y2211" s="1696"/>
      <c r="Z2211" s="1773"/>
    </row>
    <row r="2212">
      <c r="A2212" s="1771"/>
      <c r="B2212" s="1777"/>
      <c r="C2212" s="1771"/>
      <c r="D2212" s="1771"/>
      <c r="E2212" s="1770"/>
      <c r="F2212" s="1771"/>
      <c r="G2212" s="1770"/>
      <c r="H2212" s="1771"/>
      <c r="I2212" s="1778"/>
      <c r="J2212" s="1771"/>
      <c r="K2212" s="1771"/>
      <c r="L2212" s="1771"/>
      <c r="M2212" s="1771"/>
      <c r="N2212" s="1779"/>
      <c r="O2212" s="1770"/>
      <c r="P2212" s="1771"/>
      <c r="Q2212" s="1766"/>
      <c r="R2212" s="1766"/>
      <c r="S2212" s="1696"/>
      <c r="T2212" s="1696"/>
      <c r="U2212" s="1772"/>
      <c r="V2212" s="1696"/>
      <c r="W2212" s="1772"/>
      <c r="X2212" s="1696"/>
      <c r="Y2212" s="1696"/>
      <c r="Z2212" s="1773"/>
    </row>
    <row r="2213">
      <c r="A2213" s="1771"/>
      <c r="B2213" s="1777"/>
      <c r="C2213" s="1771"/>
      <c r="D2213" s="1771"/>
      <c r="E2213" s="1770"/>
      <c r="F2213" s="1771"/>
      <c r="G2213" s="1770"/>
      <c r="H2213" s="1771"/>
      <c r="I2213" s="1778"/>
      <c r="J2213" s="1771"/>
      <c r="K2213" s="1771"/>
      <c r="L2213" s="1771"/>
      <c r="M2213" s="1771"/>
      <c r="N2213" s="1771"/>
      <c r="O2213" s="1771"/>
      <c r="P2213" s="1771"/>
      <c r="Q2213" s="1766"/>
      <c r="R2213" s="1766"/>
      <c r="S2213" s="1696"/>
      <c r="T2213" s="1696"/>
      <c r="U2213" s="1772"/>
      <c r="V2213" s="1696"/>
      <c r="W2213" s="1772"/>
      <c r="X2213" s="1696"/>
      <c r="Y2213" s="1696"/>
      <c r="Z2213" s="1773"/>
    </row>
    <row r="2214">
      <c r="A2214" s="1771"/>
      <c r="B2214" s="1777"/>
      <c r="C2214" s="1771"/>
      <c r="D2214" s="1771"/>
      <c r="E2214" s="1770"/>
      <c r="F2214" s="1771"/>
      <c r="G2214" s="1770"/>
      <c r="H2214" s="1771"/>
      <c r="I2214" s="1778"/>
      <c r="J2214" s="1771"/>
      <c r="K2214" s="1771"/>
      <c r="L2214" s="1771"/>
      <c r="M2214" s="1771"/>
      <c r="N2214" s="1771"/>
      <c r="O2214" s="1771"/>
      <c r="P2214" s="1771"/>
      <c r="Q2214" s="1766"/>
      <c r="R2214" s="1766"/>
      <c r="S2214" s="1696"/>
      <c r="T2214" s="1696"/>
      <c r="U2214" s="1772"/>
      <c r="V2214" s="1696"/>
      <c r="W2214" s="1772"/>
      <c r="X2214" s="1696"/>
      <c r="Y2214" s="1696"/>
      <c r="Z2214" s="1773"/>
    </row>
    <row r="2215">
      <c r="A2215" s="1771"/>
      <c r="B2215" s="1777"/>
      <c r="C2215" s="1771"/>
      <c r="D2215" s="1771"/>
      <c r="E2215" s="1770"/>
      <c r="F2215" s="1771"/>
      <c r="G2215" s="1770"/>
      <c r="H2215" s="1771"/>
      <c r="I2215" s="1778"/>
      <c r="J2215" s="1771"/>
      <c r="K2215" s="1771"/>
      <c r="L2215" s="1771"/>
      <c r="M2215" s="1771"/>
      <c r="N2215" s="1771"/>
      <c r="O2215" s="1771"/>
      <c r="P2215" s="1771"/>
      <c r="Q2215" s="1766"/>
      <c r="R2215" s="1766"/>
      <c r="S2215" s="1696"/>
      <c r="T2215" s="1696"/>
      <c r="U2215" s="1772"/>
      <c r="V2215" s="1696"/>
      <c r="W2215" s="1772"/>
      <c r="X2215" s="1696"/>
      <c r="Y2215" s="1696"/>
      <c r="Z2215" s="1773"/>
    </row>
    <row r="2216">
      <c r="A2216" s="1771"/>
      <c r="B2216" s="1777"/>
      <c r="C2216" s="1771"/>
      <c r="D2216" s="1771"/>
      <c r="E2216" s="1770"/>
      <c r="F2216" s="1771"/>
      <c r="G2216" s="1770"/>
      <c r="H2216" s="1771"/>
      <c r="I2216" s="1778"/>
      <c r="J2216" s="1771"/>
      <c r="K2216" s="1771"/>
      <c r="L2216" s="1771"/>
      <c r="M2216" s="1771"/>
      <c r="N2216" s="1771"/>
      <c r="O2216" s="1771"/>
      <c r="P2216" s="1771"/>
      <c r="Q2216" s="1766"/>
      <c r="R2216" s="1766"/>
      <c r="S2216" s="1696"/>
      <c r="T2216" s="1696"/>
      <c r="U2216" s="1772"/>
      <c r="V2216" s="1696"/>
      <c r="W2216" s="1772"/>
      <c r="X2216" s="1696"/>
      <c r="Y2216" s="1696"/>
      <c r="Z2216" s="1773"/>
    </row>
    <row r="2217">
      <c r="A2217" s="1771"/>
      <c r="B2217" s="1777"/>
      <c r="C2217" s="1771"/>
      <c r="D2217" s="1771"/>
      <c r="E2217" s="1770"/>
      <c r="F2217" s="1771"/>
      <c r="G2217" s="1770"/>
      <c r="H2217" s="1771"/>
      <c r="I2217" s="1778"/>
      <c r="J2217" s="1771"/>
      <c r="K2217" s="1771"/>
      <c r="L2217" s="1771"/>
      <c r="M2217" s="1771"/>
      <c r="N2217" s="1779"/>
      <c r="O2217" s="1770"/>
      <c r="P2217" s="1771"/>
      <c r="Q2217" s="1766"/>
      <c r="R2217" s="1766"/>
      <c r="S2217" s="1696"/>
      <c r="T2217" s="1696"/>
      <c r="U2217" s="1772"/>
      <c r="V2217" s="1696"/>
      <c r="W2217" s="1772"/>
      <c r="X2217" s="1696"/>
      <c r="Y2217" s="1696"/>
      <c r="Z2217" s="1773"/>
    </row>
    <row r="2218">
      <c r="A2218" s="1771"/>
      <c r="B2218" s="1777"/>
      <c r="C2218" s="1771"/>
      <c r="D2218" s="1771"/>
      <c r="E2218" s="1770"/>
      <c r="F2218" s="1771"/>
      <c r="G2218" s="1777"/>
      <c r="H2218" s="1771"/>
      <c r="I2218" s="1778"/>
      <c r="J2218" s="1771"/>
      <c r="K2218" s="1771"/>
      <c r="L2218" s="1771"/>
      <c r="M2218" s="1771"/>
      <c r="N2218" s="1779"/>
      <c r="O2218" s="1770"/>
      <c r="P2218" s="1771"/>
      <c r="Q2218" s="1766"/>
      <c r="R2218" s="1766"/>
      <c r="S2218" s="1696"/>
      <c r="T2218" s="1696"/>
      <c r="U2218" s="1772"/>
      <c r="V2218" s="1696"/>
      <c r="W2218" s="1772"/>
      <c r="X2218" s="1696"/>
      <c r="Y2218" s="1696"/>
      <c r="Z2218" s="1773"/>
    </row>
    <row r="2219">
      <c r="A2219" s="1771"/>
      <c r="B2219" s="1777"/>
      <c r="C2219" s="1771"/>
      <c r="D2219" s="1771"/>
      <c r="E2219" s="1770"/>
      <c r="F2219" s="1771"/>
      <c r="G2219" s="1771"/>
      <c r="H2219" s="1771"/>
      <c r="I2219" s="1778"/>
      <c r="J2219" s="1771"/>
      <c r="K2219" s="1771"/>
      <c r="L2219" s="1771"/>
      <c r="M2219" s="1771"/>
      <c r="N2219" s="1771"/>
      <c r="O2219" s="1771"/>
      <c r="P2219" s="1771"/>
      <c r="Q2219" s="1766"/>
      <c r="R2219" s="1766"/>
      <c r="S2219" s="1696"/>
      <c r="T2219" s="1696"/>
      <c r="U2219" s="1772"/>
      <c r="V2219" s="1696"/>
      <c r="W2219" s="1772"/>
      <c r="X2219" s="1696"/>
      <c r="Y2219" s="1696"/>
      <c r="Z2219" s="1773"/>
    </row>
    <row r="2220">
      <c r="A2220" s="1771"/>
      <c r="B2220" s="1777"/>
      <c r="C2220" s="1771"/>
      <c r="D2220" s="1771"/>
      <c r="E2220" s="1770"/>
      <c r="F2220" s="1771"/>
      <c r="G2220" s="1771"/>
      <c r="H2220" s="1771"/>
      <c r="I2220" s="1778"/>
      <c r="J2220" s="1771"/>
      <c r="K2220" s="1771"/>
      <c r="L2220" s="1771"/>
      <c r="M2220" s="1771"/>
      <c r="N2220" s="1771"/>
      <c r="O2220" s="1771"/>
      <c r="P2220" s="1771"/>
      <c r="Q2220" s="1766"/>
      <c r="R2220" s="1766"/>
      <c r="S2220" s="1696"/>
      <c r="T2220" s="1696"/>
      <c r="U2220" s="1772"/>
      <c r="V2220" s="1696"/>
      <c r="W2220" s="1772"/>
      <c r="X2220" s="1696"/>
      <c r="Y2220" s="1696"/>
      <c r="Z2220" s="1773"/>
    </row>
    <row r="2221">
      <c r="A2221" s="1771"/>
      <c r="B2221" s="1777"/>
      <c r="C2221" s="1771"/>
      <c r="D2221" s="1771"/>
      <c r="E2221" s="1770"/>
      <c r="F2221" s="1771"/>
      <c r="G2221" s="1770"/>
      <c r="H2221" s="1771"/>
      <c r="I2221" s="1778"/>
      <c r="J2221" s="1771"/>
      <c r="K2221" s="1771"/>
      <c r="L2221" s="1771"/>
      <c r="M2221" s="1771"/>
      <c r="N2221" s="1771"/>
      <c r="O2221" s="1771"/>
      <c r="P2221" s="1771"/>
      <c r="Q2221" s="1766"/>
      <c r="R2221" s="1766"/>
      <c r="S2221" s="1696"/>
      <c r="T2221" s="1696"/>
      <c r="U2221" s="1772"/>
      <c r="V2221" s="1696"/>
      <c r="W2221" s="1772"/>
      <c r="X2221" s="1696"/>
      <c r="Y2221" s="1696"/>
      <c r="Z2221" s="1773"/>
    </row>
    <row r="2222">
      <c r="A2222" s="1771"/>
      <c r="B2222" s="1777"/>
      <c r="C2222" s="1771"/>
      <c r="D2222" s="1771"/>
      <c r="E2222" s="1770"/>
      <c r="F2222" s="1771"/>
      <c r="G2222" s="1771"/>
      <c r="H2222" s="1771"/>
      <c r="I2222" s="1778"/>
      <c r="J2222" s="1771"/>
      <c r="K2222" s="1771"/>
      <c r="L2222" s="1771"/>
      <c r="M2222" s="1771"/>
      <c r="N2222" s="1771"/>
      <c r="O2222" s="1771"/>
      <c r="P2222" s="1771"/>
      <c r="Q2222" s="1766"/>
      <c r="R2222" s="1766"/>
      <c r="S2222" s="1696"/>
      <c r="T2222" s="1696"/>
      <c r="U2222" s="1772"/>
      <c r="V2222" s="1696"/>
      <c r="W2222" s="1772"/>
      <c r="X2222" s="1696"/>
      <c r="Y2222" s="1696"/>
      <c r="Z2222" s="1773"/>
    </row>
    <row r="2223">
      <c r="A2223" s="1771"/>
      <c r="B2223" s="1777"/>
      <c r="C2223" s="1771"/>
      <c r="D2223" s="1771"/>
      <c r="E2223" s="1770"/>
      <c r="F2223" s="1771"/>
      <c r="G2223" s="1771"/>
      <c r="H2223" s="1771"/>
      <c r="I2223" s="1778"/>
      <c r="J2223" s="1771"/>
      <c r="K2223" s="1771"/>
      <c r="L2223" s="1771"/>
      <c r="M2223" s="1771"/>
      <c r="N2223" s="1771"/>
      <c r="O2223" s="1771"/>
      <c r="P2223" s="1771"/>
      <c r="Q2223" s="1766"/>
      <c r="R2223" s="1766"/>
      <c r="S2223" s="1696"/>
      <c r="T2223" s="1696"/>
      <c r="U2223" s="1772"/>
      <c r="V2223" s="1696"/>
      <c r="W2223" s="1772"/>
      <c r="X2223" s="1696"/>
      <c r="Y2223" s="1696"/>
      <c r="Z2223" s="1773"/>
    </row>
    <row r="2224">
      <c r="A2224" s="1771"/>
      <c r="B2224" s="1777"/>
      <c r="C2224" s="1771"/>
      <c r="D2224" s="1771"/>
      <c r="E2224" s="1770"/>
      <c r="F2224" s="1771"/>
      <c r="G2224" s="1771"/>
      <c r="H2224" s="1771"/>
      <c r="I2224" s="1778"/>
      <c r="J2224" s="1771"/>
      <c r="K2224" s="1771"/>
      <c r="L2224" s="1771"/>
      <c r="M2224" s="1771"/>
      <c r="N2224" s="1779"/>
      <c r="O2224" s="1770"/>
      <c r="P2224" s="1771"/>
      <c r="Q2224" s="1766"/>
      <c r="R2224" s="1766"/>
      <c r="S2224" s="1696"/>
      <c r="T2224" s="1696"/>
      <c r="U2224" s="1772"/>
      <c r="V2224" s="1696"/>
      <c r="W2224" s="1772"/>
      <c r="X2224" s="1696"/>
      <c r="Y2224" s="1696"/>
      <c r="Z2224" s="1773"/>
    </row>
    <row r="2225">
      <c r="A2225" s="1771"/>
      <c r="B2225" s="1777"/>
      <c r="C2225" s="1771"/>
      <c r="D2225" s="1771"/>
      <c r="E2225" s="1770"/>
      <c r="F2225" s="1771"/>
      <c r="G2225" s="1770"/>
      <c r="H2225" s="1771"/>
      <c r="I2225" s="1778"/>
      <c r="J2225" s="1771"/>
      <c r="K2225" s="1771"/>
      <c r="L2225" s="1771"/>
      <c r="M2225" s="1771"/>
      <c r="N2225" s="1779"/>
      <c r="O2225" s="1770"/>
      <c r="P2225" s="1771"/>
      <c r="Q2225" s="1766"/>
      <c r="R2225" s="1766"/>
      <c r="S2225" s="1696"/>
      <c r="T2225" s="1696"/>
      <c r="U2225" s="1772"/>
      <c r="V2225" s="1696"/>
      <c r="W2225" s="1772"/>
      <c r="X2225" s="1696"/>
      <c r="Y2225" s="1696"/>
      <c r="Z2225" s="1773"/>
    </row>
    <row r="2226">
      <c r="A2226" s="1771"/>
      <c r="B2226" s="1777"/>
      <c r="C2226" s="1771"/>
      <c r="D2226" s="1771"/>
      <c r="E2226" s="1770"/>
      <c r="F2226" s="1771"/>
      <c r="G2226" s="1771"/>
      <c r="H2226" s="1771"/>
      <c r="I2226" s="1778"/>
      <c r="J2226" s="1771"/>
      <c r="K2226" s="1771"/>
      <c r="L2226" s="1771"/>
      <c r="M2226" s="1771"/>
      <c r="N2226" s="1779"/>
      <c r="O2226" s="1770"/>
      <c r="P2226" s="1771"/>
      <c r="Q2226" s="1766"/>
      <c r="R2226" s="1766"/>
      <c r="S2226" s="1696"/>
      <c r="T2226" s="1696"/>
      <c r="U2226" s="1772"/>
      <c r="V2226" s="1696"/>
      <c r="W2226" s="1772"/>
      <c r="X2226" s="1696"/>
      <c r="Y2226" s="1696"/>
      <c r="Z2226" s="1773"/>
    </row>
    <row r="2227">
      <c r="A2227" s="1771"/>
      <c r="B2227" s="1777"/>
      <c r="C2227" s="1771"/>
      <c r="D2227" s="1771"/>
      <c r="E2227" s="1770"/>
      <c r="F2227" s="1771"/>
      <c r="G2227" s="1770"/>
      <c r="H2227" s="1771"/>
      <c r="I2227" s="1778"/>
      <c r="J2227" s="1771"/>
      <c r="K2227" s="1771"/>
      <c r="L2227" s="1771"/>
      <c r="M2227" s="1771"/>
      <c r="N2227" s="1779"/>
      <c r="O2227" s="1770"/>
      <c r="P2227" s="1771"/>
      <c r="Q2227" s="1766"/>
      <c r="R2227" s="1766"/>
      <c r="S2227" s="1696"/>
      <c r="T2227" s="1696"/>
      <c r="U2227" s="1772"/>
      <c r="V2227" s="1696"/>
      <c r="W2227" s="1772"/>
      <c r="X2227" s="1696"/>
      <c r="Y2227" s="1696"/>
      <c r="Z2227" s="1773"/>
    </row>
    <row r="2228">
      <c r="A2228" s="1771"/>
      <c r="B2228" s="1777"/>
      <c r="C2228" s="1771"/>
      <c r="D2228" s="1771"/>
      <c r="E2228" s="1770"/>
      <c r="F2228" s="1771"/>
      <c r="G2228" s="1770"/>
      <c r="H2228" s="1771"/>
      <c r="I2228" s="1778"/>
      <c r="J2228" s="1771"/>
      <c r="K2228" s="1771"/>
      <c r="L2228" s="1771"/>
      <c r="M2228" s="1771"/>
      <c r="N2228" s="1779"/>
      <c r="O2228" s="1770"/>
      <c r="P2228" s="1771"/>
      <c r="Q2228" s="1766"/>
      <c r="R2228" s="1766"/>
      <c r="S2228" s="1696"/>
      <c r="T2228" s="1696"/>
      <c r="U2228" s="1772"/>
      <c r="V2228" s="1696"/>
      <c r="W2228" s="1772"/>
      <c r="X2228" s="1696"/>
      <c r="Y2228" s="1696"/>
      <c r="Z2228" s="1773"/>
    </row>
    <row r="2229">
      <c r="A2229" s="1771"/>
      <c r="B2229" s="1777"/>
      <c r="C2229" s="1771"/>
      <c r="D2229" s="1771"/>
      <c r="E2229" s="1770"/>
      <c r="F2229" s="1771"/>
      <c r="G2229" s="1770"/>
      <c r="H2229" s="1771"/>
      <c r="I2229" s="1778"/>
      <c r="J2229" s="1771"/>
      <c r="K2229" s="1771"/>
      <c r="L2229" s="1771"/>
      <c r="M2229" s="1771"/>
      <c r="N2229" s="1771"/>
      <c r="O2229" s="1771"/>
      <c r="P2229" s="1771"/>
      <c r="Q2229" s="1766"/>
      <c r="R2229" s="1766"/>
      <c r="S2229" s="1696"/>
      <c r="T2229" s="1696"/>
      <c r="U2229" s="1772"/>
      <c r="V2229" s="1696"/>
      <c r="W2229" s="1772"/>
      <c r="X2229" s="1696"/>
      <c r="Y2229" s="1696"/>
      <c r="Z2229" s="1773"/>
    </row>
    <row r="2230">
      <c r="A2230" s="1771"/>
      <c r="B2230" s="1777"/>
      <c r="C2230" s="1771"/>
      <c r="D2230" s="1771"/>
      <c r="E2230" s="1770"/>
      <c r="F2230" s="1771"/>
      <c r="G2230" s="1771"/>
      <c r="H2230" s="1771"/>
      <c r="I2230" s="1778"/>
      <c r="J2230" s="1771"/>
      <c r="K2230" s="1771"/>
      <c r="L2230" s="1771"/>
      <c r="M2230" s="1771"/>
      <c r="N2230" s="1771"/>
      <c r="O2230" s="1771"/>
      <c r="P2230" s="1771"/>
      <c r="Q2230" s="1766"/>
      <c r="R2230" s="1766"/>
      <c r="S2230" s="1696"/>
      <c r="T2230" s="1696"/>
      <c r="U2230" s="1772"/>
      <c r="V2230" s="1696"/>
      <c r="W2230" s="1772"/>
      <c r="X2230" s="1696"/>
      <c r="Y2230" s="1696"/>
      <c r="Z2230" s="1773"/>
    </row>
    <row r="2231">
      <c r="A2231" s="1771"/>
      <c r="B2231" s="1777"/>
      <c r="C2231" s="1771"/>
      <c r="D2231" s="1771"/>
      <c r="E2231" s="1770"/>
      <c r="F2231" s="1771"/>
      <c r="G2231" s="1770"/>
      <c r="H2231" s="1771"/>
      <c r="I2231" s="1778"/>
      <c r="J2231" s="1771"/>
      <c r="K2231" s="1771"/>
      <c r="L2231" s="1771"/>
      <c r="M2231" s="1771"/>
      <c r="N2231" s="1771"/>
      <c r="O2231" s="1771"/>
      <c r="P2231" s="1771"/>
      <c r="Q2231" s="1766"/>
      <c r="R2231" s="1766"/>
      <c r="S2231" s="1696"/>
      <c r="T2231" s="1696"/>
      <c r="U2231" s="1772"/>
      <c r="V2231" s="1696"/>
      <c r="W2231" s="1772"/>
      <c r="X2231" s="1696"/>
      <c r="Y2231" s="1696"/>
      <c r="Z2231" s="1773"/>
    </row>
    <row r="2232">
      <c r="A2232" s="1771"/>
      <c r="B2232" s="1777"/>
      <c r="C2232" s="1771"/>
      <c r="D2232" s="1771"/>
      <c r="E2232" s="1770"/>
      <c r="F2232" s="1771"/>
      <c r="G2232" s="1770"/>
      <c r="H2232" s="1771"/>
      <c r="I2232" s="1778"/>
      <c r="J2232" s="1771"/>
      <c r="K2232" s="1771"/>
      <c r="L2232" s="1771"/>
      <c r="M2232" s="1771"/>
      <c r="N2232" s="1771"/>
      <c r="O2232" s="1771"/>
      <c r="P2232" s="1771"/>
      <c r="Q2232" s="1766"/>
      <c r="R2232" s="1766"/>
      <c r="S2232" s="1696"/>
      <c r="T2232" s="1696"/>
      <c r="U2232" s="1772"/>
      <c r="V2232" s="1696"/>
      <c r="W2232" s="1772"/>
      <c r="X2232" s="1696"/>
      <c r="Y2232" s="1696"/>
      <c r="Z2232" s="1773"/>
    </row>
    <row r="2233">
      <c r="A2233" s="1771"/>
      <c r="B2233" s="1777"/>
      <c r="C2233" s="1771"/>
      <c r="D2233" s="1771"/>
      <c r="E2233" s="1770"/>
      <c r="F2233" s="1771"/>
      <c r="G2233" s="1771"/>
      <c r="H2233" s="1771"/>
      <c r="I2233" s="1778"/>
      <c r="J2233" s="1771"/>
      <c r="K2233" s="1771"/>
      <c r="L2233" s="1771"/>
      <c r="M2233" s="1771"/>
      <c r="N2233" s="1771"/>
      <c r="O2233" s="1771"/>
      <c r="P2233" s="1771"/>
      <c r="Q2233" s="1766"/>
      <c r="R2233" s="1766"/>
      <c r="S2233" s="1696"/>
      <c r="T2233" s="1696"/>
      <c r="U2233" s="1772"/>
      <c r="V2233" s="1696"/>
      <c r="W2233" s="1772"/>
      <c r="X2233" s="1696"/>
      <c r="Y2233" s="1696"/>
      <c r="Z2233" s="1773"/>
    </row>
    <row r="2234">
      <c r="A2234" s="1771"/>
      <c r="B2234" s="1777"/>
      <c r="C2234" s="1771"/>
      <c r="D2234" s="1771"/>
      <c r="E2234" s="1770"/>
      <c r="F2234" s="1771"/>
      <c r="G2234" s="1771"/>
      <c r="H2234" s="1771"/>
      <c r="I2234" s="1778"/>
      <c r="J2234" s="1771"/>
      <c r="K2234" s="1771"/>
      <c r="L2234" s="1771"/>
      <c r="M2234" s="1771"/>
      <c r="N2234" s="1771"/>
      <c r="O2234" s="1771"/>
      <c r="P2234" s="1771"/>
      <c r="Q2234" s="1766"/>
      <c r="R2234" s="1766"/>
      <c r="S2234" s="1696"/>
      <c r="T2234" s="1696"/>
      <c r="U2234" s="1772"/>
      <c r="V2234" s="1696"/>
      <c r="W2234" s="1772"/>
      <c r="X2234" s="1696"/>
      <c r="Y2234" s="1696"/>
      <c r="Z2234" s="1773"/>
    </row>
    <row r="2235">
      <c r="A2235" s="1771"/>
      <c r="B2235" s="1777"/>
      <c r="C2235" s="1771"/>
      <c r="D2235" s="1771"/>
      <c r="E2235" s="1770"/>
      <c r="F2235" s="1771"/>
      <c r="G2235" s="1770"/>
      <c r="H2235" s="1771"/>
      <c r="I2235" s="1778"/>
      <c r="J2235" s="1771"/>
      <c r="K2235" s="1771"/>
      <c r="L2235" s="1771"/>
      <c r="M2235" s="1771"/>
      <c r="N2235" s="1771"/>
      <c r="O2235" s="1771"/>
      <c r="P2235" s="1771"/>
      <c r="Q2235" s="1766"/>
      <c r="R2235" s="1766"/>
      <c r="S2235" s="1696"/>
      <c r="T2235" s="1696"/>
      <c r="U2235" s="1772"/>
      <c r="V2235" s="1696"/>
      <c r="W2235" s="1772"/>
      <c r="X2235" s="1696"/>
      <c r="Y2235" s="1696"/>
      <c r="Z2235" s="1773"/>
    </row>
    <row r="2236">
      <c r="A2236" s="1771"/>
      <c r="B2236" s="1777"/>
      <c r="C2236" s="1771"/>
      <c r="D2236" s="1771"/>
      <c r="E2236" s="1770"/>
      <c r="F2236" s="1771"/>
      <c r="G2236" s="1770"/>
      <c r="H2236" s="1771"/>
      <c r="I2236" s="1778"/>
      <c r="J2236" s="1771"/>
      <c r="K2236" s="1771"/>
      <c r="L2236" s="1771"/>
      <c r="M2236" s="1771"/>
      <c r="N2236" s="1771"/>
      <c r="O2236" s="1771"/>
      <c r="P2236" s="1771"/>
      <c r="Q2236" s="1766"/>
      <c r="R2236" s="1766"/>
      <c r="S2236" s="1696"/>
      <c r="T2236" s="1696"/>
      <c r="U2236" s="1772"/>
      <c r="V2236" s="1696"/>
      <c r="W2236" s="1772"/>
      <c r="X2236" s="1696"/>
      <c r="Y2236" s="1696"/>
      <c r="Z2236" s="1773"/>
    </row>
    <row r="2237">
      <c r="A2237" s="1771"/>
      <c r="B2237" s="1777"/>
      <c r="C2237" s="1771"/>
      <c r="D2237" s="1771"/>
      <c r="E2237" s="1770"/>
      <c r="F2237" s="1771"/>
      <c r="G2237" s="1770"/>
      <c r="H2237" s="1771"/>
      <c r="I2237" s="1778"/>
      <c r="J2237" s="1771"/>
      <c r="K2237" s="1771"/>
      <c r="L2237" s="1771"/>
      <c r="M2237" s="1771"/>
      <c r="N2237" s="1771"/>
      <c r="O2237" s="1771"/>
      <c r="P2237" s="1771"/>
      <c r="Q2237" s="1766"/>
      <c r="R2237" s="1766"/>
      <c r="S2237" s="1696"/>
      <c r="T2237" s="1696"/>
      <c r="U2237" s="1772"/>
      <c r="V2237" s="1696"/>
      <c r="W2237" s="1772"/>
      <c r="X2237" s="1696"/>
      <c r="Y2237" s="1696"/>
      <c r="Z2237" s="1773"/>
    </row>
    <row r="2238">
      <c r="A2238" s="1771"/>
      <c r="B2238" s="1777"/>
      <c r="C2238" s="1771"/>
      <c r="D2238" s="1771"/>
      <c r="E2238" s="1770"/>
      <c r="F2238" s="1771"/>
      <c r="G2238" s="1770"/>
      <c r="H2238" s="1771"/>
      <c r="I2238" s="1778"/>
      <c r="J2238" s="1771"/>
      <c r="K2238" s="1771"/>
      <c r="L2238" s="1771"/>
      <c r="M2238" s="1771"/>
      <c r="N2238" s="1771"/>
      <c r="O2238" s="1771"/>
      <c r="P2238" s="1771"/>
      <c r="Q2238" s="1766"/>
      <c r="R2238" s="1766"/>
      <c r="S2238" s="1696"/>
      <c r="T2238" s="1696"/>
      <c r="U2238" s="1772"/>
      <c r="V2238" s="1696"/>
      <c r="W2238" s="1772"/>
      <c r="X2238" s="1696"/>
      <c r="Y2238" s="1696"/>
      <c r="Z2238" s="1773"/>
    </row>
    <row r="2239">
      <c r="A2239" s="1771"/>
      <c r="B2239" s="1777"/>
      <c r="C2239" s="1771"/>
      <c r="D2239" s="1771"/>
      <c r="E2239" s="1770"/>
      <c r="F2239" s="1771"/>
      <c r="G2239" s="1771"/>
      <c r="H2239" s="1771"/>
      <c r="I2239" s="1778"/>
      <c r="J2239" s="1771"/>
      <c r="K2239" s="1771"/>
      <c r="L2239" s="1771"/>
      <c r="M2239" s="1771"/>
      <c r="N2239" s="1771"/>
      <c r="O2239" s="1771"/>
      <c r="P2239" s="1771"/>
      <c r="Q2239" s="1766"/>
      <c r="R2239" s="1766"/>
      <c r="S2239" s="1696"/>
      <c r="T2239" s="1696"/>
      <c r="U2239" s="1772"/>
      <c r="V2239" s="1696"/>
      <c r="W2239" s="1772"/>
      <c r="X2239" s="1696"/>
      <c r="Y2239" s="1696"/>
      <c r="Z2239" s="1773"/>
    </row>
    <row r="2240">
      <c r="A2240" s="1771"/>
      <c r="B2240" s="1777"/>
      <c r="C2240" s="1771"/>
      <c r="D2240" s="1771"/>
      <c r="E2240" s="1770"/>
      <c r="F2240" s="1771"/>
      <c r="G2240" s="1770"/>
      <c r="H2240" s="1771"/>
      <c r="I2240" s="1778"/>
      <c r="J2240" s="1771"/>
      <c r="K2240" s="1771"/>
      <c r="L2240" s="1771"/>
      <c r="M2240" s="1771"/>
      <c r="N2240" s="1771"/>
      <c r="O2240" s="1771"/>
      <c r="P2240" s="1771"/>
      <c r="Q2240" s="1766"/>
      <c r="R2240" s="1766"/>
      <c r="S2240" s="1696"/>
      <c r="T2240" s="1696"/>
      <c r="U2240" s="1772"/>
      <c r="V2240" s="1696"/>
      <c r="W2240" s="1772"/>
      <c r="X2240" s="1696"/>
      <c r="Y2240" s="1696"/>
      <c r="Z2240" s="1773"/>
    </row>
    <row r="2241">
      <c r="A2241" s="1771"/>
      <c r="B2241" s="1777"/>
      <c r="C2241" s="1771"/>
      <c r="D2241" s="1771"/>
      <c r="E2241" s="1770"/>
      <c r="F2241" s="1771"/>
      <c r="G2241" s="1770"/>
      <c r="H2241" s="1771"/>
      <c r="I2241" s="1778"/>
      <c r="J2241" s="1771"/>
      <c r="K2241" s="1771"/>
      <c r="L2241" s="1771"/>
      <c r="M2241" s="1771"/>
      <c r="N2241" s="1771"/>
      <c r="O2241" s="1771"/>
      <c r="P2241" s="1771"/>
      <c r="Q2241" s="1766"/>
      <c r="R2241" s="1766"/>
      <c r="S2241" s="1696"/>
      <c r="T2241" s="1696"/>
      <c r="U2241" s="1772"/>
      <c r="V2241" s="1696"/>
      <c r="W2241" s="1772"/>
      <c r="X2241" s="1696"/>
      <c r="Y2241" s="1696"/>
      <c r="Z2241" s="1773"/>
    </row>
    <row r="2242">
      <c r="A2242" s="1771"/>
      <c r="B2242" s="1777"/>
      <c r="C2242" s="1771"/>
      <c r="D2242" s="1771"/>
      <c r="E2242" s="1770"/>
      <c r="F2242" s="1771"/>
      <c r="G2242" s="1770"/>
      <c r="H2242" s="1771"/>
      <c r="I2242" s="1778"/>
      <c r="J2242" s="1771"/>
      <c r="K2242" s="1771"/>
      <c r="L2242" s="1771"/>
      <c r="M2242" s="1771"/>
      <c r="N2242" s="1779"/>
      <c r="O2242" s="1770"/>
      <c r="P2242" s="1771"/>
      <c r="Q2242" s="1766"/>
      <c r="R2242" s="1766"/>
      <c r="S2242" s="1696"/>
      <c r="T2242" s="1696"/>
      <c r="U2242" s="1772"/>
      <c r="V2242" s="1696"/>
      <c r="W2242" s="1772"/>
      <c r="X2242" s="1696"/>
      <c r="Y2242" s="1696"/>
      <c r="Z2242" s="1773"/>
    </row>
    <row r="2243">
      <c r="A2243" s="1771"/>
      <c r="B2243" s="1777"/>
      <c r="C2243" s="1771"/>
      <c r="D2243" s="1771"/>
      <c r="E2243" s="1770"/>
      <c r="F2243" s="1771"/>
      <c r="G2243" s="1770"/>
      <c r="H2243" s="1771"/>
      <c r="I2243" s="1778"/>
      <c r="J2243" s="1771"/>
      <c r="K2243" s="1771"/>
      <c r="L2243" s="1771"/>
      <c r="M2243" s="1771"/>
      <c r="N2243" s="1779"/>
      <c r="O2243" s="1770"/>
      <c r="P2243" s="1771"/>
      <c r="Q2243" s="1766"/>
      <c r="R2243" s="1766"/>
      <c r="S2243" s="1696"/>
      <c r="T2243" s="1696"/>
      <c r="U2243" s="1772"/>
      <c r="V2243" s="1696"/>
      <c r="W2243" s="1772"/>
      <c r="X2243" s="1696"/>
      <c r="Y2243" s="1696"/>
      <c r="Z2243" s="1773"/>
    </row>
    <row r="2244">
      <c r="A2244" s="1771"/>
      <c r="B2244" s="1777"/>
      <c r="C2244" s="1771"/>
      <c r="D2244" s="1771"/>
      <c r="E2244" s="1770"/>
      <c r="F2244" s="1771"/>
      <c r="G2244" s="1770"/>
      <c r="H2244" s="1771"/>
      <c r="I2244" s="1778"/>
      <c r="J2244" s="1771"/>
      <c r="K2244" s="1771"/>
      <c r="L2244" s="1771"/>
      <c r="M2244" s="1771"/>
      <c r="N2244" s="1779"/>
      <c r="O2244" s="1770"/>
      <c r="P2244" s="1771"/>
      <c r="Q2244" s="1766"/>
      <c r="R2244" s="1766"/>
      <c r="S2244" s="1696"/>
      <c r="T2244" s="1696"/>
      <c r="U2244" s="1772"/>
      <c r="V2244" s="1696"/>
      <c r="W2244" s="1772"/>
      <c r="X2244" s="1696"/>
      <c r="Y2244" s="1696"/>
      <c r="Z2244" s="1773"/>
    </row>
    <row r="2245">
      <c r="A2245" s="1771"/>
      <c r="B2245" s="1777"/>
      <c r="C2245" s="1771"/>
      <c r="D2245" s="1771"/>
      <c r="E2245" s="1770"/>
      <c r="F2245" s="1771"/>
      <c r="G2245" s="1771"/>
      <c r="H2245" s="1771"/>
      <c r="I2245" s="1778"/>
      <c r="J2245" s="1771"/>
      <c r="K2245" s="1771"/>
      <c r="L2245" s="1771"/>
      <c r="M2245" s="1771"/>
      <c r="N2245" s="1779"/>
      <c r="O2245" s="1770"/>
      <c r="P2245" s="1771"/>
      <c r="Q2245" s="1766"/>
      <c r="R2245" s="1766"/>
      <c r="S2245" s="1696"/>
      <c r="T2245" s="1696"/>
      <c r="U2245" s="1772"/>
      <c r="V2245" s="1696"/>
      <c r="W2245" s="1772"/>
      <c r="X2245" s="1696"/>
      <c r="Y2245" s="1696"/>
      <c r="Z2245" s="1773"/>
    </row>
    <row r="2246">
      <c r="A2246" s="1771"/>
      <c r="B2246" s="1777"/>
      <c r="C2246" s="1771"/>
      <c r="D2246" s="1771"/>
      <c r="E2246" s="1770"/>
      <c r="F2246" s="1771"/>
      <c r="G2246" s="1770"/>
      <c r="H2246" s="1771"/>
      <c r="I2246" s="1778"/>
      <c r="J2246" s="1771"/>
      <c r="K2246" s="1771"/>
      <c r="L2246" s="1771"/>
      <c r="M2246" s="1771"/>
      <c r="N2246" s="1779"/>
      <c r="O2246" s="1770"/>
      <c r="P2246" s="1771"/>
      <c r="Q2246" s="1766"/>
      <c r="R2246" s="1766"/>
      <c r="S2246" s="1696"/>
      <c r="T2246" s="1696"/>
      <c r="U2246" s="1772"/>
      <c r="V2246" s="1696"/>
      <c r="W2246" s="1772"/>
      <c r="X2246" s="1696"/>
      <c r="Y2246" s="1696"/>
      <c r="Z2246" s="1773"/>
    </row>
    <row r="2247">
      <c r="A2247" s="1771"/>
      <c r="B2247" s="1777"/>
      <c r="C2247" s="1771"/>
      <c r="D2247" s="1771"/>
      <c r="E2247" s="1770"/>
      <c r="F2247" s="1771"/>
      <c r="G2247" s="1770"/>
      <c r="H2247" s="1771"/>
      <c r="I2247" s="1778"/>
      <c r="J2247" s="1771"/>
      <c r="K2247" s="1771"/>
      <c r="L2247" s="1771"/>
      <c r="M2247" s="1771"/>
      <c r="N2247" s="1771"/>
      <c r="O2247" s="1771"/>
      <c r="P2247" s="1771"/>
      <c r="Q2247" s="1766"/>
      <c r="R2247" s="1766"/>
      <c r="S2247" s="1696"/>
      <c r="T2247" s="1696"/>
      <c r="U2247" s="1772"/>
      <c r="V2247" s="1696"/>
      <c r="W2247" s="1772"/>
      <c r="X2247" s="1696"/>
      <c r="Y2247" s="1696"/>
      <c r="Z2247" s="1773"/>
    </row>
    <row r="2248">
      <c r="A2248" s="1771"/>
      <c r="B2248" s="1777"/>
      <c r="C2248" s="1771"/>
      <c r="D2248" s="1771"/>
      <c r="E2248" s="1770"/>
      <c r="F2248" s="1771"/>
      <c r="G2248" s="1770"/>
      <c r="H2248" s="1771"/>
      <c r="I2248" s="1778"/>
      <c r="J2248" s="1771"/>
      <c r="K2248" s="1771"/>
      <c r="L2248" s="1771"/>
      <c r="M2248" s="1771"/>
      <c r="N2248" s="1779"/>
      <c r="O2248" s="1770"/>
      <c r="P2248" s="1771"/>
      <c r="Q2248" s="1766"/>
      <c r="R2248" s="1766"/>
      <c r="S2248" s="1696"/>
      <c r="T2248" s="1696"/>
      <c r="U2248" s="1772"/>
      <c r="V2248" s="1696"/>
      <c r="W2248" s="1772"/>
      <c r="X2248" s="1696"/>
      <c r="Y2248" s="1696"/>
      <c r="Z2248" s="1773"/>
    </row>
    <row r="2249">
      <c r="A2249" s="1771"/>
      <c r="B2249" s="1777"/>
      <c r="C2249" s="1771"/>
      <c r="D2249" s="1771"/>
      <c r="E2249" s="1770"/>
      <c r="F2249" s="1771"/>
      <c r="G2249" s="1771"/>
      <c r="H2249" s="1771"/>
      <c r="I2249" s="1778"/>
      <c r="J2249" s="1771"/>
      <c r="K2249" s="1771"/>
      <c r="L2249" s="1771"/>
      <c r="M2249" s="1771"/>
      <c r="N2249" s="1779"/>
      <c r="O2249" s="1770"/>
      <c r="P2249" s="1771"/>
      <c r="Q2249" s="1766"/>
      <c r="R2249" s="1766"/>
      <c r="S2249" s="1696"/>
      <c r="T2249" s="1696"/>
      <c r="U2249" s="1772"/>
      <c r="V2249" s="1696"/>
      <c r="W2249" s="1772"/>
      <c r="X2249" s="1696"/>
      <c r="Y2249" s="1696"/>
      <c r="Z2249" s="1773"/>
    </row>
    <row r="2250">
      <c r="A2250" s="1771"/>
      <c r="B2250" s="1777"/>
      <c r="C2250" s="1771"/>
      <c r="D2250" s="1771"/>
      <c r="E2250" s="1770"/>
      <c r="F2250" s="1771"/>
      <c r="G2250" s="1770"/>
      <c r="H2250" s="1771"/>
      <c r="I2250" s="1778"/>
      <c r="J2250" s="1771"/>
      <c r="K2250" s="1771"/>
      <c r="L2250" s="1771"/>
      <c r="M2250" s="1771"/>
      <c r="N2250" s="1771"/>
      <c r="O2250" s="1771"/>
      <c r="P2250" s="1771"/>
      <c r="Q2250" s="1766"/>
      <c r="R2250" s="1766"/>
      <c r="S2250" s="1696"/>
      <c r="T2250" s="1696"/>
      <c r="U2250" s="1772"/>
      <c r="V2250" s="1696"/>
      <c r="W2250" s="1772"/>
      <c r="X2250" s="1696"/>
      <c r="Y2250" s="1696"/>
      <c r="Z2250" s="1773"/>
    </row>
    <row r="2251">
      <c r="A2251" s="1771"/>
      <c r="B2251" s="1777"/>
      <c r="C2251" s="1771"/>
      <c r="D2251" s="1771"/>
      <c r="E2251" s="1770"/>
      <c r="F2251" s="1771"/>
      <c r="G2251" s="1771"/>
      <c r="H2251" s="1771"/>
      <c r="I2251" s="1778"/>
      <c r="J2251" s="1771"/>
      <c r="K2251" s="1771"/>
      <c r="L2251" s="1771"/>
      <c r="M2251" s="1771"/>
      <c r="N2251" s="1771"/>
      <c r="O2251" s="1771"/>
      <c r="P2251" s="1771"/>
      <c r="Q2251" s="1766"/>
      <c r="R2251" s="1766"/>
      <c r="S2251" s="1696"/>
      <c r="T2251" s="1696"/>
      <c r="U2251" s="1772"/>
      <c r="V2251" s="1696"/>
      <c r="W2251" s="1772"/>
      <c r="X2251" s="1696"/>
      <c r="Y2251" s="1696"/>
      <c r="Z2251" s="1773"/>
    </row>
    <row r="2252">
      <c r="A2252" s="1771"/>
      <c r="B2252" s="1777"/>
      <c r="C2252" s="1771"/>
      <c r="D2252" s="1771"/>
      <c r="E2252" s="1770"/>
      <c r="F2252" s="1771"/>
      <c r="G2252" s="1771"/>
      <c r="H2252" s="1771"/>
      <c r="I2252" s="1778"/>
      <c r="J2252" s="1771"/>
      <c r="K2252" s="1771"/>
      <c r="L2252" s="1771"/>
      <c r="M2252" s="1771"/>
      <c r="N2252" s="1771"/>
      <c r="O2252" s="1771"/>
      <c r="P2252" s="1771"/>
      <c r="Q2252" s="1766"/>
      <c r="R2252" s="1766"/>
      <c r="S2252" s="1696"/>
      <c r="T2252" s="1696"/>
      <c r="U2252" s="1772"/>
      <c r="V2252" s="1696"/>
      <c r="W2252" s="1772"/>
      <c r="X2252" s="1696"/>
      <c r="Y2252" s="1696"/>
      <c r="Z2252" s="1773"/>
    </row>
    <row r="2253">
      <c r="A2253" s="1771"/>
      <c r="B2253" s="1777"/>
      <c r="C2253" s="1771"/>
      <c r="D2253" s="1771"/>
      <c r="E2253" s="1770"/>
      <c r="F2253" s="1771"/>
      <c r="G2253" s="1771"/>
      <c r="H2253" s="1771"/>
      <c r="I2253" s="1778"/>
      <c r="J2253" s="1771"/>
      <c r="K2253" s="1771"/>
      <c r="L2253" s="1771"/>
      <c r="M2253" s="1771"/>
      <c r="N2253" s="1779"/>
      <c r="O2253" s="1770"/>
      <c r="P2253" s="1771"/>
      <c r="Q2253" s="1766"/>
      <c r="R2253" s="1766"/>
      <c r="S2253" s="1696"/>
      <c r="T2253" s="1696"/>
      <c r="U2253" s="1772"/>
      <c r="V2253" s="1696"/>
      <c r="W2253" s="1772"/>
      <c r="X2253" s="1696"/>
      <c r="Y2253" s="1696"/>
      <c r="Z2253" s="1773"/>
    </row>
    <row r="2254">
      <c r="A2254" s="1771"/>
      <c r="B2254" s="1777"/>
      <c r="C2254" s="1771"/>
      <c r="D2254" s="1771"/>
      <c r="E2254" s="1770"/>
      <c r="F2254" s="1771"/>
      <c r="G2254" s="1770"/>
      <c r="H2254" s="1771"/>
      <c r="I2254" s="1778"/>
      <c r="J2254" s="1771"/>
      <c r="K2254" s="1771"/>
      <c r="L2254" s="1771"/>
      <c r="M2254" s="1771"/>
      <c r="N2254" s="1771"/>
      <c r="O2254" s="1771"/>
      <c r="P2254" s="1771"/>
      <c r="Q2254" s="1766"/>
      <c r="R2254" s="1766"/>
      <c r="S2254" s="1696"/>
      <c r="T2254" s="1696"/>
      <c r="U2254" s="1772"/>
      <c r="V2254" s="1696"/>
      <c r="W2254" s="1772"/>
      <c r="X2254" s="1696"/>
      <c r="Y2254" s="1696"/>
      <c r="Z2254" s="1773"/>
    </row>
    <row r="2255">
      <c r="A2255" s="1771"/>
      <c r="B2255" s="1777"/>
      <c r="C2255" s="1771"/>
      <c r="D2255" s="1771"/>
      <c r="E2255" s="1770"/>
      <c r="F2255" s="1771"/>
      <c r="G2255" s="1770"/>
      <c r="H2255" s="1771"/>
      <c r="I2255" s="1778"/>
      <c r="J2255" s="1771"/>
      <c r="K2255" s="1771"/>
      <c r="L2255" s="1771"/>
      <c r="M2255" s="1771"/>
      <c r="N2255" s="1779"/>
      <c r="O2255" s="1770"/>
      <c r="P2255" s="1771"/>
      <c r="Q2255" s="1766"/>
      <c r="R2255" s="1766"/>
      <c r="S2255" s="1696"/>
      <c r="T2255" s="1696"/>
      <c r="U2255" s="1772"/>
      <c r="V2255" s="1696"/>
      <c r="W2255" s="1772"/>
      <c r="X2255" s="1696"/>
      <c r="Y2255" s="1696"/>
      <c r="Z2255" s="1773"/>
    </row>
    <row r="2256">
      <c r="A2256" s="1771"/>
      <c r="B2256" s="1777"/>
      <c r="C2256" s="1771"/>
      <c r="D2256" s="1771"/>
      <c r="E2256" s="1770"/>
      <c r="F2256" s="1771"/>
      <c r="G2256" s="1770"/>
      <c r="H2256" s="1771"/>
      <c r="I2256" s="1778"/>
      <c r="J2256" s="1771"/>
      <c r="K2256" s="1771"/>
      <c r="L2256" s="1771"/>
      <c r="M2256" s="1771"/>
      <c r="N2256" s="1779"/>
      <c r="O2256" s="1770"/>
      <c r="P2256" s="1771"/>
      <c r="Q2256" s="1766"/>
      <c r="R2256" s="1766"/>
      <c r="S2256" s="1696"/>
      <c r="T2256" s="1696"/>
      <c r="U2256" s="1772"/>
      <c r="V2256" s="1696"/>
      <c r="W2256" s="1772"/>
      <c r="X2256" s="1696"/>
      <c r="Y2256" s="1696"/>
      <c r="Z2256" s="1773"/>
    </row>
    <row r="2257">
      <c r="A2257" s="1771"/>
      <c r="B2257" s="1777"/>
      <c r="C2257" s="1771"/>
      <c r="D2257" s="1771"/>
      <c r="E2257" s="1770"/>
      <c r="F2257" s="1771"/>
      <c r="G2257" s="1770"/>
      <c r="H2257" s="1771"/>
      <c r="I2257" s="1778"/>
      <c r="J2257" s="1771"/>
      <c r="K2257" s="1771"/>
      <c r="L2257" s="1771"/>
      <c r="M2257" s="1771"/>
      <c r="N2257" s="1779"/>
      <c r="O2257" s="1770"/>
      <c r="P2257" s="1771"/>
      <c r="Q2257" s="1766"/>
      <c r="R2257" s="1766"/>
      <c r="S2257" s="1696"/>
      <c r="T2257" s="1696"/>
      <c r="U2257" s="1772"/>
      <c r="V2257" s="1696"/>
      <c r="W2257" s="1772"/>
      <c r="X2257" s="1696"/>
      <c r="Y2257" s="1696"/>
      <c r="Z2257" s="1773"/>
    </row>
    <row r="2258">
      <c r="A2258" s="1771"/>
      <c r="B2258" s="1777"/>
      <c r="C2258" s="1771"/>
      <c r="D2258" s="1771"/>
      <c r="E2258" s="1770"/>
      <c r="F2258" s="1771"/>
      <c r="G2258" s="1770"/>
      <c r="H2258" s="1771"/>
      <c r="I2258" s="1778"/>
      <c r="J2258" s="1771"/>
      <c r="K2258" s="1771"/>
      <c r="L2258" s="1771"/>
      <c r="M2258" s="1771"/>
      <c r="N2258" s="1779"/>
      <c r="O2258" s="1770"/>
      <c r="P2258" s="1771"/>
      <c r="Q2258" s="1766"/>
      <c r="R2258" s="1766"/>
      <c r="S2258" s="1696"/>
      <c r="T2258" s="1696"/>
      <c r="U2258" s="1772"/>
      <c r="V2258" s="1696"/>
      <c r="W2258" s="1772"/>
      <c r="X2258" s="1696"/>
      <c r="Y2258" s="1696"/>
      <c r="Z2258" s="1773"/>
    </row>
    <row r="2259">
      <c r="A2259" s="1771"/>
      <c r="B2259" s="1777"/>
      <c r="C2259" s="1771"/>
      <c r="D2259" s="1771"/>
      <c r="E2259" s="1770"/>
      <c r="F2259" s="1771"/>
      <c r="G2259" s="1770"/>
      <c r="H2259" s="1771"/>
      <c r="I2259" s="1778"/>
      <c r="J2259" s="1771"/>
      <c r="K2259" s="1771"/>
      <c r="L2259" s="1771"/>
      <c r="M2259" s="1771"/>
      <c r="N2259" s="1779"/>
      <c r="O2259" s="1770"/>
      <c r="P2259" s="1771"/>
      <c r="Q2259" s="1766"/>
      <c r="R2259" s="1766"/>
      <c r="S2259" s="1696"/>
      <c r="T2259" s="1696"/>
      <c r="U2259" s="1772"/>
      <c r="V2259" s="1696"/>
      <c r="W2259" s="1772"/>
      <c r="X2259" s="1696"/>
      <c r="Y2259" s="1696"/>
      <c r="Z2259" s="1773"/>
    </row>
    <row r="2260">
      <c r="A2260" s="1771"/>
      <c r="B2260" s="1777"/>
      <c r="C2260" s="1771"/>
      <c r="D2260" s="1771"/>
      <c r="E2260" s="1770"/>
      <c r="F2260" s="1771"/>
      <c r="G2260" s="1770"/>
      <c r="H2260" s="1771"/>
      <c r="I2260" s="1778"/>
      <c r="J2260" s="1771"/>
      <c r="K2260" s="1771"/>
      <c r="L2260" s="1771"/>
      <c r="M2260" s="1771"/>
      <c r="N2260" s="1779"/>
      <c r="O2260" s="1770"/>
      <c r="P2260" s="1771"/>
      <c r="Q2260" s="1766"/>
      <c r="R2260" s="1766"/>
      <c r="S2260" s="1696"/>
      <c r="T2260" s="1696"/>
      <c r="U2260" s="1772"/>
      <c r="V2260" s="1696"/>
      <c r="W2260" s="1772"/>
      <c r="X2260" s="1696"/>
      <c r="Y2260" s="1696"/>
      <c r="Z2260" s="1773"/>
    </row>
    <row r="2261">
      <c r="A2261" s="1771"/>
      <c r="B2261" s="1777"/>
      <c r="C2261" s="1771"/>
      <c r="D2261" s="1771"/>
      <c r="E2261" s="1770"/>
      <c r="F2261" s="1771"/>
      <c r="G2261" s="1770"/>
      <c r="H2261" s="1771"/>
      <c r="I2261" s="1778"/>
      <c r="J2261" s="1771"/>
      <c r="K2261" s="1771"/>
      <c r="L2261" s="1770"/>
      <c r="M2261" s="1771"/>
      <c r="N2261" s="1779"/>
      <c r="O2261" s="1770"/>
      <c r="P2261" s="1771"/>
      <c r="Q2261" s="1766"/>
      <c r="R2261" s="1766"/>
      <c r="S2261" s="1696"/>
      <c r="T2261" s="1696"/>
      <c r="U2261" s="1772"/>
      <c r="V2261" s="1696"/>
      <c r="W2261" s="1772"/>
      <c r="X2261" s="1696"/>
      <c r="Y2261" s="1696"/>
      <c r="Z2261" s="1773"/>
    </row>
    <row r="2262">
      <c r="A2262" s="1771"/>
      <c r="B2262" s="1777"/>
      <c r="C2262" s="1771"/>
      <c r="D2262" s="1771"/>
      <c r="E2262" s="1770"/>
      <c r="F2262" s="1771"/>
      <c r="G2262" s="1770"/>
      <c r="H2262" s="1771"/>
      <c r="I2262" s="1778"/>
      <c r="J2262" s="1771"/>
      <c r="K2262" s="1771"/>
      <c r="L2262" s="1771"/>
      <c r="M2262" s="1771"/>
      <c r="N2262" s="1779"/>
      <c r="O2262" s="1770"/>
      <c r="P2262" s="1771"/>
      <c r="Q2262" s="1766"/>
      <c r="R2262" s="1766"/>
      <c r="S2262" s="1696"/>
      <c r="T2262" s="1696"/>
      <c r="U2262" s="1772"/>
      <c r="V2262" s="1696"/>
      <c r="W2262" s="1772"/>
      <c r="X2262" s="1696"/>
      <c r="Y2262" s="1696"/>
      <c r="Z2262" s="1773"/>
    </row>
    <row r="2263">
      <c r="A2263" s="1771"/>
      <c r="B2263" s="1777"/>
      <c r="C2263" s="1771"/>
      <c r="D2263" s="1771"/>
      <c r="E2263" s="1770"/>
      <c r="F2263" s="1771"/>
      <c r="G2263" s="1770"/>
      <c r="H2263" s="1771"/>
      <c r="I2263" s="1770"/>
      <c r="J2263" s="1771"/>
      <c r="K2263" s="1771"/>
      <c r="L2263" s="1771"/>
      <c r="M2263" s="1771"/>
      <c r="N2263" s="1779"/>
      <c r="O2263" s="1770"/>
      <c r="P2263" s="1771"/>
      <c r="Q2263" s="1766"/>
      <c r="R2263" s="1766"/>
      <c r="S2263" s="1696"/>
      <c r="T2263" s="1696"/>
      <c r="U2263" s="1772"/>
      <c r="V2263" s="1696"/>
      <c r="W2263" s="1772"/>
      <c r="X2263" s="1696"/>
      <c r="Y2263" s="1696"/>
      <c r="Z2263" s="1773"/>
    </row>
    <row r="2264">
      <c r="A2264" s="1771"/>
      <c r="B2264" s="1777"/>
      <c r="C2264" s="1771"/>
      <c r="D2264" s="1771"/>
      <c r="E2264" s="1770"/>
      <c r="F2264" s="1771"/>
      <c r="G2264" s="1770"/>
      <c r="H2264" s="1771"/>
      <c r="I2264" s="1778"/>
      <c r="J2264" s="1771"/>
      <c r="K2264" s="1771"/>
      <c r="L2264" s="1771"/>
      <c r="M2264" s="1771"/>
      <c r="N2264" s="1779"/>
      <c r="O2264" s="1770"/>
      <c r="P2264" s="1771"/>
      <c r="Q2264" s="1766"/>
      <c r="R2264" s="1766"/>
      <c r="S2264" s="1696"/>
      <c r="T2264" s="1696"/>
      <c r="U2264" s="1772"/>
      <c r="V2264" s="1696"/>
      <c r="W2264" s="1772"/>
      <c r="X2264" s="1696"/>
      <c r="Y2264" s="1696"/>
      <c r="Z2264" s="1773"/>
    </row>
    <row r="2265">
      <c r="A2265" s="1771"/>
      <c r="B2265" s="1777"/>
      <c r="C2265" s="1771"/>
      <c r="D2265" s="1771"/>
      <c r="E2265" s="1770"/>
      <c r="F2265" s="1771"/>
      <c r="G2265" s="1770"/>
      <c r="H2265" s="1771"/>
      <c r="I2265" s="1778"/>
      <c r="J2265" s="1771"/>
      <c r="K2265" s="1771"/>
      <c r="L2265" s="1771"/>
      <c r="M2265" s="1771"/>
      <c r="N2265" s="1779"/>
      <c r="O2265" s="1770"/>
      <c r="P2265" s="1771"/>
      <c r="Q2265" s="1766"/>
      <c r="R2265" s="1766"/>
      <c r="S2265" s="1696"/>
      <c r="T2265" s="1696"/>
      <c r="U2265" s="1772"/>
      <c r="V2265" s="1696"/>
      <c r="W2265" s="1772"/>
      <c r="X2265" s="1696"/>
      <c r="Y2265" s="1696"/>
      <c r="Z2265" s="1773"/>
    </row>
    <row r="2266">
      <c r="A2266" s="1771"/>
      <c r="B2266" s="1777"/>
      <c r="C2266" s="1771"/>
      <c r="D2266" s="1771"/>
      <c r="E2266" s="1770"/>
      <c r="F2266" s="1771"/>
      <c r="G2266" s="1770"/>
      <c r="H2266" s="1771"/>
      <c r="I2266" s="1778"/>
      <c r="J2266" s="1771"/>
      <c r="K2266" s="1771"/>
      <c r="L2266" s="1771"/>
      <c r="M2266" s="1771"/>
      <c r="N2266" s="1779"/>
      <c r="O2266" s="1770"/>
      <c r="P2266" s="1771"/>
      <c r="Q2266" s="1766"/>
      <c r="R2266" s="1766"/>
      <c r="S2266" s="1696"/>
      <c r="T2266" s="1696"/>
      <c r="U2266" s="1772"/>
      <c r="V2266" s="1696"/>
      <c r="W2266" s="1772"/>
      <c r="X2266" s="1696"/>
      <c r="Y2266" s="1696"/>
      <c r="Z2266" s="1773"/>
    </row>
    <row r="2267">
      <c r="A2267" s="1771"/>
      <c r="B2267" s="1777"/>
      <c r="C2267" s="1771"/>
      <c r="D2267" s="1771"/>
      <c r="E2267" s="1770"/>
      <c r="F2267" s="1771"/>
      <c r="G2267" s="1770"/>
      <c r="H2267" s="1771"/>
      <c r="I2267" s="1778"/>
      <c r="J2267" s="1771"/>
      <c r="K2267" s="1771"/>
      <c r="L2267" s="1771"/>
      <c r="M2267" s="1771"/>
      <c r="N2267" s="1779"/>
      <c r="O2267" s="1770"/>
      <c r="P2267" s="1771"/>
      <c r="Q2267" s="1766"/>
      <c r="R2267" s="1766"/>
      <c r="S2267" s="1696"/>
      <c r="T2267" s="1696"/>
      <c r="U2267" s="1772"/>
      <c r="V2267" s="1696"/>
      <c r="W2267" s="1772"/>
      <c r="X2267" s="1696"/>
      <c r="Y2267" s="1696"/>
      <c r="Z2267" s="1773"/>
    </row>
    <row r="2268">
      <c r="A2268" s="1771"/>
      <c r="B2268" s="1777"/>
      <c r="C2268" s="1771"/>
      <c r="D2268" s="1771"/>
      <c r="E2268" s="1770"/>
      <c r="F2268" s="1771"/>
      <c r="G2268" s="1770"/>
      <c r="H2268" s="1771"/>
      <c r="I2268" s="1778"/>
      <c r="J2268" s="1771"/>
      <c r="K2268" s="1771"/>
      <c r="L2268" s="1771"/>
      <c r="M2268" s="1771"/>
      <c r="N2268" s="1779"/>
      <c r="O2268" s="1770"/>
      <c r="P2268" s="1771"/>
      <c r="Q2268" s="1766"/>
      <c r="R2268" s="1766"/>
      <c r="S2268" s="1696"/>
      <c r="T2268" s="1696"/>
      <c r="U2268" s="1772"/>
      <c r="V2268" s="1696"/>
      <c r="W2268" s="1772"/>
      <c r="X2268" s="1696"/>
      <c r="Y2268" s="1696"/>
      <c r="Z2268" s="1773"/>
    </row>
    <row r="2269">
      <c r="A2269" s="1771"/>
      <c r="B2269" s="1777"/>
      <c r="C2269" s="1770"/>
      <c r="D2269" s="1771"/>
      <c r="E2269" s="1770"/>
      <c r="F2269" s="1771"/>
      <c r="G2269" s="1770"/>
      <c r="H2269" s="1771"/>
      <c r="I2269" s="1778"/>
      <c r="J2269" s="1771"/>
      <c r="K2269" s="1771"/>
      <c r="L2269" s="1771"/>
      <c r="M2269" s="1771"/>
      <c r="N2269" s="1779"/>
      <c r="O2269" s="1770"/>
      <c r="P2269" s="1771"/>
      <c r="Q2269" s="1766"/>
      <c r="R2269" s="1766"/>
      <c r="S2269" s="1696"/>
      <c r="T2269" s="1696"/>
      <c r="U2269" s="1772"/>
      <c r="V2269" s="1696"/>
      <c r="W2269" s="1772"/>
      <c r="X2269" s="1696"/>
      <c r="Y2269" s="1696"/>
      <c r="Z2269" s="1773"/>
    </row>
    <row r="2270">
      <c r="A2270" s="1771"/>
      <c r="B2270" s="1777"/>
      <c r="C2270" s="1771"/>
      <c r="D2270" s="1771"/>
      <c r="E2270" s="1770"/>
      <c r="F2270" s="1771"/>
      <c r="G2270" s="1771"/>
      <c r="H2270" s="1771"/>
      <c r="I2270" s="1778"/>
      <c r="J2270" s="1771"/>
      <c r="K2270" s="1771"/>
      <c r="L2270" s="1771"/>
      <c r="M2270" s="1771"/>
      <c r="N2270" s="1779"/>
      <c r="O2270" s="1770"/>
      <c r="P2270" s="1771"/>
      <c r="Q2270" s="1766"/>
      <c r="R2270" s="1766"/>
      <c r="S2270" s="1696"/>
      <c r="T2270" s="1696"/>
      <c r="U2270" s="1772"/>
      <c r="V2270" s="1696"/>
      <c r="W2270" s="1772"/>
      <c r="X2270" s="1696"/>
      <c r="Y2270" s="1696"/>
      <c r="Z2270" s="1773"/>
    </row>
    <row r="2271">
      <c r="A2271" s="1771"/>
      <c r="B2271" s="1777"/>
      <c r="C2271" s="1771"/>
      <c r="D2271" s="1771"/>
      <c r="E2271" s="1770"/>
      <c r="F2271" s="1771"/>
      <c r="G2271" s="1770"/>
      <c r="H2271" s="1771"/>
      <c r="I2271" s="1778"/>
      <c r="J2271" s="1771"/>
      <c r="K2271" s="1771"/>
      <c r="L2271" s="1771"/>
      <c r="M2271" s="1771"/>
      <c r="N2271" s="1779"/>
      <c r="O2271" s="1770"/>
      <c r="P2271" s="1771"/>
      <c r="Q2271" s="1766"/>
      <c r="R2271" s="1766"/>
      <c r="S2271" s="1696"/>
      <c r="T2271" s="1696"/>
      <c r="U2271" s="1772"/>
      <c r="V2271" s="1696"/>
      <c r="W2271" s="1772"/>
      <c r="X2271" s="1696"/>
      <c r="Y2271" s="1696"/>
      <c r="Z2271" s="1773"/>
    </row>
    <row r="2272">
      <c r="A2272" s="1771"/>
      <c r="B2272" s="1777"/>
      <c r="C2272" s="1771"/>
      <c r="D2272" s="1771"/>
      <c r="E2272" s="1770"/>
      <c r="F2272" s="1771"/>
      <c r="G2272" s="1771"/>
      <c r="H2272" s="1771"/>
      <c r="I2272" s="1778"/>
      <c r="J2272" s="1771"/>
      <c r="K2272" s="1771"/>
      <c r="L2272" s="1771"/>
      <c r="M2272" s="1771"/>
      <c r="N2272" s="1779"/>
      <c r="O2272" s="1770"/>
      <c r="P2272" s="1771"/>
      <c r="Q2272" s="1766"/>
      <c r="R2272" s="1766"/>
      <c r="S2272" s="1696"/>
      <c r="T2272" s="1696"/>
      <c r="U2272" s="1772"/>
      <c r="V2272" s="1696"/>
      <c r="W2272" s="1772"/>
      <c r="X2272" s="1696"/>
      <c r="Y2272" s="1696"/>
      <c r="Z2272" s="1773"/>
    </row>
    <row r="2273">
      <c r="A2273" s="1771"/>
      <c r="B2273" s="1777"/>
      <c r="C2273" s="1771"/>
      <c r="D2273" s="1771"/>
      <c r="E2273" s="1770"/>
      <c r="F2273" s="1771"/>
      <c r="G2273" s="1770"/>
      <c r="H2273" s="1771"/>
      <c r="I2273" s="1778"/>
      <c r="J2273" s="1771"/>
      <c r="K2273" s="1771"/>
      <c r="L2273" s="1771"/>
      <c r="M2273" s="1771"/>
      <c r="N2273" s="1779"/>
      <c r="O2273" s="1770"/>
      <c r="P2273" s="1771"/>
      <c r="Q2273" s="1766"/>
      <c r="R2273" s="1766"/>
      <c r="S2273" s="1696"/>
      <c r="T2273" s="1696"/>
      <c r="U2273" s="1772"/>
      <c r="V2273" s="1696"/>
      <c r="W2273" s="1772"/>
      <c r="X2273" s="1696"/>
      <c r="Y2273" s="1696"/>
      <c r="Z2273" s="1773"/>
    </row>
    <row r="2274">
      <c r="A2274" s="1771"/>
      <c r="B2274" s="1777"/>
      <c r="C2274" s="1771"/>
      <c r="D2274" s="1771"/>
      <c r="E2274" s="1770"/>
      <c r="F2274" s="1771"/>
      <c r="G2274" s="1771"/>
      <c r="H2274" s="1771"/>
      <c r="I2274" s="1778"/>
      <c r="J2274" s="1771"/>
      <c r="K2274" s="1771"/>
      <c r="L2274" s="1771"/>
      <c r="M2274" s="1771"/>
      <c r="N2274" s="1771"/>
      <c r="O2274" s="1771"/>
      <c r="P2274" s="1771"/>
      <c r="Q2274" s="1766"/>
      <c r="R2274" s="1766"/>
      <c r="S2274" s="1696"/>
      <c r="T2274" s="1696"/>
      <c r="U2274" s="1772"/>
      <c r="V2274" s="1696"/>
      <c r="W2274" s="1772"/>
      <c r="X2274" s="1696"/>
      <c r="Y2274" s="1696"/>
      <c r="Z2274" s="1773"/>
    </row>
    <row r="2275">
      <c r="A2275" s="1771"/>
      <c r="B2275" s="1777"/>
      <c r="C2275" s="1771"/>
      <c r="D2275" s="1771"/>
      <c r="E2275" s="1770"/>
      <c r="F2275" s="1771"/>
      <c r="G2275" s="1771"/>
      <c r="H2275" s="1771"/>
      <c r="I2275" s="1778"/>
      <c r="J2275" s="1771"/>
      <c r="K2275" s="1771"/>
      <c r="L2275" s="1771"/>
      <c r="M2275" s="1771"/>
      <c r="N2275" s="1771"/>
      <c r="O2275" s="1771"/>
      <c r="P2275" s="1771"/>
      <c r="Q2275" s="1766"/>
      <c r="R2275" s="1766"/>
      <c r="S2275" s="1696"/>
      <c r="T2275" s="1696"/>
      <c r="U2275" s="1772"/>
      <c r="V2275" s="1696"/>
      <c r="W2275" s="1772"/>
      <c r="X2275" s="1696"/>
      <c r="Y2275" s="1696"/>
      <c r="Z2275" s="1773"/>
    </row>
    <row r="2276">
      <c r="A2276" s="1771"/>
      <c r="B2276" s="1777"/>
      <c r="C2276" s="1771"/>
      <c r="D2276" s="1771"/>
      <c r="E2276" s="1770"/>
      <c r="F2276" s="1771"/>
      <c r="G2276" s="1777"/>
      <c r="H2276" s="1771"/>
      <c r="I2276" s="1778"/>
      <c r="J2276" s="1771"/>
      <c r="K2276" s="1771"/>
      <c r="L2276" s="1771"/>
      <c r="M2276" s="1771"/>
      <c r="N2276" s="1771"/>
      <c r="O2276" s="1771"/>
      <c r="P2276" s="1771"/>
      <c r="Q2276" s="1766"/>
      <c r="R2276" s="1766"/>
      <c r="S2276" s="1696"/>
      <c r="T2276" s="1696"/>
      <c r="U2276" s="1772"/>
      <c r="V2276" s="1696"/>
      <c r="W2276" s="1772"/>
      <c r="X2276" s="1696"/>
      <c r="Y2276" s="1696"/>
      <c r="Z2276" s="1773"/>
    </row>
    <row r="2277">
      <c r="A2277" s="1771"/>
      <c r="B2277" s="1777"/>
      <c r="C2277" s="1771"/>
      <c r="D2277" s="1771"/>
      <c r="E2277" s="1770"/>
      <c r="F2277" s="1771"/>
      <c r="G2277" s="1771"/>
      <c r="H2277" s="1771"/>
      <c r="I2277" s="1778"/>
      <c r="J2277" s="1771"/>
      <c r="K2277" s="1771"/>
      <c r="L2277" s="1771"/>
      <c r="M2277" s="1771"/>
      <c r="N2277" s="1771"/>
      <c r="O2277" s="1771"/>
      <c r="P2277" s="1771"/>
      <c r="Q2277" s="1766"/>
      <c r="R2277" s="1766"/>
      <c r="S2277" s="1696"/>
      <c r="T2277" s="1696"/>
      <c r="U2277" s="1772"/>
      <c r="V2277" s="1696"/>
      <c r="W2277" s="1772"/>
      <c r="X2277" s="1696"/>
      <c r="Y2277" s="1696"/>
      <c r="Z2277" s="1773"/>
    </row>
    <row r="2278">
      <c r="A2278" s="1771"/>
      <c r="B2278" s="1777"/>
      <c r="C2278" s="1771"/>
      <c r="D2278" s="1771"/>
      <c r="E2278" s="1770"/>
      <c r="F2278" s="1771"/>
      <c r="G2278" s="1771"/>
      <c r="H2278" s="1771"/>
      <c r="I2278" s="1778"/>
      <c r="J2278" s="1771"/>
      <c r="K2278" s="1771"/>
      <c r="L2278" s="1771"/>
      <c r="M2278" s="1771"/>
      <c r="N2278" s="1771"/>
      <c r="O2278" s="1771"/>
      <c r="P2278" s="1771"/>
      <c r="Q2278" s="1766"/>
      <c r="R2278" s="1766"/>
      <c r="S2278" s="1696"/>
      <c r="T2278" s="1696"/>
      <c r="U2278" s="1772"/>
      <c r="V2278" s="1696"/>
      <c r="W2278" s="1772"/>
      <c r="X2278" s="1696"/>
      <c r="Y2278" s="1696"/>
      <c r="Z2278" s="1773"/>
    </row>
    <row r="2279">
      <c r="A2279" s="1771"/>
      <c r="B2279" s="1777"/>
      <c r="C2279" s="1771"/>
      <c r="D2279" s="1771"/>
      <c r="E2279" s="1770"/>
      <c r="F2279" s="1771"/>
      <c r="G2279" s="1771"/>
      <c r="H2279" s="1771"/>
      <c r="I2279" s="1778"/>
      <c r="J2279" s="1771"/>
      <c r="K2279" s="1771"/>
      <c r="L2279" s="1771"/>
      <c r="M2279" s="1771"/>
      <c r="N2279" s="1771"/>
      <c r="O2279" s="1771"/>
      <c r="P2279" s="1771"/>
      <c r="Q2279" s="1766"/>
      <c r="R2279" s="1766"/>
      <c r="S2279" s="1696"/>
      <c r="T2279" s="1696"/>
      <c r="U2279" s="1772"/>
      <c r="V2279" s="1696"/>
      <c r="W2279" s="1772"/>
      <c r="X2279" s="1696"/>
      <c r="Y2279" s="1696"/>
      <c r="Z2279" s="1773"/>
    </row>
    <row r="2280">
      <c r="A2280" s="1771"/>
      <c r="B2280" s="1777"/>
      <c r="C2280" s="1771"/>
      <c r="D2280" s="1771"/>
      <c r="E2280" s="1770"/>
      <c r="F2280" s="1771"/>
      <c r="G2280" s="1771"/>
      <c r="H2280" s="1771"/>
      <c r="I2280" s="1778"/>
      <c r="J2280" s="1771"/>
      <c r="K2280" s="1771"/>
      <c r="L2280" s="1771"/>
      <c r="M2280" s="1771"/>
      <c r="N2280" s="1771"/>
      <c r="O2280" s="1771"/>
      <c r="P2280" s="1771"/>
      <c r="Q2280" s="1766"/>
      <c r="R2280" s="1766"/>
      <c r="S2280" s="1696"/>
      <c r="T2280" s="1696"/>
      <c r="U2280" s="1772"/>
      <c r="V2280" s="1696"/>
      <c r="W2280" s="1772"/>
      <c r="X2280" s="1696"/>
      <c r="Y2280" s="1696"/>
      <c r="Z2280" s="1773"/>
    </row>
    <row r="2281">
      <c r="A2281" s="1771"/>
      <c r="B2281" s="1777"/>
      <c r="C2281" s="1771"/>
      <c r="D2281" s="1771"/>
      <c r="E2281" s="1770"/>
      <c r="F2281" s="1771"/>
      <c r="G2281" s="1777"/>
      <c r="H2281" s="1771"/>
      <c r="I2281" s="1778"/>
      <c r="J2281" s="1771"/>
      <c r="K2281" s="1771"/>
      <c r="L2281" s="1771"/>
      <c r="M2281" s="1771"/>
      <c r="N2281" s="1771"/>
      <c r="O2281" s="1771"/>
      <c r="P2281" s="1771"/>
      <c r="Q2281" s="1766"/>
      <c r="R2281" s="1766"/>
      <c r="S2281" s="1696"/>
      <c r="T2281" s="1696"/>
      <c r="U2281" s="1772"/>
      <c r="V2281" s="1696"/>
      <c r="W2281" s="1772"/>
      <c r="X2281" s="1696"/>
      <c r="Y2281" s="1696"/>
      <c r="Z2281" s="1773"/>
    </row>
    <row r="2282">
      <c r="A2282" s="1771"/>
      <c r="B2282" s="1777"/>
      <c r="C2282" s="1771"/>
      <c r="D2282" s="1771"/>
      <c r="E2282" s="1770"/>
      <c r="F2282" s="1771"/>
      <c r="G2282" s="1770"/>
      <c r="H2282" s="1771"/>
      <c r="I2282" s="1778"/>
      <c r="J2282" s="1771"/>
      <c r="K2282" s="1771"/>
      <c r="L2282" s="1771"/>
      <c r="M2282" s="1771"/>
      <c r="N2282" s="1779"/>
      <c r="O2282" s="1770"/>
      <c r="P2282" s="1771"/>
      <c r="Q2282" s="1766"/>
      <c r="R2282" s="1766"/>
      <c r="S2282" s="1696"/>
      <c r="T2282" s="1696"/>
      <c r="U2282" s="1772"/>
      <c r="V2282" s="1696"/>
      <c r="W2282" s="1772"/>
      <c r="X2282" s="1696"/>
      <c r="Y2282" s="1696"/>
      <c r="Z2282" s="1773"/>
    </row>
    <row r="2283">
      <c r="A2283" s="1771"/>
      <c r="B2283" s="1777"/>
      <c r="C2283" s="1771"/>
      <c r="D2283" s="1771"/>
      <c r="E2283" s="1770"/>
      <c r="F2283" s="1771"/>
      <c r="G2283" s="1770"/>
      <c r="H2283" s="1771"/>
      <c r="I2283" s="1778"/>
      <c r="J2283" s="1771"/>
      <c r="K2283" s="1771"/>
      <c r="L2283" s="1771"/>
      <c r="M2283" s="1771"/>
      <c r="N2283" s="1771"/>
      <c r="O2283" s="1771"/>
      <c r="P2283" s="1771"/>
      <c r="Q2283" s="1766"/>
      <c r="R2283" s="1766"/>
      <c r="S2283" s="1696"/>
      <c r="T2283" s="1696"/>
      <c r="U2283" s="1772"/>
      <c r="V2283" s="1696"/>
      <c r="W2283" s="1772"/>
      <c r="X2283" s="1696"/>
      <c r="Y2283" s="1696"/>
      <c r="Z2283" s="1773"/>
    </row>
    <row r="2284">
      <c r="A2284" s="1771"/>
      <c r="B2284" s="1777"/>
      <c r="C2284" s="1771"/>
      <c r="D2284" s="1771"/>
      <c r="E2284" s="1770"/>
      <c r="F2284" s="1771"/>
      <c r="G2284" s="1771"/>
      <c r="H2284" s="1771"/>
      <c r="I2284" s="1778"/>
      <c r="J2284" s="1771"/>
      <c r="K2284" s="1771"/>
      <c r="L2284" s="1771"/>
      <c r="M2284" s="1771"/>
      <c r="N2284" s="1771"/>
      <c r="O2284" s="1771"/>
      <c r="P2284" s="1771"/>
      <c r="Q2284" s="1766"/>
      <c r="R2284" s="1766"/>
      <c r="S2284" s="1696"/>
      <c r="T2284" s="1696"/>
      <c r="U2284" s="1772"/>
      <c r="V2284" s="1696"/>
      <c r="W2284" s="1772"/>
      <c r="X2284" s="1696"/>
      <c r="Y2284" s="1696"/>
      <c r="Z2284" s="1773"/>
    </row>
    <row r="2285">
      <c r="A2285" s="1771"/>
      <c r="B2285" s="1777"/>
      <c r="C2285" s="1771"/>
      <c r="D2285" s="1771"/>
      <c r="E2285" s="1770"/>
      <c r="F2285" s="1771"/>
      <c r="G2285" s="1770"/>
      <c r="H2285" s="1771"/>
      <c r="I2285" s="1778"/>
      <c r="J2285" s="1771"/>
      <c r="K2285" s="1771"/>
      <c r="L2285" s="1771"/>
      <c r="M2285" s="1771"/>
      <c r="N2285" s="1771"/>
      <c r="O2285" s="1771"/>
      <c r="P2285" s="1771"/>
      <c r="Q2285" s="1766"/>
      <c r="R2285" s="1766"/>
      <c r="S2285" s="1696"/>
      <c r="T2285" s="1696"/>
      <c r="U2285" s="1772"/>
      <c r="V2285" s="1696"/>
      <c r="W2285" s="1772"/>
      <c r="X2285" s="1696"/>
      <c r="Y2285" s="1696"/>
      <c r="Z2285" s="1773"/>
    </row>
    <row r="2286">
      <c r="A2286" s="1771"/>
      <c r="B2286" s="1777"/>
      <c r="C2286" s="1771"/>
      <c r="D2286" s="1771"/>
      <c r="E2286" s="1770"/>
      <c r="F2286" s="1771"/>
      <c r="G2286" s="1771"/>
      <c r="H2286" s="1771"/>
      <c r="I2286" s="1778"/>
      <c r="J2286" s="1771"/>
      <c r="K2286" s="1771"/>
      <c r="L2286" s="1771"/>
      <c r="M2286" s="1771"/>
      <c r="N2286" s="1779"/>
      <c r="O2286" s="1770"/>
      <c r="P2286" s="1771"/>
      <c r="Q2286" s="1766"/>
      <c r="R2286" s="1766"/>
      <c r="S2286" s="1696"/>
      <c r="T2286" s="1696"/>
      <c r="U2286" s="1772"/>
      <c r="V2286" s="1696"/>
      <c r="W2286" s="1772"/>
      <c r="X2286" s="1696"/>
      <c r="Y2286" s="1696"/>
      <c r="Z2286" s="1773"/>
    </row>
    <row r="2287">
      <c r="A2287" s="1771"/>
      <c r="B2287" s="1777"/>
      <c r="C2287" s="1771"/>
      <c r="D2287" s="1771"/>
      <c r="E2287" s="1770"/>
      <c r="F2287" s="1771"/>
      <c r="G2287" s="1777"/>
      <c r="H2287" s="1771"/>
      <c r="I2287" s="1778"/>
      <c r="J2287" s="1771"/>
      <c r="K2287" s="1771"/>
      <c r="L2287" s="1771"/>
      <c r="M2287" s="1771"/>
      <c r="N2287" s="1779"/>
      <c r="O2287" s="1770"/>
      <c r="P2287" s="1771"/>
      <c r="Q2287" s="1766"/>
      <c r="R2287" s="1766"/>
      <c r="S2287" s="1696"/>
      <c r="T2287" s="1696"/>
      <c r="U2287" s="1772"/>
      <c r="V2287" s="1696"/>
      <c r="W2287" s="1772"/>
      <c r="X2287" s="1696"/>
      <c r="Y2287" s="1696"/>
      <c r="Z2287" s="1773"/>
    </row>
    <row r="2288">
      <c r="A2288" s="1771"/>
      <c r="B2288" s="1777"/>
      <c r="C2288" s="1771"/>
      <c r="D2288" s="1771"/>
      <c r="E2288" s="1770"/>
      <c r="F2288" s="1771"/>
      <c r="G2288" s="1771"/>
      <c r="H2288" s="1771"/>
      <c r="I2288" s="1778"/>
      <c r="J2288" s="1771"/>
      <c r="K2288" s="1771"/>
      <c r="L2288" s="1771"/>
      <c r="M2288" s="1771"/>
      <c r="N2288" s="1771"/>
      <c r="O2288" s="1771"/>
      <c r="P2288" s="1771"/>
      <c r="Q2288" s="1766"/>
      <c r="R2288" s="1766"/>
      <c r="S2288" s="1696"/>
      <c r="T2288" s="1696"/>
      <c r="U2288" s="1772"/>
      <c r="V2288" s="1696"/>
      <c r="W2288" s="1772"/>
      <c r="X2288" s="1696"/>
      <c r="Y2288" s="1696"/>
      <c r="Z2288" s="1773"/>
    </row>
    <row r="2289">
      <c r="A2289" s="1771"/>
      <c r="B2289" s="1777"/>
      <c r="C2289" s="1771"/>
      <c r="D2289" s="1771"/>
      <c r="E2289" s="1770"/>
      <c r="F2289" s="1771"/>
      <c r="G2289" s="1770"/>
      <c r="H2289" s="1771"/>
      <c r="I2289" s="1778"/>
      <c r="J2289" s="1771"/>
      <c r="K2289" s="1771"/>
      <c r="L2289" s="1771"/>
      <c r="M2289" s="1771"/>
      <c r="N2289" s="1771"/>
      <c r="O2289" s="1771"/>
      <c r="P2289" s="1771"/>
      <c r="Q2289" s="1766"/>
      <c r="R2289" s="1766"/>
      <c r="S2289" s="1696"/>
      <c r="T2289" s="1696"/>
      <c r="U2289" s="1772"/>
      <c r="V2289" s="1696"/>
      <c r="W2289" s="1772"/>
      <c r="X2289" s="1696"/>
      <c r="Y2289" s="1696"/>
      <c r="Z2289" s="1773"/>
    </row>
    <row r="2290">
      <c r="A2290" s="1771"/>
      <c r="B2290" s="1777"/>
      <c r="C2290" s="1771"/>
      <c r="D2290" s="1771"/>
      <c r="E2290" s="1770"/>
      <c r="F2290" s="1771"/>
      <c r="G2290" s="1771"/>
      <c r="H2290" s="1771"/>
      <c r="I2290" s="1778"/>
      <c r="J2290" s="1771"/>
      <c r="K2290" s="1771"/>
      <c r="L2290" s="1771"/>
      <c r="M2290" s="1771"/>
      <c r="N2290" s="1779"/>
      <c r="O2290" s="1770"/>
      <c r="P2290" s="1771"/>
      <c r="Q2290" s="1766"/>
      <c r="R2290" s="1766"/>
      <c r="S2290" s="1696"/>
      <c r="T2290" s="1696"/>
      <c r="U2290" s="1772"/>
      <c r="V2290" s="1696"/>
      <c r="W2290" s="1772"/>
      <c r="X2290" s="1696"/>
      <c r="Y2290" s="1696"/>
      <c r="Z2290" s="1773"/>
    </row>
    <row r="2291">
      <c r="A2291" s="1771"/>
      <c r="B2291" s="1777"/>
      <c r="C2291" s="1771"/>
      <c r="D2291" s="1771"/>
      <c r="E2291" s="1770"/>
      <c r="F2291" s="1771"/>
      <c r="G2291" s="1777"/>
      <c r="H2291" s="1771"/>
      <c r="I2291" s="1778"/>
      <c r="J2291" s="1771"/>
      <c r="K2291" s="1771"/>
      <c r="L2291" s="1771"/>
      <c r="M2291" s="1771"/>
      <c r="N2291" s="1779"/>
      <c r="O2291" s="1770"/>
      <c r="P2291" s="1771"/>
      <c r="Q2291" s="1766"/>
      <c r="R2291" s="1766"/>
      <c r="S2291" s="1696"/>
      <c r="T2291" s="1696"/>
      <c r="U2291" s="1772"/>
      <c r="V2291" s="1696"/>
      <c r="W2291" s="1772"/>
      <c r="X2291" s="1696"/>
      <c r="Y2291" s="1696"/>
      <c r="Z2291" s="1773"/>
    </row>
    <row r="2292">
      <c r="A2292" s="1771"/>
      <c r="B2292" s="1777"/>
      <c r="C2292" s="1771"/>
      <c r="D2292" s="1771"/>
      <c r="E2292" s="1770"/>
      <c r="F2292" s="1771"/>
      <c r="G2292" s="1770"/>
      <c r="H2292" s="1771"/>
      <c r="I2292" s="1778"/>
      <c r="J2292" s="1771"/>
      <c r="K2292" s="1771"/>
      <c r="L2292" s="1771"/>
      <c r="M2292" s="1771"/>
      <c r="N2292" s="1779"/>
      <c r="O2292" s="1770"/>
      <c r="P2292" s="1771"/>
      <c r="Q2292" s="1766"/>
      <c r="R2292" s="1766"/>
      <c r="S2292" s="1696"/>
      <c r="T2292" s="1696"/>
      <c r="U2292" s="1772"/>
      <c r="V2292" s="1696"/>
      <c r="W2292" s="1772"/>
      <c r="X2292" s="1696"/>
      <c r="Y2292" s="1696"/>
      <c r="Z2292" s="1773"/>
    </row>
    <row r="2293">
      <c r="A2293" s="1771"/>
      <c r="B2293" s="1777"/>
      <c r="C2293" s="1771"/>
      <c r="D2293" s="1771"/>
      <c r="E2293" s="1770"/>
      <c r="F2293" s="1771"/>
      <c r="G2293" s="1770"/>
      <c r="H2293" s="1771"/>
      <c r="I2293" s="1778"/>
      <c r="J2293" s="1771"/>
      <c r="K2293" s="1771"/>
      <c r="L2293" s="1771"/>
      <c r="M2293" s="1771"/>
      <c r="N2293" s="1771"/>
      <c r="O2293" s="1771"/>
      <c r="P2293" s="1771"/>
      <c r="Q2293" s="1766"/>
      <c r="R2293" s="1766"/>
      <c r="S2293" s="1696"/>
      <c r="T2293" s="1696"/>
      <c r="U2293" s="1772"/>
      <c r="V2293" s="1696"/>
      <c r="W2293" s="1772"/>
      <c r="X2293" s="1696"/>
      <c r="Y2293" s="1696"/>
      <c r="Z2293" s="1773"/>
    </row>
    <row r="2294">
      <c r="A2294" s="1771"/>
      <c r="B2294" s="1777"/>
      <c r="C2294" s="1771"/>
      <c r="D2294" s="1771"/>
      <c r="E2294" s="1770"/>
      <c r="F2294" s="1771"/>
      <c r="G2294" s="1770"/>
      <c r="H2294" s="1771"/>
      <c r="I2294" s="1778"/>
      <c r="J2294" s="1771"/>
      <c r="K2294" s="1771"/>
      <c r="L2294" s="1771"/>
      <c r="M2294" s="1771"/>
      <c r="N2294" s="1771"/>
      <c r="O2294" s="1771"/>
      <c r="P2294" s="1771"/>
      <c r="Q2294" s="1766"/>
      <c r="R2294" s="1766"/>
      <c r="S2294" s="1696"/>
      <c r="T2294" s="1696"/>
      <c r="U2294" s="1772"/>
      <c r="V2294" s="1696"/>
      <c r="W2294" s="1772"/>
      <c r="X2294" s="1696"/>
      <c r="Y2294" s="1696"/>
      <c r="Z2294" s="1773"/>
    </row>
    <row r="2295">
      <c r="A2295" s="1771"/>
      <c r="B2295" s="1777"/>
      <c r="C2295" s="1771"/>
      <c r="D2295" s="1771"/>
      <c r="E2295" s="1770"/>
      <c r="F2295" s="1771"/>
      <c r="G2295" s="1777"/>
      <c r="H2295" s="1771"/>
      <c r="I2295" s="1778"/>
      <c r="J2295" s="1771"/>
      <c r="K2295" s="1771"/>
      <c r="L2295" s="1771"/>
      <c r="M2295" s="1771"/>
      <c r="N2295" s="1779"/>
      <c r="O2295" s="1770"/>
      <c r="P2295" s="1771"/>
      <c r="Q2295" s="1766"/>
      <c r="R2295" s="1766"/>
      <c r="S2295" s="1696"/>
      <c r="T2295" s="1696"/>
      <c r="U2295" s="1772"/>
      <c r="V2295" s="1696"/>
      <c r="W2295" s="1772"/>
      <c r="X2295" s="1696"/>
      <c r="Y2295" s="1696"/>
      <c r="Z2295" s="1773"/>
    </row>
    <row r="2296">
      <c r="A2296" s="1771"/>
      <c r="B2296" s="1777"/>
      <c r="C2296" s="1771"/>
      <c r="D2296" s="1771"/>
      <c r="E2296" s="1770"/>
      <c r="F2296" s="1771"/>
      <c r="G2296" s="1770"/>
      <c r="H2296" s="1771"/>
      <c r="I2296" s="1778"/>
      <c r="J2296" s="1771"/>
      <c r="K2296" s="1771"/>
      <c r="L2296" s="1771"/>
      <c r="M2296" s="1771"/>
      <c r="N2296" s="1779"/>
      <c r="O2296" s="1770"/>
      <c r="P2296" s="1771"/>
      <c r="Q2296" s="1766"/>
      <c r="R2296" s="1766"/>
      <c r="S2296" s="1696"/>
      <c r="T2296" s="1696"/>
      <c r="U2296" s="1772"/>
      <c r="V2296" s="1696"/>
      <c r="W2296" s="1772"/>
      <c r="X2296" s="1696"/>
      <c r="Y2296" s="1696"/>
      <c r="Z2296" s="1773"/>
    </row>
    <row r="2297">
      <c r="A2297" s="1771"/>
      <c r="B2297" s="1777"/>
      <c r="C2297" s="1771"/>
      <c r="D2297" s="1771"/>
      <c r="E2297" s="1770"/>
      <c r="F2297" s="1771"/>
      <c r="G2297" s="1770"/>
      <c r="H2297" s="1771"/>
      <c r="I2297" s="1778"/>
      <c r="J2297" s="1771"/>
      <c r="K2297" s="1771"/>
      <c r="L2297" s="1771"/>
      <c r="M2297" s="1771"/>
      <c r="N2297" s="1779"/>
      <c r="O2297" s="1770"/>
      <c r="P2297" s="1771"/>
      <c r="Q2297" s="1766"/>
      <c r="R2297" s="1766"/>
      <c r="S2297" s="1696"/>
      <c r="T2297" s="1696"/>
      <c r="U2297" s="1772"/>
      <c r="V2297" s="1696"/>
      <c r="W2297" s="1772"/>
      <c r="X2297" s="1696"/>
      <c r="Y2297" s="1696"/>
      <c r="Z2297" s="1773"/>
    </row>
    <row r="2298">
      <c r="A2298" s="1771"/>
      <c r="B2298" s="1777"/>
      <c r="C2298" s="1771"/>
      <c r="D2298" s="1771"/>
      <c r="E2298" s="1770"/>
      <c r="F2298" s="1771"/>
      <c r="G2298" s="1771"/>
      <c r="H2298" s="1771"/>
      <c r="I2298" s="1778"/>
      <c r="J2298" s="1771"/>
      <c r="K2298" s="1771"/>
      <c r="L2298" s="1771"/>
      <c r="M2298" s="1771"/>
      <c r="N2298" s="1771"/>
      <c r="O2298" s="1771"/>
      <c r="P2298" s="1771"/>
      <c r="Q2298" s="1766"/>
      <c r="R2298" s="1766"/>
      <c r="S2298" s="1696"/>
      <c r="T2298" s="1696"/>
      <c r="U2298" s="1772"/>
      <c r="V2298" s="1696"/>
      <c r="W2298" s="1772"/>
      <c r="X2298" s="1696"/>
      <c r="Y2298" s="1696"/>
      <c r="Z2298" s="1773"/>
    </row>
    <row r="2299">
      <c r="A2299" s="1771"/>
      <c r="B2299" s="1777"/>
      <c r="C2299" s="1771"/>
      <c r="D2299" s="1771"/>
      <c r="E2299" s="1770"/>
      <c r="F2299" s="1771"/>
      <c r="G2299" s="1777"/>
      <c r="H2299" s="1771"/>
      <c r="I2299" s="1778"/>
      <c r="J2299" s="1771"/>
      <c r="K2299" s="1771"/>
      <c r="L2299" s="1771"/>
      <c r="M2299" s="1771"/>
      <c r="N2299" s="1771"/>
      <c r="O2299" s="1771"/>
      <c r="P2299" s="1771"/>
      <c r="Q2299" s="1766"/>
      <c r="R2299" s="1766"/>
      <c r="S2299" s="1696"/>
      <c r="T2299" s="1696"/>
      <c r="U2299" s="1772"/>
      <c r="V2299" s="1696"/>
      <c r="W2299" s="1772"/>
      <c r="X2299" s="1696"/>
      <c r="Y2299" s="1696"/>
      <c r="Z2299" s="1773"/>
    </row>
    <row r="2300">
      <c r="A2300" s="1771"/>
      <c r="B2300" s="1777"/>
      <c r="C2300" s="1771"/>
      <c r="D2300" s="1771"/>
      <c r="E2300" s="1770"/>
      <c r="F2300" s="1771"/>
      <c r="G2300" s="1770"/>
      <c r="H2300" s="1771"/>
      <c r="I2300" s="1778"/>
      <c r="J2300" s="1771"/>
      <c r="K2300" s="1771"/>
      <c r="L2300" s="1771"/>
      <c r="M2300" s="1771"/>
      <c r="N2300" s="1779"/>
      <c r="O2300" s="1770"/>
      <c r="P2300" s="1771"/>
      <c r="Q2300" s="1766"/>
      <c r="R2300" s="1766"/>
      <c r="S2300" s="1696"/>
      <c r="T2300" s="1696"/>
      <c r="U2300" s="1772"/>
      <c r="V2300" s="1696"/>
      <c r="W2300" s="1772"/>
      <c r="X2300" s="1696"/>
      <c r="Y2300" s="1696"/>
      <c r="Z2300" s="1773"/>
    </row>
    <row r="2301">
      <c r="A2301" s="1771"/>
      <c r="B2301" s="1777"/>
      <c r="C2301" s="1771"/>
      <c r="D2301" s="1771"/>
      <c r="E2301" s="1770"/>
      <c r="F2301" s="1771"/>
      <c r="G2301" s="1770"/>
      <c r="H2301" s="1771"/>
      <c r="I2301" s="1778"/>
      <c r="J2301" s="1771"/>
      <c r="K2301" s="1771"/>
      <c r="L2301" s="1771"/>
      <c r="M2301" s="1771"/>
      <c r="N2301" s="1779"/>
      <c r="O2301" s="1770"/>
      <c r="P2301" s="1771"/>
      <c r="Q2301" s="1766"/>
      <c r="R2301" s="1766"/>
      <c r="S2301" s="1696"/>
      <c r="T2301" s="1696"/>
      <c r="U2301" s="1772"/>
      <c r="V2301" s="1696"/>
      <c r="W2301" s="1772"/>
      <c r="X2301" s="1696"/>
      <c r="Y2301" s="1696"/>
      <c r="Z2301" s="1773"/>
    </row>
    <row r="2302">
      <c r="A2302" s="1771"/>
      <c r="B2302" s="1777"/>
      <c r="C2302" s="1771"/>
      <c r="D2302" s="1771"/>
      <c r="E2302" s="1770"/>
      <c r="F2302" s="1771"/>
      <c r="G2302" s="1771"/>
      <c r="H2302" s="1771"/>
      <c r="I2302" s="1778"/>
      <c r="J2302" s="1771"/>
      <c r="K2302" s="1771"/>
      <c r="L2302" s="1771"/>
      <c r="M2302" s="1771"/>
      <c r="N2302" s="1771"/>
      <c r="O2302" s="1771"/>
      <c r="P2302" s="1771"/>
      <c r="Q2302" s="1766"/>
      <c r="R2302" s="1766"/>
      <c r="S2302" s="1696"/>
      <c r="T2302" s="1696"/>
      <c r="U2302" s="1772"/>
      <c r="V2302" s="1696"/>
      <c r="W2302" s="1772"/>
      <c r="X2302" s="1696"/>
      <c r="Y2302" s="1696"/>
      <c r="Z2302" s="1773"/>
    </row>
    <row r="2303">
      <c r="A2303" s="1771"/>
      <c r="B2303" s="1777"/>
      <c r="C2303" s="1771"/>
      <c r="D2303" s="1771"/>
      <c r="E2303" s="1770"/>
      <c r="F2303" s="1771"/>
      <c r="G2303" s="1770"/>
      <c r="H2303" s="1771"/>
      <c r="I2303" s="1778"/>
      <c r="J2303" s="1771"/>
      <c r="K2303" s="1771"/>
      <c r="L2303" s="1771"/>
      <c r="M2303" s="1771"/>
      <c r="N2303" s="1771"/>
      <c r="O2303" s="1771"/>
      <c r="P2303" s="1771"/>
      <c r="Q2303" s="1766"/>
      <c r="R2303" s="1766"/>
      <c r="S2303" s="1696"/>
      <c r="T2303" s="1696"/>
      <c r="U2303" s="1772"/>
      <c r="V2303" s="1696"/>
      <c r="W2303" s="1772"/>
      <c r="X2303" s="1696"/>
      <c r="Y2303" s="1696"/>
      <c r="Z2303" s="1773"/>
    </row>
    <row r="2304">
      <c r="A2304" s="1771"/>
      <c r="B2304" s="1777"/>
      <c r="C2304" s="1771"/>
      <c r="D2304" s="1771"/>
      <c r="E2304" s="1770"/>
      <c r="F2304" s="1771"/>
      <c r="G2304" s="1777"/>
      <c r="H2304" s="1771"/>
      <c r="I2304" s="1778"/>
      <c r="J2304" s="1771"/>
      <c r="K2304" s="1771"/>
      <c r="L2304" s="1771"/>
      <c r="M2304" s="1771"/>
      <c r="N2304" s="1771"/>
      <c r="O2304" s="1771"/>
      <c r="P2304" s="1771"/>
      <c r="Q2304" s="1766"/>
      <c r="R2304" s="1766"/>
      <c r="S2304" s="1696"/>
      <c r="T2304" s="1696"/>
      <c r="U2304" s="1772"/>
      <c r="V2304" s="1696"/>
      <c r="W2304" s="1772"/>
      <c r="X2304" s="1696"/>
      <c r="Y2304" s="1696"/>
      <c r="Z2304" s="1773"/>
    </row>
    <row r="2305">
      <c r="A2305" s="1771"/>
      <c r="B2305" s="1777"/>
      <c r="C2305" s="1771"/>
      <c r="D2305" s="1771"/>
      <c r="E2305" s="1770"/>
      <c r="F2305" s="1771"/>
      <c r="G2305" s="1770"/>
      <c r="H2305" s="1771"/>
      <c r="I2305" s="1778"/>
      <c r="J2305" s="1771"/>
      <c r="K2305" s="1771"/>
      <c r="L2305" s="1771"/>
      <c r="M2305" s="1771"/>
      <c r="N2305" s="1779"/>
      <c r="O2305" s="1770"/>
      <c r="P2305" s="1771"/>
      <c r="Q2305" s="1766"/>
      <c r="R2305" s="1766"/>
      <c r="S2305" s="1696"/>
      <c r="T2305" s="1696"/>
      <c r="U2305" s="1772"/>
      <c r="V2305" s="1696"/>
      <c r="W2305" s="1772"/>
      <c r="X2305" s="1696"/>
      <c r="Y2305" s="1696"/>
      <c r="Z2305" s="1773"/>
    </row>
    <row r="2306">
      <c r="A2306" s="1771"/>
      <c r="B2306" s="1777"/>
      <c r="C2306" s="1771"/>
      <c r="D2306" s="1771"/>
      <c r="E2306" s="1770"/>
      <c r="F2306" s="1771"/>
      <c r="G2306" s="1770"/>
      <c r="H2306" s="1771"/>
      <c r="I2306" s="1778"/>
      <c r="J2306" s="1771"/>
      <c r="K2306" s="1771"/>
      <c r="L2306" s="1771"/>
      <c r="M2306" s="1771"/>
      <c r="N2306" s="1779"/>
      <c r="O2306" s="1770"/>
      <c r="P2306" s="1771"/>
      <c r="Q2306" s="1766"/>
      <c r="R2306" s="1766"/>
      <c r="S2306" s="1696"/>
      <c r="T2306" s="1696"/>
      <c r="U2306" s="1772"/>
      <c r="V2306" s="1696"/>
      <c r="W2306" s="1772"/>
      <c r="X2306" s="1696"/>
      <c r="Y2306" s="1696"/>
      <c r="Z2306" s="1773"/>
    </row>
    <row r="2307">
      <c r="A2307" s="1771"/>
      <c r="B2307" s="1777"/>
      <c r="C2307" s="1771"/>
      <c r="D2307" s="1771"/>
      <c r="E2307" s="1770"/>
      <c r="F2307" s="1771"/>
      <c r="G2307" s="1770"/>
      <c r="H2307" s="1771"/>
      <c r="I2307" s="1778"/>
      <c r="J2307" s="1771"/>
      <c r="K2307" s="1771"/>
      <c r="L2307" s="1771"/>
      <c r="M2307" s="1771"/>
      <c r="N2307" s="1771"/>
      <c r="O2307" s="1771"/>
      <c r="P2307" s="1771"/>
      <c r="Q2307" s="1766"/>
      <c r="R2307" s="1766"/>
      <c r="S2307" s="1696"/>
      <c r="T2307" s="1696"/>
      <c r="U2307" s="1772"/>
      <c r="V2307" s="1696"/>
      <c r="W2307" s="1772"/>
      <c r="X2307" s="1696"/>
      <c r="Y2307" s="1696"/>
      <c r="Z2307" s="1773"/>
    </row>
    <row r="2308">
      <c r="A2308" s="1771"/>
      <c r="B2308" s="1777"/>
      <c r="C2308" s="1771"/>
      <c r="D2308" s="1771"/>
      <c r="E2308" s="1770"/>
      <c r="F2308" s="1771"/>
      <c r="G2308" s="1770"/>
      <c r="H2308" s="1771"/>
      <c r="I2308" s="1778"/>
      <c r="J2308" s="1771"/>
      <c r="K2308" s="1771"/>
      <c r="L2308" s="1771"/>
      <c r="M2308" s="1771"/>
      <c r="N2308" s="1771"/>
      <c r="O2308" s="1771"/>
      <c r="P2308" s="1771"/>
      <c r="Q2308" s="1766"/>
      <c r="R2308" s="1766"/>
      <c r="S2308" s="1696"/>
      <c r="T2308" s="1696"/>
      <c r="U2308" s="1772"/>
      <c r="V2308" s="1696"/>
      <c r="W2308" s="1772"/>
      <c r="X2308" s="1696"/>
      <c r="Y2308" s="1696"/>
      <c r="Z2308" s="1773"/>
    </row>
    <row r="2309">
      <c r="A2309" s="1771"/>
      <c r="B2309" s="1777"/>
      <c r="C2309" s="1771"/>
      <c r="D2309" s="1771"/>
      <c r="E2309" s="1770"/>
      <c r="F2309" s="1771"/>
      <c r="G2309" s="1771"/>
      <c r="H2309" s="1771"/>
      <c r="I2309" s="1778"/>
      <c r="J2309" s="1771"/>
      <c r="K2309" s="1771"/>
      <c r="L2309" s="1771"/>
      <c r="M2309" s="1771"/>
      <c r="N2309" s="1771"/>
      <c r="O2309" s="1771"/>
      <c r="P2309" s="1771"/>
      <c r="Q2309" s="1766"/>
      <c r="R2309" s="1766"/>
      <c r="S2309" s="1696"/>
      <c r="T2309" s="1696"/>
      <c r="U2309" s="1772"/>
      <c r="V2309" s="1696"/>
      <c r="W2309" s="1772"/>
      <c r="X2309" s="1696"/>
      <c r="Y2309" s="1696"/>
      <c r="Z2309" s="1773"/>
    </row>
    <row r="2310">
      <c r="A2310" s="1771"/>
      <c r="B2310" s="1777"/>
      <c r="C2310" s="1771"/>
      <c r="D2310" s="1771"/>
      <c r="E2310" s="1770"/>
      <c r="F2310" s="1771"/>
      <c r="G2310" s="1770"/>
      <c r="H2310" s="1771"/>
      <c r="I2310" s="1778"/>
      <c r="J2310" s="1771"/>
      <c r="K2310" s="1771"/>
      <c r="L2310" s="1771"/>
      <c r="M2310" s="1771"/>
      <c r="N2310" s="1771"/>
      <c r="O2310" s="1771"/>
      <c r="P2310" s="1771"/>
      <c r="Q2310" s="1766"/>
      <c r="R2310" s="1766"/>
      <c r="S2310" s="1696"/>
      <c r="T2310" s="1696"/>
      <c r="U2310" s="1772"/>
      <c r="V2310" s="1696"/>
      <c r="W2310" s="1772"/>
      <c r="X2310" s="1696"/>
      <c r="Y2310" s="1696"/>
      <c r="Z2310" s="1773"/>
    </row>
    <row r="2311">
      <c r="A2311" s="1771"/>
      <c r="B2311" s="1777"/>
      <c r="C2311" s="1771"/>
      <c r="D2311" s="1771"/>
      <c r="E2311" s="1770"/>
      <c r="F2311" s="1771"/>
      <c r="G2311" s="1770"/>
      <c r="H2311" s="1771"/>
      <c r="I2311" s="1778"/>
      <c r="J2311" s="1771"/>
      <c r="K2311" s="1771"/>
      <c r="L2311" s="1771"/>
      <c r="M2311" s="1771"/>
      <c r="N2311" s="1771"/>
      <c r="O2311" s="1771"/>
      <c r="P2311" s="1771"/>
      <c r="Q2311" s="1766"/>
      <c r="R2311" s="1766"/>
      <c r="S2311" s="1696"/>
      <c r="T2311" s="1696"/>
      <c r="U2311" s="1772"/>
      <c r="V2311" s="1696"/>
      <c r="W2311" s="1772"/>
      <c r="X2311" s="1696"/>
      <c r="Y2311" s="1696"/>
      <c r="Z2311" s="1773"/>
    </row>
    <row r="2312">
      <c r="A2312" s="1771"/>
      <c r="B2312" s="1777"/>
      <c r="C2312" s="1771"/>
      <c r="D2312" s="1771"/>
      <c r="E2312" s="1770"/>
      <c r="F2312" s="1771"/>
      <c r="G2312" s="1770"/>
      <c r="H2312" s="1771"/>
      <c r="I2312" s="1778"/>
      <c r="J2312" s="1771"/>
      <c r="K2312" s="1771"/>
      <c r="L2312" s="1771"/>
      <c r="M2312" s="1771"/>
      <c r="N2312" s="1771"/>
      <c r="O2312" s="1771"/>
      <c r="P2312" s="1771"/>
      <c r="Q2312" s="1766"/>
      <c r="R2312" s="1766"/>
      <c r="S2312" s="1696"/>
      <c r="T2312" s="1696"/>
      <c r="U2312" s="1772"/>
      <c r="V2312" s="1696"/>
      <c r="W2312" s="1772"/>
      <c r="X2312" s="1696"/>
      <c r="Y2312" s="1696"/>
      <c r="Z2312" s="1773"/>
    </row>
    <row r="2313">
      <c r="A2313" s="1771"/>
      <c r="B2313" s="1777"/>
      <c r="C2313" s="1771"/>
      <c r="D2313" s="1771"/>
      <c r="E2313" s="1770"/>
      <c r="F2313" s="1771"/>
      <c r="G2313" s="1770"/>
      <c r="H2313" s="1771"/>
      <c r="I2313" s="1778"/>
      <c r="J2313" s="1771"/>
      <c r="K2313" s="1771"/>
      <c r="L2313" s="1771"/>
      <c r="M2313" s="1771"/>
      <c r="N2313" s="1779"/>
      <c r="O2313" s="1770"/>
      <c r="P2313" s="1771"/>
      <c r="Q2313" s="1766"/>
      <c r="R2313" s="1766"/>
      <c r="S2313" s="1696"/>
      <c r="T2313" s="1696"/>
      <c r="U2313" s="1772"/>
      <c r="V2313" s="1696"/>
      <c r="W2313" s="1772"/>
      <c r="X2313" s="1696"/>
      <c r="Y2313" s="1696"/>
      <c r="Z2313" s="1773"/>
    </row>
    <row r="2314">
      <c r="A2314" s="1771"/>
      <c r="B2314" s="1777"/>
      <c r="C2314" s="1771"/>
      <c r="D2314" s="1771"/>
      <c r="E2314" s="1770"/>
      <c r="F2314" s="1771"/>
      <c r="G2314" s="1770"/>
      <c r="H2314" s="1771"/>
      <c r="I2314" s="1778"/>
      <c r="J2314" s="1771"/>
      <c r="K2314" s="1771"/>
      <c r="L2314" s="1771"/>
      <c r="M2314" s="1771"/>
      <c r="N2314" s="1771"/>
      <c r="O2314" s="1771"/>
      <c r="P2314" s="1771"/>
      <c r="Q2314" s="1766"/>
      <c r="R2314" s="1766"/>
      <c r="S2314" s="1696"/>
      <c r="T2314" s="1696"/>
      <c r="U2314" s="1772"/>
      <c r="V2314" s="1696"/>
      <c r="W2314" s="1772"/>
      <c r="X2314" s="1696"/>
      <c r="Y2314" s="1696"/>
      <c r="Z2314" s="1773"/>
    </row>
    <row r="2315">
      <c r="A2315" s="1771"/>
      <c r="B2315" s="1777"/>
      <c r="C2315" s="1771"/>
      <c r="D2315" s="1771"/>
      <c r="E2315" s="1770"/>
      <c r="F2315" s="1771"/>
      <c r="G2315" s="1771"/>
      <c r="H2315" s="1771"/>
      <c r="I2315" s="1778"/>
      <c r="J2315" s="1771"/>
      <c r="K2315" s="1771"/>
      <c r="L2315" s="1771"/>
      <c r="M2315" s="1771"/>
      <c r="N2315" s="1771"/>
      <c r="O2315" s="1771"/>
      <c r="P2315" s="1771"/>
      <c r="Q2315" s="1766"/>
      <c r="R2315" s="1766"/>
      <c r="S2315" s="1696"/>
      <c r="T2315" s="1696"/>
      <c r="U2315" s="1772"/>
      <c r="V2315" s="1696"/>
      <c r="W2315" s="1772"/>
      <c r="X2315" s="1696"/>
      <c r="Y2315" s="1696"/>
      <c r="Z2315" s="1773"/>
    </row>
    <row r="2316">
      <c r="A2316" s="1771"/>
      <c r="B2316" s="1777"/>
      <c r="C2316" s="1771"/>
      <c r="D2316" s="1771"/>
      <c r="E2316" s="1770"/>
      <c r="F2316" s="1771"/>
      <c r="G2316" s="1777"/>
      <c r="H2316" s="1771"/>
      <c r="I2316" s="1778"/>
      <c r="J2316" s="1771"/>
      <c r="K2316" s="1771"/>
      <c r="L2316" s="1771"/>
      <c r="M2316" s="1771"/>
      <c r="N2316" s="1771"/>
      <c r="O2316" s="1771"/>
      <c r="P2316" s="1771"/>
      <c r="Q2316" s="1766"/>
      <c r="R2316" s="1766"/>
      <c r="S2316" s="1696"/>
      <c r="T2316" s="1696"/>
      <c r="U2316" s="1772"/>
      <c r="V2316" s="1696"/>
      <c r="W2316" s="1772"/>
      <c r="X2316" s="1696"/>
      <c r="Y2316" s="1696"/>
      <c r="Z2316" s="1773"/>
    </row>
    <row r="2317">
      <c r="A2317" s="1771"/>
      <c r="B2317" s="1777"/>
      <c r="C2317" s="1771"/>
      <c r="D2317" s="1771"/>
      <c r="E2317" s="1770"/>
      <c r="F2317" s="1771"/>
      <c r="G2317" s="1770"/>
      <c r="H2317" s="1771"/>
      <c r="I2317" s="1778"/>
      <c r="J2317" s="1771"/>
      <c r="K2317" s="1771"/>
      <c r="L2317" s="1771"/>
      <c r="M2317" s="1771"/>
      <c r="N2317" s="1771"/>
      <c r="O2317" s="1771"/>
      <c r="P2317" s="1771"/>
      <c r="Q2317" s="1766"/>
      <c r="R2317" s="1766"/>
      <c r="S2317" s="1696"/>
      <c r="T2317" s="1696"/>
      <c r="U2317" s="1772"/>
      <c r="V2317" s="1696"/>
      <c r="W2317" s="1772"/>
      <c r="X2317" s="1696"/>
      <c r="Y2317" s="1696"/>
      <c r="Z2317" s="1773"/>
    </row>
    <row r="2318">
      <c r="A2318" s="1771"/>
      <c r="B2318" s="1777"/>
      <c r="C2318" s="1771"/>
      <c r="D2318" s="1771"/>
      <c r="E2318" s="1770"/>
      <c r="F2318" s="1771"/>
      <c r="G2318" s="1770"/>
      <c r="H2318" s="1771"/>
      <c r="I2318" s="1778"/>
      <c r="J2318" s="1771"/>
      <c r="K2318" s="1771"/>
      <c r="L2318" s="1771"/>
      <c r="M2318" s="1771"/>
      <c r="N2318" s="1771"/>
      <c r="O2318" s="1771"/>
      <c r="P2318" s="1771"/>
      <c r="Q2318" s="1766"/>
      <c r="R2318" s="1766"/>
      <c r="S2318" s="1696"/>
      <c r="T2318" s="1696"/>
      <c r="U2318" s="1772"/>
      <c r="V2318" s="1696"/>
      <c r="W2318" s="1772"/>
      <c r="X2318" s="1696"/>
      <c r="Y2318" s="1696"/>
      <c r="Z2318" s="1773"/>
    </row>
    <row r="2319">
      <c r="A2319" s="1771"/>
      <c r="B2319" s="1777"/>
      <c r="C2319" s="1771"/>
      <c r="D2319" s="1771"/>
      <c r="E2319" s="1770"/>
      <c r="F2319" s="1771"/>
      <c r="G2319" s="1771"/>
      <c r="H2319" s="1771"/>
      <c r="I2319" s="1778"/>
      <c r="J2319" s="1771"/>
      <c r="K2319" s="1771"/>
      <c r="L2319" s="1771"/>
      <c r="M2319" s="1771"/>
      <c r="N2319" s="1779"/>
      <c r="O2319" s="1770"/>
      <c r="P2319" s="1771"/>
      <c r="Q2319" s="1766"/>
      <c r="R2319" s="1766"/>
      <c r="S2319" s="1696"/>
      <c r="T2319" s="1696"/>
      <c r="U2319" s="1772"/>
      <c r="V2319" s="1696"/>
      <c r="W2319" s="1772"/>
      <c r="X2319" s="1696"/>
      <c r="Y2319" s="1696"/>
      <c r="Z2319" s="1773"/>
    </row>
    <row r="2320">
      <c r="A2320" s="1771"/>
      <c r="B2320" s="1777"/>
      <c r="C2320" s="1771"/>
      <c r="D2320" s="1771"/>
      <c r="E2320" s="1770"/>
      <c r="F2320" s="1771"/>
      <c r="G2320" s="1770"/>
      <c r="H2320" s="1771"/>
      <c r="I2320" s="1778"/>
      <c r="J2320" s="1771"/>
      <c r="K2320" s="1771"/>
      <c r="L2320" s="1771"/>
      <c r="M2320" s="1771"/>
      <c r="N2320" s="1779"/>
      <c r="O2320" s="1770"/>
      <c r="P2320" s="1771"/>
      <c r="Q2320" s="1766"/>
      <c r="R2320" s="1766"/>
      <c r="S2320" s="1696"/>
      <c r="T2320" s="1696"/>
      <c r="U2320" s="1772"/>
      <c r="V2320" s="1696"/>
      <c r="W2320" s="1772"/>
      <c r="X2320" s="1696"/>
      <c r="Y2320" s="1696"/>
      <c r="Z2320" s="1773"/>
    </row>
    <row r="2321">
      <c r="A2321" s="1771"/>
      <c r="B2321" s="1777"/>
      <c r="C2321" s="1771"/>
      <c r="D2321" s="1771"/>
      <c r="E2321" s="1770"/>
      <c r="F2321" s="1771"/>
      <c r="G2321" s="1770"/>
      <c r="H2321" s="1771"/>
      <c r="I2321" s="1778"/>
      <c r="J2321" s="1771"/>
      <c r="K2321" s="1771"/>
      <c r="L2321" s="1771"/>
      <c r="M2321" s="1771"/>
      <c r="N2321" s="1779"/>
      <c r="O2321" s="1770"/>
      <c r="P2321" s="1771"/>
      <c r="Q2321" s="1766"/>
      <c r="R2321" s="1766"/>
      <c r="S2321" s="1696"/>
      <c r="T2321" s="1696"/>
      <c r="U2321" s="1772"/>
      <c r="V2321" s="1696"/>
      <c r="W2321" s="1772"/>
      <c r="X2321" s="1696"/>
      <c r="Y2321" s="1696"/>
      <c r="Z2321" s="1773"/>
    </row>
    <row r="2322">
      <c r="A2322" s="1771"/>
      <c r="B2322" s="1777"/>
      <c r="C2322" s="1771"/>
      <c r="D2322" s="1771"/>
      <c r="E2322" s="1770"/>
      <c r="F2322" s="1771"/>
      <c r="G2322" s="1770"/>
      <c r="H2322" s="1771"/>
      <c r="I2322" s="1778"/>
      <c r="J2322" s="1771"/>
      <c r="K2322" s="1771"/>
      <c r="L2322" s="1771"/>
      <c r="M2322" s="1771"/>
      <c r="N2322" s="1779"/>
      <c r="O2322" s="1771"/>
      <c r="P2322" s="1771"/>
      <c r="Q2322" s="1766"/>
      <c r="R2322" s="1766"/>
      <c r="S2322" s="1696"/>
      <c r="T2322" s="1696"/>
      <c r="U2322" s="1772"/>
      <c r="V2322" s="1696"/>
      <c r="W2322" s="1772"/>
      <c r="X2322" s="1696"/>
      <c r="Y2322" s="1696"/>
      <c r="Z2322" s="1773"/>
    </row>
    <row r="2323">
      <c r="A2323" s="1771"/>
      <c r="B2323" s="1777"/>
      <c r="C2323" s="1771"/>
      <c r="D2323" s="1771"/>
      <c r="E2323" s="1770"/>
      <c r="F2323" s="1771"/>
      <c r="G2323" s="1770"/>
      <c r="H2323" s="1771"/>
      <c r="I2323" s="1778"/>
      <c r="J2323" s="1771"/>
      <c r="K2323" s="1771"/>
      <c r="L2323" s="1771"/>
      <c r="M2323" s="1771"/>
      <c r="N2323" s="1771"/>
      <c r="O2323" s="1771"/>
      <c r="P2323" s="1771"/>
      <c r="Q2323" s="1766"/>
      <c r="R2323" s="1766"/>
      <c r="S2323" s="1696"/>
      <c r="T2323" s="1696"/>
      <c r="U2323" s="1772"/>
      <c r="V2323" s="1696"/>
      <c r="W2323" s="1772"/>
      <c r="X2323" s="1696"/>
      <c r="Y2323" s="1696"/>
      <c r="Z2323" s="1773"/>
    </row>
    <row r="2324">
      <c r="A2324" s="1771"/>
      <c r="B2324" s="1777"/>
      <c r="C2324" s="1771"/>
      <c r="D2324" s="1771"/>
      <c r="E2324" s="1770"/>
      <c r="F2324" s="1771"/>
      <c r="G2324" s="1770"/>
      <c r="H2324" s="1771"/>
      <c r="I2324" s="1778"/>
      <c r="J2324" s="1771"/>
      <c r="K2324" s="1771"/>
      <c r="L2324" s="1771"/>
      <c r="M2324" s="1771"/>
      <c r="N2324" s="1771"/>
      <c r="O2324" s="1771"/>
      <c r="P2324" s="1771"/>
      <c r="Q2324" s="1766"/>
      <c r="R2324" s="1766"/>
      <c r="S2324" s="1696"/>
      <c r="T2324" s="1696"/>
      <c r="U2324" s="1772"/>
      <c r="V2324" s="1696"/>
      <c r="W2324" s="1772"/>
      <c r="X2324" s="1696"/>
      <c r="Y2324" s="1696"/>
      <c r="Z2324" s="1773"/>
    </row>
    <row r="2325">
      <c r="A2325" s="1771"/>
      <c r="B2325" s="1777"/>
      <c r="C2325" s="1771"/>
      <c r="D2325" s="1771"/>
      <c r="E2325" s="1770"/>
      <c r="F2325" s="1771"/>
      <c r="G2325" s="1770"/>
      <c r="H2325" s="1771"/>
      <c r="I2325" s="1778"/>
      <c r="J2325" s="1771"/>
      <c r="K2325" s="1771"/>
      <c r="L2325" s="1771"/>
      <c r="M2325" s="1771"/>
      <c r="N2325" s="1771"/>
      <c r="O2325" s="1771"/>
      <c r="P2325" s="1771"/>
      <c r="Q2325" s="1766"/>
      <c r="R2325" s="1766"/>
      <c r="S2325" s="1696"/>
      <c r="T2325" s="1696"/>
      <c r="U2325" s="1772"/>
      <c r="V2325" s="1696"/>
      <c r="W2325" s="1772"/>
      <c r="X2325" s="1696"/>
      <c r="Y2325" s="1696"/>
      <c r="Z2325" s="1773"/>
    </row>
    <row r="2326">
      <c r="A2326" s="1771"/>
      <c r="B2326" s="1777"/>
      <c r="C2326" s="1771"/>
      <c r="D2326" s="1771"/>
      <c r="E2326" s="1770"/>
      <c r="F2326" s="1771"/>
      <c r="G2326" s="1770"/>
      <c r="H2326" s="1771"/>
      <c r="I2326" s="1770"/>
      <c r="J2326" s="1771"/>
      <c r="K2326" s="1771"/>
      <c r="L2326" s="1770"/>
      <c r="M2326" s="1771"/>
      <c r="N2326" s="1779"/>
      <c r="O2326" s="1770"/>
      <c r="P2326" s="1771"/>
      <c r="Q2326" s="1766"/>
      <c r="R2326" s="1766"/>
      <c r="S2326" s="1696"/>
      <c r="T2326" s="1696"/>
      <c r="U2326" s="1772"/>
      <c r="V2326" s="1696"/>
      <c r="W2326" s="1772"/>
      <c r="X2326" s="1696"/>
      <c r="Y2326" s="1696"/>
      <c r="Z2326" s="1773"/>
    </row>
    <row r="2327">
      <c r="A2327" s="1771"/>
      <c r="B2327" s="1777"/>
      <c r="C2327" s="1771"/>
      <c r="D2327" s="1771"/>
      <c r="E2327" s="1770"/>
      <c r="F2327" s="1771"/>
      <c r="G2327" s="1771"/>
      <c r="H2327" s="1771"/>
      <c r="I2327" s="1778"/>
      <c r="J2327" s="1771"/>
      <c r="K2327" s="1771"/>
      <c r="L2327" s="1771"/>
      <c r="M2327" s="1771"/>
      <c r="N2327" s="1771"/>
      <c r="O2327" s="1771"/>
      <c r="P2327" s="1771"/>
      <c r="Q2327" s="1766"/>
      <c r="R2327" s="1766"/>
      <c r="S2327" s="1696"/>
      <c r="T2327" s="1696"/>
      <c r="U2327" s="1772"/>
      <c r="V2327" s="1696"/>
      <c r="W2327" s="1772"/>
      <c r="X2327" s="1696"/>
      <c r="Y2327" s="1696"/>
      <c r="Z2327" s="1773"/>
    </row>
    <row r="2328">
      <c r="A2328" s="1771"/>
      <c r="B2328" s="1777"/>
      <c r="C2328" s="1771"/>
      <c r="D2328" s="1771"/>
      <c r="E2328" s="1770"/>
      <c r="F2328" s="1771"/>
      <c r="G2328" s="1771"/>
      <c r="H2328" s="1771"/>
      <c r="I2328" s="1778"/>
      <c r="J2328" s="1771"/>
      <c r="K2328" s="1771"/>
      <c r="L2328" s="1771"/>
      <c r="M2328" s="1771"/>
      <c r="N2328" s="1771"/>
      <c r="O2328" s="1771"/>
      <c r="P2328" s="1771"/>
      <c r="Q2328" s="1766"/>
      <c r="R2328" s="1766"/>
      <c r="S2328" s="1696"/>
      <c r="T2328" s="1696"/>
      <c r="U2328" s="1772"/>
      <c r="V2328" s="1696"/>
      <c r="W2328" s="1772"/>
      <c r="X2328" s="1696"/>
      <c r="Y2328" s="1696"/>
      <c r="Z2328" s="1773"/>
    </row>
    <row r="2329">
      <c r="A2329" s="1771"/>
      <c r="B2329" s="1777"/>
      <c r="C2329" s="1771"/>
      <c r="D2329" s="1771"/>
      <c r="E2329" s="1770"/>
      <c r="F2329" s="1771"/>
      <c r="G2329" s="1771"/>
      <c r="H2329" s="1771"/>
      <c r="I2329" s="1778"/>
      <c r="J2329" s="1771"/>
      <c r="K2329" s="1771"/>
      <c r="L2329" s="1771"/>
      <c r="M2329" s="1771"/>
      <c r="N2329" s="1771"/>
      <c r="O2329" s="1771"/>
      <c r="P2329" s="1771"/>
      <c r="Q2329" s="1766"/>
      <c r="R2329" s="1766"/>
      <c r="S2329" s="1696"/>
      <c r="T2329" s="1696"/>
      <c r="U2329" s="1772"/>
      <c r="V2329" s="1696"/>
      <c r="W2329" s="1772"/>
      <c r="X2329" s="1696"/>
      <c r="Y2329" s="1696"/>
      <c r="Z2329" s="1773"/>
    </row>
    <row r="2330">
      <c r="A2330" s="1771"/>
      <c r="B2330" s="1777"/>
      <c r="C2330" s="1771"/>
      <c r="D2330" s="1771"/>
      <c r="E2330" s="1770"/>
      <c r="F2330" s="1771"/>
      <c r="G2330" s="1771"/>
      <c r="H2330" s="1771"/>
      <c r="I2330" s="1778"/>
      <c r="J2330" s="1771"/>
      <c r="K2330" s="1771"/>
      <c r="L2330" s="1771"/>
      <c r="M2330" s="1771"/>
      <c r="N2330" s="1771"/>
      <c r="O2330" s="1771"/>
      <c r="P2330" s="1771"/>
      <c r="Q2330" s="1766"/>
      <c r="R2330" s="1766"/>
      <c r="S2330" s="1696"/>
      <c r="T2330" s="1696"/>
      <c r="U2330" s="1772"/>
      <c r="V2330" s="1696"/>
      <c r="W2330" s="1772"/>
      <c r="X2330" s="1696"/>
      <c r="Y2330" s="1696"/>
      <c r="Z2330" s="1773"/>
    </row>
    <row r="2331">
      <c r="A2331" s="1771"/>
      <c r="B2331" s="1777"/>
      <c r="C2331" s="1771"/>
      <c r="D2331" s="1771"/>
      <c r="E2331" s="1770"/>
      <c r="F2331" s="1771"/>
      <c r="G2331" s="1771"/>
      <c r="H2331" s="1771"/>
      <c r="I2331" s="1778"/>
      <c r="J2331" s="1771"/>
      <c r="K2331" s="1771"/>
      <c r="L2331" s="1771"/>
      <c r="M2331" s="1771"/>
      <c r="N2331" s="1771"/>
      <c r="O2331" s="1771"/>
      <c r="P2331" s="1771"/>
      <c r="Q2331" s="1766"/>
      <c r="R2331" s="1766"/>
      <c r="S2331" s="1696"/>
      <c r="T2331" s="1696"/>
      <c r="U2331" s="1772"/>
      <c r="V2331" s="1696"/>
      <c r="W2331" s="1772"/>
      <c r="X2331" s="1696"/>
      <c r="Y2331" s="1696"/>
      <c r="Z2331" s="1773"/>
    </row>
    <row r="2332">
      <c r="A2332" s="1771"/>
      <c r="B2332" s="1777"/>
      <c r="C2332" s="1771"/>
      <c r="D2332" s="1771"/>
      <c r="E2332" s="1770"/>
      <c r="F2332" s="1771"/>
      <c r="G2332" s="1770"/>
      <c r="H2332" s="1771"/>
      <c r="I2332" s="1778"/>
      <c r="J2332" s="1771"/>
      <c r="K2332" s="1771"/>
      <c r="L2332" s="1771"/>
      <c r="M2332" s="1771"/>
      <c r="N2332" s="1771"/>
      <c r="O2332" s="1771"/>
      <c r="P2332" s="1771"/>
      <c r="Q2332" s="1766"/>
      <c r="R2332" s="1766"/>
      <c r="S2332" s="1696"/>
      <c r="T2332" s="1696"/>
      <c r="U2332" s="1772"/>
      <c r="V2332" s="1696"/>
      <c r="W2332" s="1772"/>
      <c r="X2332" s="1696"/>
      <c r="Y2332" s="1696"/>
      <c r="Z2332" s="1773"/>
    </row>
    <row r="2333">
      <c r="A2333" s="1771"/>
      <c r="B2333" s="1777"/>
      <c r="C2333" s="1771"/>
      <c r="D2333" s="1771"/>
      <c r="E2333" s="1770"/>
      <c r="F2333" s="1771"/>
      <c r="G2333" s="1771"/>
      <c r="H2333" s="1771"/>
      <c r="I2333" s="1778"/>
      <c r="J2333" s="1771"/>
      <c r="K2333" s="1771"/>
      <c r="L2333" s="1771"/>
      <c r="M2333" s="1771"/>
      <c r="N2333" s="1771"/>
      <c r="O2333" s="1771"/>
      <c r="P2333" s="1771"/>
      <c r="Q2333" s="1766"/>
      <c r="R2333" s="1766"/>
      <c r="S2333" s="1696"/>
      <c r="T2333" s="1696"/>
      <c r="U2333" s="1772"/>
      <c r="V2333" s="1696"/>
      <c r="W2333" s="1772"/>
      <c r="X2333" s="1696"/>
      <c r="Y2333" s="1696"/>
      <c r="Z2333" s="1773"/>
    </row>
    <row r="2334">
      <c r="A2334" s="1771"/>
      <c r="B2334" s="1777"/>
      <c r="C2334" s="1771"/>
      <c r="D2334" s="1771"/>
      <c r="E2334" s="1770"/>
      <c r="F2334" s="1771"/>
      <c r="G2334" s="1770"/>
      <c r="H2334" s="1771"/>
      <c r="I2334" s="1778"/>
      <c r="J2334" s="1771"/>
      <c r="K2334" s="1771"/>
      <c r="L2334" s="1771"/>
      <c r="M2334" s="1771"/>
      <c r="N2334" s="1771"/>
      <c r="O2334" s="1771"/>
      <c r="P2334" s="1771"/>
      <c r="Q2334" s="1766"/>
      <c r="R2334" s="1766"/>
      <c r="S2334" s="1696"/>
      <c r="T2334" s="1696"/>
      <c r="U2334" s="1772"/>
      <c r="V2334" s="1696"/>
      <c r="W2334" s="1772"/>
      <c r="X2334" s="1696"/>
      <c r="Y2334" s="1696"/>
      <c r="Z2334" s="1773"/>
    </row>
    <row r="2335">
      <c r="A2335" s="1771"/>
      <c r="B2335" s="1777"/>
      <c r="C2335" s="1771"/>
      <c r="D2335" s="1771"/>
      <c r="E2335" s="1770"/>
      <c r="F2335" s="1771"/>
      <c r="G2335" s="1770"/>
      <c r="H2335" s="1771"/>
      <c r="I2335" s="1770"/>
      <c r="J2335" s="1771"/>
      <c r="K2335" s="1771"/>
      <c r="L2335" s="1771"/>
      <c r="M2335" s="1771"/>
      <c r="N2335" s="1771"/>
      <c r="O2335" s="1771"/>
      <c r="P2335" s="1771"/>
      <c r="Q2335" s="1766"/>
      <c r="R2335" s="1766"/>
      <c r="S2335" s="1696"/>
      <c r="T2335" s="1696"/>
      <c r="U2335" s="1772"/>
      <c r="V2335" s="1696"/>
      <c r="W2335" s="1772"/>
      <c r="X2335" s="1696"/>
      <c r="Y2335" s="1696"/>
      <c r="Z2335" s="1773"/>
    </row>
    <row r="2336">
      <c r="A2336" s="1771"/>
      <c r="B2336" s="1777"/>
      <c r="C2336" s="1771"/>
      <c r="D2336" s="1771"/>
      <c r="E2336" s="1770"/>
      <c r="F2336" s="1771"/>
      <c r="G2336" s="1770"/>
      <c r="H2336" s="1771"/>
      <c r="I2336" s="1778"/>
      <c r="J2336" s="1771"/>
      <c r="K2336" s="1771"/>
      <c r="L2336" s="1771"/>
      <c r="M2336" s="1771"/>
      <c r="N2336" s="1771"/>
      <c r="O2336" s="1771"/>
      <c r="P2336" s="1771"/>
      <c r="Q2336" s="1766"/>
      <c r="R2336" s="1766"/>
      <c r="S2336" s="1696"/>
      <c r="T2336" s="1696"/>
      <c r="U2336" s="1772"/>
      <c r="V2336" s="1696"/>
      <c r="W2336" s="1772"/>
      <c r="X2336" s="1696"/>
      <c r="Y2336" s="1696"/>
      <c r="Z2336" s="1773"/>
    </row>
    <row r="2337">
      <c r="A2337" s="1771"/>
      <c r="B2337" s="1777"/>
      <c r="C2337" s="1771"/>
      <c r="D2337" s="1771"/>
      <c r="E2337" s="1770"/>
      <c r="F2337" s="1771"/>
      <c r="G2337" s="1777"/>
      <c r="H2337" s="1771"/>
      <c r="I2337" s="1778"/>
      <c r="J2337" s="1771"/>
      <c r="K2337" s="1771"/>
      <c r="L2337" s="1771"/>
      <c r="M2337" s="1771"/>
      <c r="N2337" s="1779"/>
      <c r="O2337" s="1770"/>
      <c r="P2337" s="1771"/>
      <c r="Q2337" s="1766"/>
      <c r="R2337" s="1766"/>
      <c r="S2337" s="1696"/>
      <c r="T2337" s="1696"/>
      <c r="U2337" s="1772"/>
      <c r="V2337" s="1696"/>
      <c r="W2337" s="1772"/>
      <c r="X2337" s="1696"/>
      <c r="Y2337" s="1696"/>
      <c r="Z2337" s="1773"/>
    </row>
    <row r="2338">
      <c r="A2338" s="1771"/>
      <c r="B2338" s="1777"/>
      <c r="C2338" s="1771"/>
      <c r="D2338" s="1771"/>
      <c r="E2338" s="1770"/>
      <c r="F2338" s="1771"/>
      <c r="G2338" s="1777"/>
      <c r="H2338" s="1771"/>
      <c r="I2338" s="1778"/>
      <c r="J2338" s="1771"/>
      <c r="K2338" s="1771"/>
      <c r="L2338" s="1771"/>
      <c r="M2338" s="1771"/>
      <c r="N2338" s="1771"/>
      <c r="O2338" s="1771"/>
      <c r="P2338" s="1771"/>
      <c r="Q2338" s="1766"/>
      <c r="R2338" s="1766"/>
      <c r="S2338" s="1696"/>
      <c r="T2338" s="1696"/>
      <c r="U2338" s="1772"/>
      <c r="V2338" s="1696"/>
      <c r="W2338" s="1772"/>
      <c r="X2338" s="1696"/>
      <c r="Y2338" s="1696"/>
      <c r="Z2338" s="1773"/>
    </row>
    <row r="2339">
      <c r="A2339" s="1771"/>
      <c r="B2339" s="1777"/>
      <c r="C2339" s="1771"/>
      <c r="D2339" s="1771"/>
      <c r="E2339" s="1770"/>
      <c r="F2339" s="1771"/>
      <c r="G2339" s="1777"/>
      <c r="H2339" s="1771"/>
      <c r="I2339" s="1778"/>
      <c r="J2339" s="1771"/>
      <c r="K2339" s="1771"/>
      <c r="L2339" s="1771"/>
      <c r="M2339" s="1771"/>
      <c r="N2339" s="1779"/>
      <c r="O2339" s="1770"/>
      <c r="P2339" s="1771"/>
      <c r="Q2339" s="1766"/>
      <c r="R2339" s="1766"/>
      <c r="S2339" s="1696"/>
      <c r="T2339" s="1696"/>
      <c r="U2339" s="1772"/>
      <c r="V2339" s="1696"/>
      <c r="W2339" s="1772"/>
      <c r="X2339" s="1696"/>
      <c r="Y2339" s="1696"/>
      <c r="Z2339" s="1773"/>
    </row>
    <row r="2340">
      <c r="A2340" s="1771"/>
      <c r="B2340" s="1777"/>
      <c r="C2340" s="1771"/>
      <c r="D2340" s="1771"/>
      <c r="E2340" s="1770"/>
      <c r="F2340" s="1771"/>
      <c r="G2340" s="1777"/>
      <c r="H2340" s="1771"/>
      <c r="I2340" s="1778"/>
      <c r="J2340" s="1771"/>
      <c r="K2340" s="1771"/>
      <c r="L2340" s="1771"/>
      <c r="M2340" s="1771"/>
      <c r="N2340" s="1771"/>
      <c r="O2340" s="1771"/>
      <c r="P2340" s="1771"/>
      <c r="Q2340" s="1766"/>
      <c r="R2340" s="1766"/>
      <c r="S2340" s="1696"/>
      <c r="T2340" s="1696"/>
      <c r="U2340" s="1772"/>
      <c r="V2340" s="1696"/>
      <c r="W2340" s="1772"/>
      <c r="X2340" s="1696"/>
      <c r="Y2340" s="1696"/>
      <c r="Z2340" s="1773"/>
    </row>
    <row r="2341">
      <c r="A2341" s="1771"/>
      <c r="B2341" s="1777"/>
      <c r="C2341" s="1771"/>
      <c r="D2341" s="1771"/>
      <c r="E2341" s="1770"/>
      <c r="F2341" s="1771"/>
      <c r="G2341" s="1777"/>
      <c r="H2341" s="1771"/>
      <c r="I2341" s="1778"/>
      <c r="J2341" s="1771"/>
      <c r="K2341" s="1771"/>
      <c r="L2341" s="1771"/>
      <c r="M2341" s="1771"/>
      <c r="N2341" s="1771"/>
      <c r="O2341" s="1771"/>
      <c r="P2341" s="1771"/>
      <c r="Q2341" s="1766"/>
      <c r="R2341" s="1766"/>
      <c r="S2341" s="1696"/>
      <c r="T2341" s="1696"/>
      <c r="U2341" s="1772"/>
      <c r="V2341" s="1696"/>
      <c r="W2341" s="1772"/>
      <c r="X2341" s="1696"/>
      <c r="Y2341" s="1696"/>
      <c r="Z2341" s="1773"/>
    </row>
    <row r="2342">
      <c r="A2342" s="1771"/>
      <c r="B2342" s="1777"/>
      <c r="C2342" s="1771"/>
      <c r="D2342" s="1771"/>
      <c r="E2342" s="1770"/>
      <c r="F2342" s="1771"/>
      <c r="G2342" s="1771"/>
      <c r="H2342" s="1771"/>
      <c r="I2342" s="1778"/>
      <c r="J2342" s="1771"/>
      <c r="K2342" s="1771"/>
      <c r="L2342" s="1771"/>
      <c r="M2342" s="1771"/>
      <c r="N2342" s="1771"/>
      <c r="O2342" s="1771"/>
      <c r="P2342" s="1771"/>
      <c r="Q2342" s="1766"/>
      <c r="R2342" s="1766"/>
      <c r="S2342" s="1696"/>
      <c r="T2342" s="1696"/>
      <c r="U2342" s="1772"/>
      <c r="V2342" s="1696"/>
      <c r="W2342" s="1772"/>
      <c r="X2342" s="1696"/>
      <c r="Y2342" s="1696"/>
      <c r="Z2342" s="1773"/>
    </row>
    <row r="2343">
      <c r="A2343" s="1771"/>
      <c r="B2343" s="1777"/>
      <c r="C2343" s="1771"/>
      <c r="D2343" s="1771"/>
      <c r="E2343" s="1770"/>
      <c r="F2343" s="1771"/>
      <c r="G2343" s="1771"/>
      <c r="H2343" s="1771"/>
      <c r="I2343" s="1778"/>
      <c r="J2343" s="1771"/>
      <c r="K2343" s="1771"/>
      <c r="L2343" s="1771"/>
      <c r="M2343" s="1771"/>
      <c r="N2343" s="1771"/>
      <c r="O2343" s="1771"/>
      <c r="P2343" s="1771"/>
      <c r="Q2343" s="1766"/>
      <c r="R2343" s="1766"/>
      <c r="S2343" s="1696"/>
      <c r="T2343" s="1696"/>
      <c r="U2343" s="1772"/>
      <c r="V2343" s="1696"/>
      <c r="W2343" s="1772"/>
      <c r="X2343" s="1696"/>
      <c r="Y2343" s="1696"/>
      <c r="Z2343" s="1773"/>
    </row>
    <row r="2344">
      <c r="A2344" s="1771"/>
      <c r="B2344" s="1777"/>
      <c r="C2344" s="1771"/>
      <c r="D2344" s="1771"/>
      <c r="E2344" s="1770"/>
      <c r="F2344" s="1771"/>
      <c r="G2344" s="1770"/>
      <c r="H2344" s="1771"/>
      <c r="I2344" s="1778"/>
      <c r="J2344" s="1771"/>
      <c r="K2344" s="1771"/>
      <c r="L2344" s="1771"/>
      <c r="M2344" s="1771"/>
      <c r="N2344" s="1771"/>
      <c r="O2344" s="1771"/>
      <c r="P2344" s="1771"/>
      <c r="Q2344" s="1766"/>
      <c r="R2344" s="1766"/>
      <c r="S2344" s="1696"/>
      <c r="T2344" s="1696"/>
      <c r="U2344" s="1772"/>
      <c r="V2344" s="1696"/>
      <c r="W2344" s="1772"/>
      <c r="X2344" s="1696"/>
      <c r="Y2344" s="1696"/>
      <c r="Z2344" s="1773"/>
    </row>
    <row r="2345">
      <c r="A2345" s="1771"/>
      <c r="B2345" s="1777"/>
      <c r="C2345" s="1771"/>
      <c r="D2345" s="1771"/>
      <c r="E2345" s="1770"/>
      <c r="F2345" s="1771"/>
      <c r="G2345" s="1770"/>
      <c r="H2345" s="1771"/>
      <c r="I2345" s="1778"/>
      <c r="J2345" s="1771"/>
      <c r="K2345" s="1771"/>
      <c r="L2345" s="1771"/>
      <c r="M2345" s="1771"/>
      <c r="N2345" s="1771"/>
      <c r="O2345" s="1771"/>
      <c r="P2345" s="1771"/>
      <c r="Q2345" s="1766"/>
      <c r="R2345" s="1766"/>
      <c r="S2345" s="1696"/>
      <c r="T2345" s="1696"/>
      <c r="U2345" s="1772"/>
      <c r="V2345" s="1696"/>
      <c r="W2345" s="1772"/>
      <c r="X2345" s="1696"/>
      <c r="Y2345" s="1696"/>
      <c r="Z2345" s="1773"/>
    </row>
    <row r="2346">
      <c r="A2346" s="1771"/>
      <c r="B2346" s="1777"/>
      <c r="C2346" s="1771"/>
      <c r="D2346" s="1771"/>
      <c r="E2346" s="1770"/>
      <c r="F2346" s="1771"/>
      <c r="G2346" s="1770"/>
      <c r="H2346" s="1771"/>
      <c r="I2346" s="1778"/>
      <c r="J2346" s="1771"/>
      <c r="K2346" s="1771"/>
      <c r="L2346" s="1771"/>
      <c r="M2346" s="1771"/>
      <c r="N2346" s="1779"/>
      <c r="O2346" s="1770"/>
      <c r="P2346" s="1771"/>
      <c r="Q2346" s="1766"/>
      <c r="R2346" s="1766"/>
      <c r="S2346" s="1696"/>
      <c r="T2346" s="1696"/>
      <c r="U2346" s="1772"/>
      <c r="V2346" s="1696"/>
      <c r="W2346" s="1772"/>
      <c r="X2346" s="1696"/>
      <c r="Y2346" s="1696"/>
      <c r="Z2346" s="1773"/>
    </row>
    <row r="2347">
      <c r="A2347" s="1771"/>
      <c r="B2347" s="1777"/>
      <c r="C2347" s="1771"/>
      <c r="D2347" s="1771"/>
      <c r="E2347" s="1770"/>
      <c r="F2347" s="1771"/>
      <c r="G2347" s="1770"/>
      <c r="H2347" s="1771"/>
      <c r="I2347" s="1778"/>
      <c r="J2347" s="1771"/>
      <c r="K2347" s="1771"/>
      <c r="L2347" s="1771"/>
      <c r="M2347" s="1771"/>
      <c r="N2347" s="1779"/>
      <c r="O2347" s="1770"/>
      <c r="P2347" s="1771"/>
      <c r="Q2347" s="1766"/>
      <c r="R2347" s="1766"/>
      <c r="S2347" s="1696"/>
      <c r="T2347" s="1696"/>
      <c r="U2347" s="1772"/>
      <c r="V2347" s="1696"/>
      <c r="W2347" s="1772"/>
      <c r="X2347" s="1696"/>
      <c r="Y2347" s="1696"/>
      <c r="Z2347" s="1773"/>
    </row>
    <row r="2348">
      <c r="A2348" s="1771"/>
      <c r="B2348" s="1777"/>
      <c r="C2348" s="1771"/>
      <c r="D2348" s="1771"/>
      <c r="E2348" s="1770"/>
      <c r="F2348" s="1771"/>
      <c r="G2348" s="1777"/>
      <c r="H2348" s="1771"/>
      <c r="I2348" s="1778"/>
      <c r="J2348" s="1771"/>
      <c r="K2348" s="1771"/>
      <c r="L2348" s="1771"/>
      <c r="M2348" s="1771"/>
      <c r="N2348" s="1779"/>
      <c r="O2348" s="1770"/>
      <c r="P2348" s="1771"/>
      <c r="Q2348" s="1766"/>
      <c r="R2348" s="1766"/>
      <c r="S2348" s="1696"/>
      <c r="T2348" s="1696"/>
      <c r="U2348" s="1772"/>
      <c r="V2348" s="1696"/>
      <c r="W2348" s="1772"/>
      <c r="X2348" s="1696"/>
      <c r="Y2348" s="1696"/>
      <c r="Z2348" s="1773"/>
    </row>
    <row r="2349">
      <c r="A2349" s="1771"/>
      <c r="B2349" s="1777"/>
      <c r="C2349" s="1771"/>
      <c r="D2349" s="1771"/>
      <c r="E2349" s="1770"/>
      <c r="F2349" s="1771"/>
      <c r="G2349" s="1771"/>
      <c r="H2349" s="1771"/>
      <c r="I2349" s="1778"/>
      <c r="J2349" s="1771"/>
      <c r="K2349" s="1771"/>
      <c r="L2349" s="1771"/>
      <c r="M2349" s="1771"/>
      <c r="N2349" s="1771"/>
      <c r="O2349" s="1771"/>
      <c r="P2349" s="1771"/>
      <c r="Q2349" s="1766"/>
      <c r="R2349" s="1766"/>
      <c r="S2349" s="1696"/>
      <c r="T2349" s="1696"/>
      <c r="U2349" s="1772"/>
      <c r="V2349" s="1696"/>
      <c r="W2349" s="1772"/>
      <c r="X2349" s="1696"/>
      <c r="Y2349" s="1696"/>
      <c r="Z2349" s="1773"/>
    </row>
    <row r="2350">
      <c r="A2350" s="1771"/>
      <c r="B2350" s="1777"/>
      <c r="C2350" s="1771"/>
      <c r="D2350" s="1771"/>
      <c r="E2350" s="1770"/>
      <c r="F2350" s="1771"/>
      <c r="G2350" s="1770"/>
      <c r="H2350" s="1771"/>
      <c r="I2350" s="1778"/>
      <c r="J2350" s="1771"/>
      <c r="K2350" s="1771"/>
      <c r="L2350" s="1771"/>
      <c r="M2350" s="1771"/>
      <c r="N2350" s="1779"/>
      <c r="O2350" s="1770"/>
      <c r="P2350" s="1771"/>
      <c r="Q2350" s="1766"/>
      <c r="R2350" s="1766"/>
      <c r="S2350" s="1696"/>
      <c r="T2350" s="1696"/>
      <c r="U2350" s="1772"/>
      <c r="V2350" s="1696"/>
      <c r="W2350" s="1772"/>
      <c r="X2350" s="1696"/>
      <c r="Y2350" s="1696"/>
      <c r="Z2350" s="1773"/>
    </row>
    <row r="2351">
      <c r="A2351" s="1771"/>
      <c r="B2351" s="1777"/>
      <c r="C2351" s="1771"/>
      <c r="D2351" s="1771"/>
      <c r="E2351" s="1770"/>
      <c r="F2351" s="1771"/>
      <c r="G2351" s="1770"/>
      <c r="H2351" s="1771"/>
      <c r="I2351" s="1778"/>
      <c r="J2351" s="1771"/>
      <c r="K2351" s="1771"/>
      <c r="L2351" s="1771"/>
      <c r="M2351" s="1771"/>
      <c r="N2351" s="1771"/>
      <c r="O2351" s="1771"/>
      <c r="P2351" s="1771"/>
      <c r="Q2351" s="1766"/>
      <c r="R2351" s="1766"/>
      <c r="S2351" s="1696"/>
      <c r="T2351" s="1696"/>
      <c r="U2351" s="1772"/>
      <c r="V2351" s="1696"/>
      <c r="W2351" s="1772"/>
      <c r="X2351" s="1696"/>
      <c r="Y2351" s="1696"/>
      <c r="Z2351" s="1773"/>
    </row>
    <row r="2352">
      <c r="A2352" s="1771"/>
      <c r="B2352" s="1777"/>
      <c r="C2352" s="1771"/>
      <c r="D2352" s="1771"/>
      <c r="E2352" s="1770"/>
      <c r="F2352" s="1771"/>
      <c r="G2352" s="1770"/>
      <c r="H2352" s="1771"/>
      <c r="I2352" s="1778"/>
      <c r="J2352" s="1771"/>
      <c r="K2352" s="1771"/>
      <c r="L2352" s="1771"/>
      <c r="M2352" s="1771"/>
      <c r="N2352" s="1779"/>
      <c r="O2352" s="1770"/>
      <c r="P2352" s="1771"/>
      <c r="Q2352" s="1766"/>
      <c r="R2352" s="1766"/>
      <c r="S2352" s="1696"/>
      <c r="T2352" s="1696"/>
      <c r="U2352" s="1772"/>
      <c r="V2352" s="1696"/>
      <c r="W2352" s="1772"/>
      <c r="X2352" s="1696"/>
      <c r="Y2352" s="1696"/>
      <c r="Z2352" s="1773"/>
    </row>
    <row r="2353">
      <c r="A2353" s="1771"/>
      <c r="B2353" s="1777"/>
      <c r="C2353" s="1771"/>
      <c r="D2353" s="1771"/>
      <c r="E2353" s="1770"/>
      <c r="F2353" s="1771"/>
      <c r="G2353" s="1770"/>
      <c r="H2353" s="1771"/>
      <c r="I2353" s="1778"/>
      <c r="J2353" s="1771"/>
      <c r="K2353" s="1771"/>
      <c r="L2353" s="1771"/>
      <c r="M2353" s="1771"/>
      <c r="N2353" s="1771"/>
      <c r="O2353" s="1771"/>
      <c r="P2353" s="1771"/>
      <c r="Q2353" s="1766"/>
      <c r="R2353" s="1766"/>
      <c r="S2353" s="1696"/>
      <c r="T2353" s="1696"/>
      <c r="U2353" s="1772"/>
      <c r="V2353" s="1696"/>
      <c r="W2353" s="1772"/>
      <c r="X2353" s="1696"/>
      <c r="Y2353" s="1696"/>
      <c r="Z2353" s="1773"/>
    </row>
    <row r="2354">
      <c r="A2354" s="1771"/>
      <c r="B2354" s="1777"/>
      <c r="C2354" s="1771"/>
      <c r="D2354" s="1771"/>
      <c r="E2354" s="1770"/>
      <c r="F2354" s="1771"/>
      <c r="G2354" s="1770"/>
      <c r="H2354" s="1771"/>
      <c r="I2354" s="1770"/>
      <c r="J2354" s="1771"/>
      <c r="K2354" s="1771"/>
      <c r="L2354" s="1771"/>
      <c r="M2354" s="1771"/>
      <c r="N2354" s="1779"/>
      <c r="O2354" s="1770"/>
      <c r="P2354" s="1771"/>
      <c r="Q2354" s="1766"/>
      <c r="R2354" s="1766"/>
      <c r="S2354" s="1696"/>
      <c r="T2354" s="1696"/>
      <c r="U2354" s="1772"/>
      <c r="V2354" s="1696"/>
      <c r="W2354" s="1772"/>
      <c r="X2354" s="1696"/>
      <c r="Y2354" s="1696"/>
      <c r="Z2354" s="1773"/>
    </row>
    <row r="2355">
      <c r="A2355" s="1771"/>
      <c r="B2355" s="1777"/>
      <c r="C2355" s="1771"/>
      <c r="D2355" s="1771"/>
      <c r="E2355" s="1770"/>
      <c r="F2355" s="1771"/>
      <c r="G2355" s="1777"/>
      <c r="H2355" s="1771"/>
      <c r="I2355" s="1778"/>
      <c r="J2355" s="1771"/>
      <c r="K2355" s="1771"/>
      <c r="L2355" s="1771"/>
      <c r="M2355" s="1771"/>
      <c r="N2355" s="1779"/>
      <c r="O2355" s="1770"/>
      <c r="P2355" s="1771"/>
      <c r="Q2355" s="1766"/>
      <c r="R2355" s="1766"/>
      <c r="S2355" s="1696"/>
      <c r="T2355" s="1696"/>
      <c r="U2355" s="1772"/>
      <c r="V2355" s="1696"/>
      <c r="W2355" s="1772"/>
      <c r="X2355" s="1696"/>
      <c r="Y2355" s="1696"/>
      <c r="Z2355" s="1773"/>
    </row>
    <row r="2356">
      <c r="A2356" s="1771"/>
      <c r="B2356" s="1777"/>
      <c r="C2356" s="1771"/>
      <c r="D2356" s="1771"/>
      <c r="E2356" s="1770"/>
      <c r="F2356" s="1771"/>
      <c r="G2356" s="1770"/>
      <c r="H2356" s="1771"/>
      <c r="I2356" s="1778"/>
      <c r="J2356" s="1771"/>
      <c r="K2356" s="1771"/>
      <c r="L2356" s="1771"/>
      <c r="M2356" s="1771"/>
      <c r="N2356" s="1779"/>
      <c r="O2356" s="1770"/>
      <c r="P2356" s="1771"/>
      <c r="Q2356" s="1766"/>
      <c r="R2356" s="1766"/>
      <c r="S2356" s="1696"/>
      <c r="T2356" s="1696"/>
      <c r="U2356" s="1772"/>
      <c r="V2356" s="1696"/>
      <c r="W2356" s="1772"/>
      <c r="X2356" s="1696"/>
      <c r="Y2356" s="1696"/>
      <c r="Z2356" s="1773"/>
    </row>
    <row r="2357">
      <c r="A2357" s="1771"/>
      <c r="B2357" s="1777"/>
      <c r="C2357" s="1771"/>
      <c r="D2357" s="1771"/>
      <c r="E2357" s="1770"/>
      <c r="F2357" s="1771"/>
      <c r="G2357" s="1770"/>
      <c r="H2357" s="1771"/>
      <c r="I2357" s="1770"/>
      <c r="J2357" s="1771"/>
      <c r="K2357" s="1771"/>
      <c r="L2357" s="1771"/>
      <c r="M2357" s="1771"/>
      <c r="N2357" s="1771"/>
      <c r="O2357" s="1771"/>
      <c r="P2357" s="1771"/>
      <c r="Q2357" s="1766"/>
      <c r="R2357" s="1766"/>
      <c r="S2357" s="1696"/>
      <c r="T2357" s="1696"/>
      <c r="U2357" s="1772"/>
      <c r="V2357" s="1696"/>
      <c r="W2357" s="1772"/>
      <c r="X2357" s="1696"/>
      <c r="Y2357" s="1696"/>
      <c r="Z2357" s="1773"/>
    </row>
    <row r="2358">
      <c r="A2358" s="1771"/>
      <c r="B2358" s="1777"/>
      <c r="C2358" s="1771"/>
      <c r="D2358" s="1771"/>
      <c r="E2358" s="1770"/>
      <c r="F2358" s="1771"/>
      <c r="G2358" s="1770"/>
      <c r="H2358" s="1771"/>
      <c r="I2358" s="1778"/>
      <c r="J2358" s="1771"/>
      <c r="K2358" s="1771"/>
      <c r="L2358" s="1771"/>
      <c r="M2358" s="1771"/>
      <c r="N2358" s="1771"/>
      <c r="O2358" s="1771"/>
      <c r="P2358" s="1771"/>
      <c r="Q2358" s="1766"/>
      <c r="R2358" s="1766"/>
      <c r="S2358" s="1696"/>
      <c r="T2358" s="1696"/>
      <c r="U2358" s="1772"/>
      <c r="V2358" s="1696"/>
      <c r="W2358" s="1772"/>
      <c r="X2358" s="1696"/>
      <c r="Y2358" s="1696"/>
      <c r="Z2358" s="1773"/>
    </row>
    <row r="2359">
      <c r="A2359" s="1771"/>
      <c r="B2359" s="1777"/>
      <c r="C2359" s="1771"/>
      <c r="D2359" s="1771"/>
      <c r="E2359" s="1770"/>
      <c r="F2359" s="1771"/>
      <c r="G2359" s="1777"/>
      <c r="H2359" s="1771"/>
      <c r="I2359" s="1778"/>
      <c r="J2359" s="1771"/>
      <c r="K2359" s="1771"/>
      <c r="L2359" s="1771"/>
      <c r="M2359" s="1771"/>
      <c r="N2359" s="1771"/>
      <c r="O2359" s="1771"/>
      <c r="P2359" s="1771"/>
      <c r="Q2359" s="1766"/>
      <c r="R2359" s="1766"/>
      <c r="S2359" s="1696"/>
      <c r="T2359" s="1696"/>
      <c r="U2359" s="1772"/>
      <c r="V2359" s="1696"/>
      <c r="W2359" s="1772"/>
      <c r="X2359" s="1696"/>
      <c r="Y2359" s="1696"/>
      <c r="Z2359" s="1773"/>
    </row>
    <row r="2360">
      <c r="A2360" s="1771"/>
      <c r="B2360" s="1777"/>
      <c r="C2360" s="1771"/>
      <c r="D2360" s="1771"/>
      <c r="E2360" s="1770"/>
      <c r="F2360" s="1771"/>
      <c r="G2360" s="1771"/>
      <c r="H2360" s="1771"/>
      <c r="I2360" s="1778"/>
      <c r="J2360" s="1771"/>
      <c r="K2360" s="1771"/>
      <c r="L2360" s="1771"/>
      <c r="M2360" s="1771"/>
      <c r="N2360" s="1771"/>
      <c r="O2360" s="1771"/>
      <c r="P2360" s="1771"/>
      <c r="Q2360" s="1766"/>
      <c r="R2360" s="1766"/>
      <c r="S2360" s="1696"/>
      <c r="T2360" s="1696"/>
      <c r="U2360" s="1772"/>
      <c r="V2360" s="1696"/>
      <c r="W2360" s="1772"/>
      <c r="X2360" s="1696"/>
      <c r="Y2360" s="1696"/>
      <c r="Z2360" s="1773"/>
    </row>
    <row r="2361">
      <c r="A2361" s="1771"/>
      <c r="B2361" s="1777"/>
      <c r="C2361" s="1771"/>
      <c r="D2361" s="1771"/>
      <c r="E2361" s="1770"/>
      <c r="F2361" s="1771"/>
      <c r="G2361" s="1770"/>
      <c r="H2361" s="1771"/>
      <c r="I2361" s="1778"/>
      <c r="J2361" s="1771"/>
      <c r="K2361" s="1771"/>
      <c r="L2361" s="1771"/>
      <c r="M2361" s="1771"/>
      <c r="N2361" s="1771"/>
      <c r="O2361" s="1771"/>
      <c r="P2361" s="1771"/>
      <c r="Q2361" s="1766"/>
      <c r="R2361" s="1766"/>
      <c r="S2361" s="1696"/>
      <c r="T2361" s="1696"/>
      <c r="U2361" s="1772"/>
      <c r="V2361" s="1696"/>
      <c r="W2361" s="1772"/>
      <c r="X2361" s="1696"/>
      <c r="Y2361" s="1696"/>
      <c r="Z2361" s="1773"/>
    </row>
    <row r="2362">
      <c r="A2362" s="1771"/>
      <c r="B2362" s="1777"/>
      <c r="C2362" s="1771"/>
      <c r="D2362" s="1771"/>
      <c r="E2362" s="1770"/>
      <c r="F2362" s="1771"/>
      <c r="G2362" s="1770"/>
      <c r="H2362" s="1771"/>
      <c r="I2362" s="1778"/>
      <c r="J2362" s="1771"/>
      <c r="K2362" s="1771"/>
      <c r="L2362" s="1771"/>
      <c r="M2362" s="1771"/>
      <c r="N2362" s="1771"/>
      <c r="O2362" s="1771"/>
      <c r="P2362" s="1771"/>
      <c r="Q2362" s="1766"/>
      <c r="R2362" s="1766"/>
      <c r="S2362" s="1696"/>
      <c r="T2362" s="1696"/>
      <c r="U2362" s="1772"/>
      <c r="V2362" s="1696"/>
      <c r="W2362" s="1772"/>
      <c r="X2362" s="1696"/>
      <c r="Y2362" s="1696"/>
      <c r="Z2362" s="1773"/>
    </row>
    <row r="2363">
      <c r="A2363" s="1771"/>
      <c r="B2363" s="1777"/>
      <c r="C2363" s="1771"/>
      <c r="D2363" s="1771"/>
      <c r="E2363" s="1770"/>
      <c r="F2363" s="1771"/>
      <c r="G2363" s="1771"/>
      <c r="H2363" s="1771"/>
      <c r="I2363" s="1778"/>
      <c r="J2363" s="1771"/>
      <c r="K2363" s="1771"/>
      <c r="L2363" s="1771"/>
      <c r="M2363" s="1771"/>
      <c r="N2363" s="1771"/>
      <c r="O2363" s="1771"/>
      <c r="P2363" s="1771"/>
      <c r="Q2363" s="1766"/>
      <c r="R2363" s="1766"/>
      <c r="S2363" s="1696"/>
      <c r="T2363" s="1696"/>
      <c r="U2363" s="1772"/>
      <c r="V2363" s="1696"/>
      <c r="W2363" s="1772"/>
      <c r="X2363" s="1696"/>
      <c r="Y2363" s="1696"/>
      <c r="Z2363" s="1773"/>
    </row>
    <row r="2364">
      <c r="A2364" s="1771"/>
      <c r="B2364" s="1777"/>
      <c r="C2364" s="1771"/>
      <c r="D2364" s="1771"/>
      <c r="E2364" s="1770"/>
      <c r="F2364" s="1771"/>
      <c r="G2364" s="1770"/>
      <c r="H2364" s="1771"/>
      <c r="I2364" s="1778"/>
      <c r="J2364" s="1771"/>
      <c r="K2364" s="1771"/>
      <c r="L2364" s="1771"/>
      <c r="M2364" s="1771"/>
      <c r="N2364" s="1779"/>
      <c r="O2364" s="1770"/>
      <c r="P2364" s="1771"/>
      <c r="Q2364" s="1766"/>
      <c r="R2364" s="1766"/>
      <c r="S2364" s="1696"/>
      <c r="T2364" s="1696"/>
      <c r="U2364" s="1772"/>
      <c r="V2364" s="1696"/>
      <c r="W2364" s="1772"/>
      <c r="X2364" s="1696"/>
      <c r="Y2364" s="1696"/>
      <c r="Z2364" s="1773"/>
    </row>
    <row r="2365">
      <c r="A2365" s="1771"/>
      <c r="B2365" s="1777"/>
      <c r="C2365" s="1771"/>
      <c r="D2365" s="1771"/>
      <c r="E2365" s="1770"/>
      <c r="F2365" s="1771"/>
      <c r="G2365" s="1770"/>
      <c r="H2365" s="1771"/>
      <c r="I2365" s="1770"/>
      <c r="J2365" s="1771"/>
      <c r="K2365" s="1771"/>
      <c r="L2365" s="1771"/>
      <c r="M2365" s="1771"/>
      <c r="N2365" s="1779"/>
      <c r="O2365" s="1770"/>
      <c r="P2365" s="1771"/>
      <c r="Q2365" s="1766"/>
      <c r="R2365" s="1766"/>
      <c r="S2365" s="1696"/>
      <c r="T2365" s="1696"/>
      <c r="U2365" s="1772"/>
      <c r="V2365" s="1696"/>
      <c r="W2365" s="1772"/>
      <c r="X2365" s="1696"/>
      <c r="Y2365" s="1696"/>
      <c r="Z2365" s="1773"/>
    </row>
    <row r="2366">
      <c r="A2366" s="1771"/>
      <c r="B2366" s="1777"/>
      <c r="C2366" s="1771"/>
      <c r="D2366" s="1771"/>
      <c r="E2366" s="1770"/>
      <c r="F2366" s="1771"/>
      <c r="G2366" s="1771"/>
      <c r="H2366" s="1771"/>
      <c r="I2366" s="1778"/>
      <c r="J2366" s="1771"/>
      <c r="K2366" s="1771"/>
      <c r="L2366" s="1771"/>
      <c r="M2366" s="1771"/>
      <c r="N2366" s="1771"/>
      <c r="O2366" s="1771"/>
      <c r="P2366" s="1771"/>
      <c r="Q2366" s="1766"/>
      <c r="R2366" s="1766"/>
      <c r="S2366" s="1696"/>
      <c r="T2366" s="1696"/>
      <c r="U2366" s="1772"/>
      <c r="V2366" s="1696"/>
      <c r="W2366" s="1772"/>
      <c r="X2366" s="1696"/>
      <c r="Y2366" s="1696"/>
      <c r="Z2366" s="1773"/>
    </row>
    <row r="2367">
      <c r="A2367" s="1771"/>
      <c r="B2367" s="1777"/>
      <c r="C2367" s="1771"/>
      <c r="D2367" s="1771"/>
      <c r="E2367" s="1770"/>
      <c r="F2367" s="1771"/>
      <c r="G2367" s="1770"/>
      <c r="H2367" s="1771"/>
      <c r="I2367" s="1778"/>
      <c r="J2367" s="1771"/>
      <c r="K2367" s="1771"/>
      <c r="L2367" s="1771"/>
      <c r="M2367" s="1771"/>
      <c r="N2367" s="1779"/>
      <c r="O2367" s="1770"/>
      <c r="P2367" s="1771"/>
      <c r="Q2367" s="1766"/>
      <c r="R2367" s="1766"/>
      <c r="S2367" s="1696"/>
      <c r="T2367" s="1696"/>
      <c r="U2367" s="1772"/>
      <c r="V2367" s="1696"/>
      <c r="W2367" s="1772"/>
      <c r="X2367" s="1696"/>
      <c r="Y2367" s="1696"/>
      <c r="Z2367" s="1773"/>
    </row>
    <row r="2368">
      <c r="A2368" s="1771"/>
      <c r="B2368" s="1777"/>
      <c r="C2368" s="1771"/>
      <c r="D2368" s="1771"/>
      <c r="E2368" s="1770"/>
      <c r="F2368" s="1771"/>
      <c r="G2368" s="1770"/>
      <c r="H2368" s="1771"/>
      <c r="I2368" s="1778"/>
      <c r="J2368" s="1771"/>
      <c r="K2368" s="1771"/>
      <c r="L2368" s="1771"/>
      <c r="M2368" s="1771"/>
      <c r="N2368" s="1779"/>
      <c r="O2368" s="1770"/>
      <c r="P2368" s="1771"/>
      <c r="Q2368" s="1766"/>
      <c r="R2368" s="1766"/>
      <c r="S2368" s="1696"/>
      <c r="T2368" s="1696"/>
      <c r="U2368" s="1772"/>
      <c r="V2368" s="1696"/>
      <c r="W2368" s="1772"/>
      <c r="X2368" s="1696"/>
      <c r="Y2368" s="1696"/>
      <c r="Z2368" s="1773"/>
    </row>
    <row r="2369">
      <c r="A2369" s="1771"/>
      <c r="B2369" s="1777"/>
      <c r="C2369" s="1771"/>
      <c r="D2369" s="1771"/>
      <c r="E2369" s="1770"/>
      <c r="F2369" s="1771"/>
      <c r="G2369" s="1770"/>
      <c r="H2369" s="1771"/>
      <c r="I2369" s="1778"/>
      <c r="J2369" s="1771"/>
      <c r="K2369" s="1771"/>
      <c r="L2369" s="1771"/>
      <c r="M2369" s="1771"/>
      <c r="N2369" s="1771"/>
      <c r="O2369" s="1771"/>
      <c r="P2369" s="1771"/>
      <c r="Q2369" s="1766"/>
      <c r="R2369" s="1766"/>
      <c r="S2369" s="1696"/>
      <c r="T2369" s="1696"/>
      <c r="U2369" s="1772"/>
      <c r="V2369" s="1696"/>
      <c r="W2369" s="1772"/>
      <c r="X2369" s="1696"/>
      <c r="Y2369" s="1696"/>
      <c r="Z2369" s="1773"/>
    </row>
    <row r="2370">
      <c r="A2370" s="1771"/>
      <c r="B2370" s="1777"/>
      <c r="C2370" s="1771"/>
      <c r="D2370" s="1771"/>
      <c r="E2370" s="1770"/>
      <c r="F2370" s="1771"/>
      <c r="G2370" s="1770"/>
      <c r="H2370" s="1771"/>
      <c r="I2370" s="1778"/>
      <c r="J2370" s="1771"/>
      <c r="K2370" s="1771"/>
      <c r="L2370" s="1771"/>
      <c r="M2370" s="1771"/>
      <c r="N2370" s="1771"/>
      <c r="O2370" s="1771"/>
      <c r="P2370" s="1771"/>
      <c r="Q2370" s="1766"/>
      <c r="R2370" s="1766"/>
      <c r="S2370" s="1696"/>
      <c r="T2370" s="1696"/>
      <c r="U2370" s="1772"/>
      <c r="V2370" s="1696"/>
      <c r="W2370" s="1772"/>
      <c r="X2370" s="1696"/>
      <c r="Y2370" s="1696"/>
      <c r="Z2370" s="1773"/>
    </row>
    <row r="2371">
      <c r="A2371" s="1771"/>
      <c r="B2371" s="1777"/>
      <c r="C2371" s="1771"/>
      <c r="D2371" s="1771"/>
      <c r="E2371" s="1770"/>
      <c r="F2371" s="1771"/>
      <c r="G2371" s="1770"/>
      <c r="H2371" s="1771"/>
      <c r="I2371" s="1770"/>
      <c r="J2371" s="1771"/>
      <c r="K2371" s="1771"/>
      <c r="L2371" s="1771"/>
      <c r="M2371" s="1771"/>
      <c r="N2371" s="1771"/>
      <c r="O2371" s="1771"/>
      <c r="P2371" s="1771"/>
      <c r="Q2371" s="1766"/>
      <c r="R2371" s="1766"/>
      <c r="S2371" s="1696"/>
      <c r="T2371" s="1696"/>
      <c r="U2371" s="1772"/>
      <c r="V2371" s="1696"/>
      <c r="W2371" s="1772"/>
      <c r="X2371" s="1696"/>
      <c r="Y2371" s="1696"/>
      <c r="Z2371" s="1773"/>
    </row>
    <row r="2372">
      <c r="A2372" s="1771"/>
      <c r="B2372" s="1777"/>
      <c r="C2372" s="1771"/>
      <c r="D2372" s="1771"/>
      <c r="E2372" s="1770"/>
      <c r="F2372" s="1771"/>
      <c r="G2372" s="1770"/>
      <c r="H2372" s="1771"/>
      <c r="I2372" s="1778"/>
      <c r="J2372" s="1771"/>
      <c r="K2372" s="1771"/>
      <c r="L2372" s="1771"/>
      <c r="M2372" s="1771"/>
      <c r="N2372" s="1771"/>
      <c r="O2372" s="1771"/>
      <c r="P2372" s="1771"/>
      <c r="Q2372" s="1766"/>
      <c r="R2372" s="1766"/>
      <c r="S2372" s="1696"/>
      <c r="T2372" s="1696"/>
      <c r="U2372" s="1772"/>
      <c r="V2372" s="1696"/>
      <c r="W2372" s="1772"/>
      <c r="X2372" s="1696"/>
      <c r="Y2372" s="1696"/>
      <c r="Z2372" s="1773"/>
    </row>
    <row r="2373">
      <c r="A2373" s="1771"/>
      <c r="B2373" s="1777"/>
      <c r="C2373" s="1771"/>
      <c r="D2373" s="1771"/>
      <c r="E2373" s="1770"/>
      <c r="F2373" s="1771"/>
      <c r="G2373" s="1770"/>
      <c r="H2373" s="1771"/>
      <c r="I2373" s="1778"/>
      <c r="J2373" s="1771"/>
      <c r="K2373" s="1771"/>
      <c r="L2373" s="1771"/>
      <c r="M2373" s="1771"/>
      <c r="N2373" s="1771"/>
      <c r="O2373" s="1771"/>
      <c r="P2373" s="1771"/>
      <c r="Q2373" s="1766"/>
      <c r="R2373" s="1766"/>
      <c r="S2373" s="1696"/>
      <c r="T2373" s="1696"/>
      <c r="U2373" s="1772"/>
      <c r="V2373" s="1696"/>
      <c r="W2373" s="1772"/>
      <c r="X2373" s="1696"/>
      <c r="Y2373" s="1696"/>
      <c r="Z2373" s="1773"/>
    </row>
    <row r="2374">
      <c r="A2374" s="1771"/>
      <c r="B2374" s="1777"/>
      <c r="C2374" s="1771"/>
      <c r="D2374" s="1771"/>
      <c r="E2374" s="1770"/>
      <c r="F2374" s="1771"/>
      <c r="G2374" s="1771"/>
      <c r="H2374" s="1771"/>
      <c r="I2374" s="1778"/>
      <c r="J2374" s="1771"/>
      <c r="K2374" s="1771"/>
      <c r="L2374" s="1771"/>
      <c r="M2374" s="1771"/>
      <c r="N2374" s="1771"/>
      <c r="O2374" s="1771"/>
      <c r="P2374" s="1771"/>
      <c r="Q2374" s="1766"/>
      <c r="R2374" s="1766"/>
      <c r="S2374" s="1696"/>
      <c r="T2374" s="1696"/>
      <c r="U2374" s="1772"/>
      <c r="V2374" s="1696"/>
      <c r="W2374" s="1772"/>
      <c r="X2374" s="1696"/>
      <c r="Y2374" s="1696"/>
      <c r="Z2374" s="1773"/>
    </row>
    <row r="2375">
      <c r="A2375" s="1771"/>
      <c r="B2375" s="1777"/>
      <c r="C2375" s="1771"/>
      <c r="D2375" s="1771"/>
      <c r="E2375" s="1770"/>
      <c r="F2375" s="1771"/>
      <c r="G2375" s="1771"/>
      <c r="H2375" s="1771"/>
      <c r="I2375" s="1778"/>
      <c r="J2375" s="1771"/>
      <c r="K2375" s="1771"/>
      <c r="L2375" s="1771"/>
      <c r="M2375" s="1771"/>
      <c r="N2375" s="1771"/>
      <c r="O2375" s="1771"/>
      <c r="P2375" s="1771"/>
      <c r="Q2375" s="1766"/>
      <c r="R2375" s="1766"/>
      <c r="S2375" s="1696"/>
      <c r="T2375" s="1696"/>
      <c r="U2375" s="1772"/>
      <c r="V2375" s="1696"/>
      <c r="W2375" s="1772"/>
      <c r="X2375" s="1696"/>
      <c r="Y2375" s="1696"/>
      <c r="Z2375" s="1773"/>
    </row>
    <row r="2376">
      <c r="A2376" s="1771"/>
      <c r="B2376" s="1777"/>
      <c r="C2376" s="1771"/>
      <c r="D2376" s="1771"/>
      <c r="E2376" s="1770"/>
      <c r="F2376" s="1771"/>
      <c r="G2376" s="1770"/>
      <c r="H2376" s="1771"/>
      <c r="I2376" s="1778"/>
      <c r="J2376" s="1771"/>
      <c r="K2376" s="1771"/>
      <c r="L2376" s="1771"/>
      <c r="M2376" s="1771"/>
      <c r="N2376" s="1771"/>
      <c r="O2376" s="1771"/>
      <c r="P2376" s="1771"/>
      <c r="Q2376" s="1766"/>
      <c r="R2376" s="1766"/>
      <c r="S2376" s="1696"/>
      <c r="T2376" s="1696"/>
      <c r="U2376" s="1772"/>
      <c r="V2376" s="1696"/>
      <c r="W2376" s="1772"/>
      <c r="X2376" s="1696"/>
      <c r="Y2376" s="1696"/>
      <c r="Z2376" s="1773"/>
    </row>
    <row r="2377">
      <c r="A2377" s="1771"/>
      <c r="B2377" s="1777"/>
      <c r="C2377" s="1771"/>
      <c r="D2377" s="1771"/>
      <c r="E2377" s="1770"/>
      <c r="F2377" s="1771"/>
      <c r="G2377" s="1777"/>
      <c r="H2377" s="1771"/>
      <c r="I2377" s="1778"/>
      <c r="J2377" s="1771"/>
      <c r="K2377" s="1771"/>
      <c r="L2377" s="1771"/>
      <c r="M2377" s="1771"/>
      <c r="N2377" s="1771"/>
      <c r="O2377" s="1771"/>
      <c r="P2377" s="1771"/>
      <c r="Q2377" s="1766"/>
      <c r="R2377" s="1766"/>
      <c r="S2377" s="1696"/>
      <c r="T2377" s="1696"/>
      <c r="U2377" s="1772"/>
      <c r="V2377" s="1696"/>
      <c r="W2377" s="1772"/>
      <c r="X2377" s="1696"/>
      <c r="Y2377" s="1696"/>
      <c r="Z2377" s="1773"/>
    </row>
    <row r="2378">
      <c r="A2378" s="1771"/>
      <c r="B2378" s="1777"/>
      <c r="C2378" s="1771"/>
      <c r="D2378" s="1771"/>
      <c r="E2378" s="1770"/>
      <c r="F2378" s="1771"/>
      <c r="G2378" s="1771"/>
      <c r="H2378" s="1771"/>
      <c r="I2378" s="1778"/>
      <c r="J2378" s="1771"/>
      <c r="K2378" s="1771"/>
      <c r="L2378" s="1771"/>
      <c r="M2378" s="1771"/>
      <c r="N2378" s="1771"/>
      <c r="O2378" s="1771"/>
      <c r="P2378" s="1771"/>
      <c r="Q2378" s="1766"/>
      <c r="R2378" s="1766"/>
      <c r="S2378" s="1696"/>
      <c r="T2378" s="1696"/>
      <c r="U2378" s="1772"/>
      <c r="V2378" s="1696"/>
      <c r="W2378" s="1772"/>
      <c r="X2378" s="1696"/>
      <c r="Y2378" s="1696"/>
      <c r="Z2378" s="1773"/>
    </row>
    <row r="2379">
      <c r="A2379" s="1771"/>
      <c r="B2379" s="1777"/>
      <c r="C2379" s="1771"/>
      <c r="D2379" s="1771"/>
      <c r="E2379" s="1770"/>
      <c r="F2379" s="1771"/>
      <c r="G2379" s="1777"/>
      <c r="H2379" s="1771"/>
      <c r="I2379" s="1778"/>
      <c r="J2379" s="1771"/>
      <c r="K2379" s="1771"/>
      <c r="L2379" s="1771"/>
      <c r="M2379" s="1771"/>
      <c r="N2379" s="1771"/>
      <c r="O2379" s="1771"/>
      <c r="P2379" s="1771"/>
      <c r="Q2379" s="1766"/>
      <c r="R2379" s="1766"/>
      <c r="S2379" s="1696"/>
      <c r="T2379" s="1696"/>
      <c r="U2379" s="1772"/>
      <c r="V2379" s="1696"/>
      <c r="W2379" s="1772"/>
      <c r="X2379" s="1696"/>
      <c r="Y2379" s="1696"/>
      <c r="Z2379" s="1773"/>
    </row>
    <row r="2380">
      <c r="A2380" s="1771"/>
      <c r="B2380" s="1777"/>
      <c r="C2380" s="1771"/>
      <c r="D2380" s="1771"/>
      <c r="E2380" s="1770"/>
      <c r="F2380" s="1771"/>
      <c r="G2380" s="1771"/>
      <c r="H2380" s="1771"/>
      <c r="I2380" s="1778"/>
      <c r="J2380" s="1771"/>
      <c r="K2380" s="1771"/>
      <c r="L2380" s="1771"/>
      <c r="M2380" s="1771"/>
      <c r="N2380" s="1771"/>
      <c r="O2380" s="1771"/>
      <c r="P2380" s="1771"/>
      <c r="Q2380" s="1766"/>
      <c r="R2380" s="1766"/>
      <c r="S2380" s="1696"/>
      <c r="T2380" s="1696"/>
      <c r="U2380" s="1772"/>
      <c r="V2380" s="1696"/>
      <c r="W2380" s="1772"/>
      <c r="X2380" s="1696"/>
      <c r="Y2380" s="1696"/>
      <c r="Z2380" s="1773"/>
    </row>
    <row r="2381">
      <c r="A2381" s="1771"/>
      <c r="B2381" s="1777"/>
      <c r="C2381" s="1771"/>
      <c r="D2381" s="1771"/>
      <c r="E2381" s="1770"/>
      <c r="F2381" s="1771"/>
      <c r="G2381" s="1771"/>
      <c r="H2381" s="1771"/>
      <c r="I2381" s="1778"/>
      <c r="J2381" s="1771"/>
      <c r="K2381" s="1771"/>
      <c r="L2381" s="1771"/>
      <c r="M2381" s="1771"/>
      <c r="N2381" s="1771"/>
      <c r="O2381" s="1771"/>
      <c r="P2381" s="1771"/>
      <c r="Q2381" s="1766"/>
      <c r="R2381" s="1766"/>
      <c r="S2381" s="1696"/>
      <c r="T2381" s="1696"/>
      <c r="U2381" s="1772"/>
      <c r="V2381" s="1696"/>
      <c r="W2381" s="1772"/>
      <c r="X2381" s="1696"/>
      <c r="Y2381" s="1696"/>
      <c r="Z2381" s="1773"/>
    </row>
    <row r="2382">
      <c r="A2382" s="1771"/>
      <c r="B2382" s="1777"/>
      <c r="C2382" s="1771"/>
      <c r="D2382" s="1771"/>
      <c r="E2382" s="1770"/>
      <c r="F2382" s="1771"/>
      <c r="G2382" s="1771"/>
      <c r="H2382" s="1771"/>
      <c r="I2382" s="1778"/>
      <c r="J2382" s="1771"/>
      <c r="K2382" s="1771"/>
      <c r="L2382" s="1771"/>
      <c r="M2382" s="1771"/>
      <c r="N2382" s="1771"/>
      <c r="O2382" s="1771"/>
      <c r="P2382" s="1771"/>
      <c r="Q2382" s="1766"/>
      <c r="R2382" s="1766"/>
      <c r="S2382" s="1696"/>
      <c r="T2382" s="1696"/>
      <c r="U2382" s="1772"/>
      <c r="V2382" s="1696"/>
      <c r="W2382" s="1772"/>
      <c r="X2382" s="1696"/>
      <c r="Y2382" s="1696"/>
      <c r="Z2382" s="1773"/>
    </row>
    <row r="2383">
      <c r="A2383" s="1771"/>
      <c r="B2383" s="1777"/>
      <c r="C2383" s="1771"/>
      <c r="D2383" s="1771"/>
      <c r="E2383" s="1770"/>
      <c r="F2383" s="1771"/>
      <c r="G2383" s="1770"/>
      <c r="H2383" s="1771"/>
      <c r="I2383" s="1778"/>
      <c r="J2383" s="1771"/>
      <c r="K2383" s="1771"/>
      <c r="L2383" s="1771"/>
      <c r="M2383" s="1771"/>
      <c r="N2383" s="1771"/>
      <c r="O2383" s="1771"/>
      <c r="P2383" s="1771"/>
      <c r="Q2383" s="1766"/>
      <c r="R2383" s="1766"/>
      <c r="S2383" s="1696"/>
      <c r="T2383" s="1696"/>
      <c r="U2383" s="1772"/>
      <c r="V2383" s="1696"/>
      <c r="W2383" s="1772"/>
      <c r="X2383" s="1696"/>
      <c r="Y2383" s="1696"/>
      <c r="Z2383" s="1773"/>
    </row>
    <row r="2384">
      <c r="A2384" s="1771"/>
      <c r="B2384" s="1777"/>
      <c r="C2384" s="1771"/>
      <c r="D2384" s="1771"/>
      <c r="E2384" s="1770"/>
      <c r="F2384" s="1771"/>
      <c r="G2384" s="1771"/>
      <c r="H2384" s="1771"/>
      <c r="I2384" s="1778"/>
      <c r="J2384" s="1771"/>
      <c r="K2384" s="1771"/>
      <c r="L2384" s="1771"/>
      <c r="M2384" s="1771"/>
      <c r="N2384" s="1771"/>
      <c r="O2384" s="1771"/>
      <c r="P2384" s="1771"/>
      <c r="Q2384" s="1766"/>
      <c r="R2384" s="1766"/>
      <c r="S2384" s="1696"/>
      <c r="T2384" s="1696"/>
      <c r="U2384" s="1772"/>
      <c r="V2384" s="1696"/>
      <c r="W2384" s="1772"/>
      <c r="X2384" s="1696"/>
      <c r="Y2384" s="1696"/>
      <c r="Z2384" s="1773"/>
    </row>
    <row r="2385">
      <c r="A2385" s="1771"/>
      <c r="B2385" s="1777"/>
      <c r="C2385" s="1771"/>
      <c r="D2385" s="1771"/>
      <c r="E2385" s="1770"/>
      <c r="F2385" s="1771"/>
      <c r="G2385" s="1771"/>
      <c r="H2385" s="1771"/>
      <c r="I2385" s="1778"/>
      <c r="J2385" s="1771"/>
      <c r="K2385" s="1771"/>
      <c r="L2385" s="1771"/>
      <c r="M2385" s="1771"/>
      <c r="N2385" s="1771"/>
      <c r="O2385" s="1771"/>
      <c r="P2385" s="1771"/>
      <c r="Q2385" s="1766"/>
      <c r="R2385" s="1766"/>
      <c r="S2385" s="1696"/>
      <c r="T2385" s="1696"/>
      <c r="U2385" s="1772"/>
      <c r="V2385" s="1696"/>
      <c r="W2385" s="1772"/>
      <c r="X2385" s="1696"/>
      <c r="Y2385" s="1696"/>
      <c r="Z2385" s="1773"/>
    </row>
    <row r="2386">
      <c r="A2386" s="1771"/>
      <c r="B2386" s="1777"/>
      <c r="C2386" s="1771"/>
      <c r="D2386" s="1771"/>
      <c r="E2386" s="1770"/>
      <c r="F2386" s="1771"/>
      <c r="G2386" s="1770"/>
      <c r="H2386" s="1771"/>
      <c r="I2386" s="1778"/>
      <c r="J2386" s="1771"/>
      <c r="K2386" s="1771"/>
      <c r="L2386" s="1771"/>
      <c r="M2386" s="1771"/>
      <c r="N2386" s="1771"/>
      <c r="O2386" s="1771"/>
      <c r="P2386" s="1771"/>
      <c r="Q2386" s="1766"/>
      <c r="R2386" s="1766"/>
      <c r="S2386" s="1696"/>
      <c r="T2386" s="1696"/>
      <c r="U2386" s="1772"/>
      <c r="V2386" s="1696"/>
      <c r="W2386" s="1772"/>
      <c r="X2386" s="1696"/>
      <c r="Y2386" s="1696"/>
      <c r="Z2386" s="1773"/>
    </row>
    <row r="2387">
      <c r="A2387" s="1771"/>
      <c r="B2387" s="1777"/>
      <c r="C2387" s="1771"/>
      <c r="D2387" s="1771"/>
      <c r="E2387" s="1770"/>
      <c r="F2387" s="1771"/>
      <c r="G2387" s="1770"/>
      <c r="H2387" s="1771"/>
      <c r="I2387" s="1778"/>
      <c r="J2387" s="1771"/>
      <c r="K2387" s="1771"/>
      <c r="L2387" s="1771"/>
      <c r="M2387" s="1771"/>
      <c r="N2387" s="1771"/>
      <c r="O2387" s="1771"/>
      <c r="P2387" s="1771"/>
      <c r="Q2387" s="1766"/>
      <c r="R2387" s="1766"/>
      <c r="S2387" s="1696"/>
      <c r="T2387" s="1696"/>
      <c r="U2387" s="1772"/>
      <c r="V2387" s="1696"/>
      <c r="W2387" s="1772"/>
      <c r="X2387" s="1696"/>
      <c r="Y2387" s="1696"/>
      <c r="Z2387" s="1773"/>
    </row>
    <row r="2388">
      <c r="A2388" s="1771"/>
      <c r="B2388" s="1777"/>
      <c r="C2388" s="1771"/>
      <c r="D2388" s="1771"/>
      <c r="E2388" s="1770"/>
      <c r="F2388" s="1771"/>
      <c r="G2388" s="1770"/>
      <c r="H2388" s="1771"/>
      <c r="I2388" s="1778"/>
      <c r="J2388" s="1771"/>
      <c r="K2388" s="1771"/>
      <c r="L2388" s="1771"/>
      <c r="M2388" s="1771"/>
      <c r="N2388" s="1771"/>
      <c r="O2388" s="1771"/>
      <c r="P2388" s="1771"/>
      <c r="Q2388" s="1766"/>
      <c r="R2388" s="1766"/>
      <c r="S2388" s="1696"/>
      <c r="T2388" s="1696"/>
      <c r="U2388" s="1772"/>
      <c r="V2388" s="1696"/>
      <c r="W2388" s="1772"/>
      <c r="X2388" s="1696"/>
      <c r="Y2388" s="1696"/>
      <c r="Z2388" s="1773"/>
    </row>
    <row r="2389">
      <c r="A2389" s="1771"/>
      <c r="B2389" s="1777"/>
      <c r="C2389" s="1771"/>
      <c r="D2389" s="1771"/>
      <c r="E2389" s="1770"/>
      <c r="F2389" s="1771"/>
      <c r="G2389" s="1770"/>
      <c r="H2389" s="1771"/>
      <c r="I2389" s="1778"/>
      <c r="J2389" s="1771"/>
      <c r="K2389" s="1771"/>
      <c r="L2389" s="1771"/>
      <c r="M2389" s="1771"/>
      <c r="N2389" s="1771"/>
      <c r="O2389" s="1771"/>
      <c r="P2389" s="1771"/>
      <c r="Q2389" s="1766"/>
      <c r="R2389" s="1766"/>
      <c r="S2389" s="1696"/>
      <c r="T2389" s="1696"/>
      <c r="U2389" s="1772"/>
      <c r="V2389" s="1696"/>
      <c r="W2389" s="1772"/>
      <c r="X2389" s="1696"/>
      <c r="Y2389" s="1696"/>
      <c r="Z2389" s="1773"/>
    </row>
    <row r="2390">
      <c r="A2390" s="1771"/>
      <c r="B2390" s="1777"/>
      <c r="C2390" s="1771"/>
      <c r="D2390" s="1771"/>
      <c r="E2390" s="1770"/>
      <c r="F2390" s="1771"/>
      <c r="G2390" s="1770"/>
      <c r="H2390" s="1771"/>
      <c r="I2390" s="1778"/>
      <c r="J2390" s="1771"/>
      <c r="K2390" s="1771"/>
      <c r="L2390" s="1771"/>
      <c r="M2390" s="1771"/>
      <c r="N2390" s="1779"/>
      <c r="O2390" s="1770"/>
      <c r="P2390" s="1771"/>
      <c r="Q2390" s="1766"/>
      <c r="R2390" s="1766"/>
      <c r="S2390" s="1696"/>
      <c r="T2390" s="1696"/>
      <c r="U2390" s="1772"/>
      <c r="V2390" s="1696"/>
      <c r="W2390" s="1772"/>
      <c r="X2390" s="1696"/>
      <c r="Y2390" s="1696"/>
      <c r="Z2390" s="1773"/>
    </row>
    <row r="2391">
      <c r="A2391" s="1771"/>
      <c r="B2391" s="1777"/>
      <c r="C2391" s="1771"/>
      <c r="D2391" s="1771"/>
      <c r="E2391" s="1770"/>
      <c r="F2391" s="1771"/>
      <c r="G2391" s="1770"/>
      <c r="H2391" s="1771"/>
      <c r="I2391" s="1778"/>
      <c r="J2391" s="1771"/>
      <c r="K2391" s="1771"/>
      <c r="L2391" s="1771"/>
      <c r="M2391" s="1771"/>
      <c r="N2391" s="1771"/>
      <c r="O2391" s="1771"/>
      <c r="P2391" s="1771"/>
      <c r="Q2391" s="1766"/>
      <c r="R2391" s="1766"/>
      <c r="S2391" s="1696"/>
      <c r="T2391" s="1696"/>
      <c r="U2391" s="1772"/>
      <c r="V2391" s="1696"/>
      <c r="W2391" s="1772"/>
      <c r="X2391" s="1696"/>
      <c r="Y2391" s="1696"/>
      <c r="Z2391" s="1773"/>
    </row>
    <row r="2392">
      <c r="A2392" s="1771"/>
      <c r="B2392" s="1777"/>
      <c r="C2392" s="1771"/>
      <c r="D2392" s="1771"/>
      <c r="E2392" s="1770"/>
      <c r="F2392" s="1771"/>
      <c r="G2392" s="1770"/>
      <c r="H2392" s="1771"/>
      <c r="I2392" s="1778"/>
      <c r="J2392" s="1771"/>
      <c r="K2392" s="1771"/>
      <c r="L2392" s="1771"/>
      <c r="M2392" s="1771"/>
      <c r="N2392" s="1771"/>
      <c r="O2392" s="1771"/>
      <c r="P2392" s="1771"/>
      <c r="Q2392" s="1766"/>
      <c r="R2392" s="1766"/>
      <c r="S2392" s="1696"/>
      <c r="T2392" s="1696"/>
      <c r="U2392" s="1772"/>
      <c r="V2392" s="1696"/>
      <c r="W2392" s="1772"/>
      <c r="X2392" s="1696"/>
      <c r="Y2392" s="1696"/>
      <c r="Z2392" s="1773"/>
    </row>
    <row r="2393">
      <c r="A2393" s="1771"/>
      <c r="B2393" s="1777"/>
      <c r="C2393" s="1771"/>
      <c r="D2393" s="1771"/>
      <c r="E2393" s="1770"/>
      <c r="F2393" s="1771"/>
      <c r="G2393" s="1771"/>
      <c r="H2393" s="1771"/>
      <c r="I2393" s="1778"/>
      <c r="J2393" s="1771"/>
      <c r="K2393" s="1771"/>
      <c r="L2393" s="1771"/>
      <c r="M2393" s="1771"/>
      <c r="N2393" s="1771"/>
      <c r="O2393" s="1771"/>
      <c r="P2393" s="1771"/>
      <c r="Q2393" s="1766"/>
      <c r="R2393" s="1766"/>
      <c r="S2393" s="1696"/>
      <c r="T2393" s="1696"/>
      <c r="U2393" s="1772"/>
      <c r="V2393" s="1696"/>
      <c r="W2393" s="1772"/>
      <c r="X2393" s="1696"/>
      <c r="Y2393" s="1696"/>
      <c r="Z2393" s="1773"/>
    </row>
    <row r="2394">
      <c r="A2394" s="1771"/>
      <c r="B2394" s="1777"/>
      <c r="C2394" s="1771"/>
      <c r="D2394" s="1771"/>
      <c r="E2394" s="1770"/>
      <c r="F2394" s="1771"/>
      <c r="G2394" s="1771"/>
      <c r="H2394" s="1771"/>
      <c r="I2394" s="1778"/>
      <c r="J2394" s="1771"/>
      <c r="K2394" s="1771"/>
      <c r="L2394" s="1771"/>
      <c r="M2394" s="1771"/>
      <c r="N2394" s="1771"/>
      <c r="O2394" s="1771"/>
      <c r="P2394" s="1771"/>
      <c r="Q2394" s="1766"/>
      <c r="R2394" s="1766"/>
      <c r="S2394" s="1696"/>
      <c r="T2394" s="1696"/>
      <c r="U2394" s="1772"/>
      <c r="V2394" s="1696"/>
      <c r="W2394" s="1772"/>
      <c r="X2394" s="1696"/>
      <c r="Y2394" s="1696"/>
      <c r="Z2394" s="1773"/>
    </row>
    <row r="2395">
      <c r="A2395" s="1771"/>
      <c r="B2395" s="1777"/>
      <c r="C2395" s="1771"/>
      <c r="D2395" s="1771"/>
      <c r="E2395" s="1770"/>
      <c r="F2395" s="1771"/>
      <c r="G2395" s="1771"/>
      <c r="H2395" s="1771"/>
      <c r="I2395" s="1778"/>
      <c r="J2395" s="1771"/>
      <c r="K2395" s="1771"/>
      <c r="L2395" s="1771"/>
      <c r="M2395" s="1771"/>
      <c r="N2395" s="1771"/>
      <c r="O2395" s="1771"/>
      <c r="P2395" s="1771"/>
      <c r="Q2395" s="1766"/>
      <c r="R2395" s="1766"/>
      <c r="S2395" s="1696"/>
      <c r="T2395" s="1696"/>
      <c r="U2395" s="1772"/>
      <c r="V2395" s="1696"/>
      <c r="W2395" s="1772"/>
      <c r="X2395" s="1696"/>
      <c r="Y2395" s="1696"/>
      <c r="Z2395" s="1773"/>
    </row>
    <row r="2396">
      <c r="A2396" s="1771"/>
      <c r="B2396" s="1777"/>
      <c r="C2396" s="1771"/>
      <c r="D2396" s="1771"/>
      <c r="E2396" s="1770"/>
      <c r="F2396" s="1771"/>
      <c r="G2396" s="1770"/>
      <c r="H2396" s="1771"/>
      <c r="I2396" s="1778"/>
      <c r="J2396" s="1771"/>
      <c r="K2396" s="1771"/>
      <c r="L2396" s="1771"/>
      <c r="M2396" s="1771"/>
      <c r="N2396" s="1771"/>
      <c r="O2396" s="1771"/>
      <c r="P2396" s="1771"/>
      <c r="Q2396" s="1766"/>
      <c r="R2396" s="1766"/>
      <c r="S2396" s="1696"/>
      <c r="T2396" s="1696"/>
      <c r="U2396" s="1772"/>
      <c r="V2396" s="1696"/>
      <c r="W2396" s="1772"/>
      <c r="X2396" s="1696"/>
      <c r="Y2396" s="1696"/>
      <c r="Z2396" s="1773"/>
    </row>
    <row r="2397">
      <c r="A2397" s="1771"/>
      <c r="B2397" s="1777"/>
      <c r="C2397" s="1771"/>
      <c r="D2397" s="1771"/>
      <c r="E2397" s="1770"/>
      <c r="F2397" s="1771"/>
      <c r="G2397" s="1771"/>
      <c r="H2397" s="1771"/>
      <c r="I2397" s="1778"/>
      <c r="J2397" s="1771"/>
      <c r="K2397" s="1771"/>
      <c r="L2397" s="1771"/>
      <c r="M2397" s="1771"/>
      <c r="N2397" s="1771"/>
      <c r="O2397" s="1771"/>
      <c r="P2397" s="1771"/>
      <c r="Q2397" s="1766"/>
      <c r="R2397" s="1766"/>
      <c r="S2397" s="1696"/>
      <c r="T2397" s="1696"/>
      <c r="U2397" s="1772"/>
      <c r="V2397" s="1696"/>
      <c r="W2397" s="1772"/>
      <c r="X2397" s="1696"/>
      <c r="Y2397" s="1696"/>
      <c r="Z2397" s="1773"/>
    </row>
    <row r="2398">
      <c r="A2398" s="1771"/>
      <c r="B2398" s="1777"/>
      <c r="C2398" s="1771"/>
      <c r="D2398" s="1771"/>
      <c r="E2398" s="1770"/>
      <c r="F2398" s="1771"/>
      <c r="G2398" s="1770"/>
      <c r="H2398" s="1771"/>
      <c r="I2398" s="1778"/>
      <c r="J2398" s="1771"/>
      <c r="K2398" s="1771"/>
      <c r="L2398" s="1771"/>
      <c r="M2398" s="1771"/>
      <c r="N2398" s="1771"/>
      <c r="O2398" s="1771"/>
      <c r="P2398" s="1771"/>
      <c r="Q2398" s="1766"/>
      <c r="R2398" s="1766"/>
      <c r="S2398" s="1696"/>
      <c r="T2398" s="1696"/>
      <c r="U2398" s="1772"/>
      <c r="V2398" s="1696"/>
      <c r="W2398" s="1772"/>
      <c r="X2398" s="1696"/>
      <c r="Y2398" s="1696"/>
      <c r="Z2398" s="1773"/>
    </row>
    <row r="2399">
      <c r="A2399" s="1771"/>
      <c r="B2399" s="1777"/>
      <c r="C2399" s="1771"/>
      <c r="D2399" s="1771"/>
      <c r="E2399" s="1770"/>
      <c r="F2399" s="1771"/>
      <c r="G2399" s="1771"/>
      <c r="H2399" s="1771"/>
      <c r="I2399" s="1778"/>
      <c r="J2399" s="1771"/>
      <c r="K2399" s="1771"/>
      <c r="L2399" s="1771"/>
      <c r="M2399" s="1771"/>
      <c r="N2399" s="1771"/>
      <c r="O2399" s="1771"/>
      <c r="P2399" s="1771"/>
      <c r="Q2399" s="1766"/>
      <c r="R2399" s="1766"/>
      <c r="S2399" s="1696"/>
      <c r="T2399" s="1696"/>
      <c r="U2399" s="1772"/>
      <c r="V2399" s="1696"/>
      <c r="W2399" s="1772"/>
      <c r="X2399" s="1696"/>
      <c r="Y2399" s="1696"/>
      <c r="Z2399" s="1773"/>
    </row>
    <row r="2400">
      <c r="A2400" s="1771"/>
      <c r="B2400" s="1777"/>
      <c r="C2400" s="1771"/>
      <c r="D2400" s="1771"/>
      <c r="E2400" s="1770"/>
      <c r="F2400" s="1771"/>
      <c r="G2400" s="1770"/>
      <c r="H2400" s="1771"/>
      <c r="I2400" s="1778"/>
      <c r="J2400" s="1771"/>
      <c r="K2400" s="1771"/>
      <c r="L2400" s="1771"/>
      <c r="M2400" s="1771"/>
      <c r="N2400" s="1779"/>
      <c r="O2400" s="1770"/>
      <c r="P2400" s="1771"/>
      <c r="Q2400" s="1766"/>
      <c r="R2400" s="1766"/>
      <c r="S2400" s="1696"/>
      <c r="T2400" s="1696"/>
      <c r="U2400" s="1772"/>
      <c r="V2400" s="1696"/>
      <c r="W2400" s="1772"/>
      <c r="X2400" s="1696"/>
      <c r="Y2400" s="1696"/>
      <c r="Z2400" s="1773"/>
    </row>
    <row r="2401">
      <c r="A2401" s="1771"/>
      <c r="B2401" s="1777"/>
      <c r="C2401" s="1771"/>
      <c r="D2401" s="1771"/>
      <c r="E2401" s="1770"/>
      <c r="F2401" s="1771"/>
      <c r="G2401" s="1770"/>
      <c r="H2401" s="1771"/>
      <c r="I2401" s="1778"/>
      <c r="J2401" s="1771"/>
      <c r="K2401" s="1771"/>
      <c r="L2401" s="1771"/>
      <c r="M2401" s="1771"/>
      <c r="N2401" s="1779"/>
      <c r="O2401" s="1770"/>
      <c r="P2401" s="1771"/>
      <c r="Q2401" s="1766"/>
      <c r="R2401" s="1766"/>
      <c r="S2401" s="1696"/>
      <c r="T2401" s="1696"/>
      <c r="U2401" s="1772"/>
      <c r="V2401" s="1696"/>
      <c r="W2401" s="1772"/>
      <c r="X2401" s="1696"/>
      <c r="Y2401" s="1696"/>
      <c r="Z2401" s="1773"/>
    </row>
    <row r="2402">
      <c r="A2402" s="1771"/>
      <c r="B2402" s="1777"/>
      <c r="C2402" s="1771"/>
      <c r="D2402" s="1771"/>
      <c r="E2402" s="1770"/>
      <c r="F2402" s="1771"/>
      <c r="G2402" s="1770"/>
      <c r="H2402" s="1771"/>
      <c r="I2402" s="1778"/>
      <c r="J2402" s="1771"/>
      <c r="K2402" s="1771"/>
      <c r="L2402" s="1771"/>
      <c r="M2402" s="1771"/>
      <c r="N2402" s="1771"/>
      <c r="O2402" s="1771"/>
      <c r="P2402" s="1771"/>
      <c r="Q2402" s="1766"/>
      <c r="R2402" s="1766"/>
      <c r="S2402" s="1696"/>
      <c r="T2402" s="1696"/>
      <c r="U2402" s="1772"/>
      <c r="V2402" s="1696"/>
      <c r="W2402" s="1772"/>
      <c r="X2402" s="1696"/>
      <c r="Y2402" s="1696"/>
      <c r="Z2402" s="1773"/>
    </row>
    <row r="2403">
      <c r="A2403" s="1771"/>
      <c r="B2403" s="1777"/>
      <c r="C2403" s="1771"/>
      <c r="D2403" s="1771"/>
      <c r="E2403" s="1770"/>
      <c r="F2403" s="1771"/>
      <c r="G2403" s="1770"/>
      <c r="H2403" s="1771"/>
      <c r="I2403" s="1778"/>
      <c r="J2403" s="1771"/>
      <c r="K2403" s="1771"/>
      <c r="L2403" s="1771"/>
      <c r="M2403" s="1771"/>
      <c r="N2403" s="1779"/>
      <c r="O2403" s="1770"/>
      <c r="P2403" s="1771"/>
      <c r="Q2403" s="1766"/>
      <c r="R2403" s="1766"/>
      <c r="S2403" s="1696"/>
      <c r="T2403" s="1696"/>
      <c r="U2403" s="1772"/>
      <c r="V2403" s="1696"/>
      <c r="W2403" s="1772"/>
      <c r="X2403" s="1696"/>
      <c r="Y2403" s="1696"/>
      <c r="Z2403" s="1773"/>
    </row>
    <row r="2404">
      <c r="A2404" s="1771"/>
      <c r="B2404" s="1777"/>
      <c r="C2404" s="1771"/>
      <c r="D2404" s="1771"/>
      <c r="E2404" s="1770"/>
      <c r="F2404" s="1771"/>
      <c r="G2404" s="1770"/>
      <c r="H2404" s="1771"/>
      <c r="I2404" s="1778"/>
      <c r="J2404" s="1771"/>
      <c r="K2404" s="1771"/>
      <c r="L2404" s="1771"/>
      <c r="M2404" s="1771"/>
      <c r="N2404" s="1771"/>
      <c r="O2404" s="1771"/>
      <c r="P2404" s="1771"/>
      <c r="Q2404" s="1766"/>
      <c r="R2404" s="1766"/>
      <c r="S2404" s="1696"/>
      <c r="T2404" s="1696"/>
      <c r="U2404" s="1772"/>
      <c r="V2404" s="1696"/>
      <c r="W2404" s="1772"/>
      <c r="X2404" s="1696"/>
      <c r="Y2404" s="1696"/>
      <c r="Z2404" s="1773"/>
    </row>
    <row r="2405">
      <c r="A2405" s="1771"/>
      <c r="B2405" s="1777"/>
      <c r="C2405" s="1771"/>
      <c r="D2405" s="1771"/>
      <c r="E2405" s="1770"/>
      <c r="F2405" s="1771"/>
      <c r="G2405" s="1770"/>
      <c r="H2405" s="1771"/>
      <c r="I2405" s="1778"/>
      <c r="J2405" s="1771"/>
      <c r="K2405" s="1771"/>
      <c r="L2405" s="1771"/>
      <c r="M2405" s="1771"/>
      <c r="N2405" s="1771"/>
      <c r="O2405" s="1771"/>
      <c r="P2405" s="1771"/>
      <c r="Q2405" s="1766"/>
      <c r="R2405" s="1766"/>
      <c r="S2405" s="1696"/>
      <c r="T2405" s="1696"/>
      <c r="U2405" s="1772"/>
      <c r="V2405" s="1696"/>
      <c r="W2405" s="1772"/>
      <c r="X2405" s="1696"/>
      <c r="Y2405" s="1696"/>
      <c r="Z2405" s="1773"/>
    </row>
    <row r="2406">
      <c r="A2406" s="1771"/>
      <c r="B2406" s="1777"/>
      <c r="C2406" s="1771"/>
      <c r="D2406" s="1771"/>
      <c r="E2406" s="1770"/>
      <c r="F2406" s="1771"/>
      <c r="G2406" s="1770"/>
      <c r="H2406" s="1771"/>
      <c r="I2406" s="1778"/>
      <c r="J2406" s="1771"/>
      <c r="K2406" s="1771"/>
      <c r="L2406" s="1771"/>
      <c r="M2406" s="1771"/>
      <c r="N2406" s="1771"/>
      <c r="O2406" s="1771"/>
      <c r="P2406" s="1771"/>
      <c r="Q2406" s="1766"/>
      <c r="R2406" s="1766"/>
      <c r="S2406" s="1696"/>
      <c r="T2406" s="1696"/>
      <c r="U2406" s="1772"/>
      <c r="V2406" s="1696"/>
      <c r="W2406" s="1772"/>
      <c r="X2406" s="1696"/>
      <c r="Y2406" s="1696"/>
      <c r="Z2406" s="1773"/>
    </row>
    <row r="2407">
      <c r="A2407" s="1771"/>
      <c r="B2407" s="1777"/>
      <c r="C2407" s="1771"/>
      <c r="D2407" s="1771"/>
      <c r="E2407" s="1770"/>
      <c r="F2407" s="1771"/>
      <c r="G2407" s="1770"/>
      <c r="H2407" s="1771"/>
      <c r="I2407" s="1778"/>
      <c r="J2407" s="1771"/>
      <c r="K2407" s="1771"/>
      <c r="L2407" s="1771"/>
      <c r="M2407" s="1771"/>
      <c r="N2407" s="1771"/>
      <c r="O2407" s="1771"/>
      <c r="P2407" s="1771"/>
      <c r="Q2407" s="1766"/>
      <c r="R2407" s="1766"/>
      <c r="S2407" s="1696"/>
      <c r="T2407" s="1696"/>
      <c r="U2407" s="1772"/>
      <c r="V2407" s="1696"/>
      <c r="W2407" s="1772"/>
      <c r="X2407" s="1696"/>
      <c r="Y2407" s="1696"/>
      <c r="Z2407" s="1773"/>
    </row>
    <row r="2408">
      <c r="A2408" s="1771"/>
      <c r="B2408" s="1777"/>
      <c r="C2408" s="1771"/>
      <c r="D2408" s="1771"/>
      <c r="E2408" s="1770"/>
      <c r="F2408" s="1771"/>
      <c r="G2408" s="1771"/>
      <c r="H2408" s="1771"/>
      <c r="I2408" s="1778"/>
      <c r="J2408" s="1771"/>
      <c r="K2408" s="1771"/>
      <c r="L2408" s="1771"/>
      <c r="M2408" s="1771"/>
      <c r="N2408" s="1771"/>
      <c r="O2408" s="1771"/>
      <c r="P2408" s="1771"/>
      <c r="Q2408" s="1766"/>
      <c r="R2408" s="1766"/>
      <c r="S2408" s="1696"/>
      <c r="T2408" s="1696"/>
      <c r="U2408" s="1772"/>
      <c r="V2408" s="1696"/>
      <c r="W2408" s="1772"/>
      <c r="X2408" s="1696"/>
      <c r="Y2408" s="1696"/>
      <c r="Z2408" s="1773"/>
    </row>
    <row r="2409">
      <c r="A2409" s="1771"/>
      <c r="B2409" s="1777"/>
      <c r="C2409" s="1771"/>
      <c r="D2409" s="1771"/>
      <c r="E2409" s="1770"/>
      <c r="F2409" s="1771"/>
      <c r="G2409" s="1771"/>
      <c r="H2409" s="1771"/>
      <c r="I2409" s="1778"/>
      <c r="J2409" s="1771"/>
      <c r="K2409" s="1771"/>
      <c r="L2409" s="1771"/>
      <c r="M2409" s="1771"/>
      <c r="N2409" s="1771"/>
      <c r="O2409" s="1771"/>
      <c r="P2409" s="1771"/>
      <c r="Q2409" s="1766"/>
      <c r="R2409" s="1766"/>
      <c r="S2409" s="1696"/>
      <c r="T2409" s="1696"/>
      <c r="U2409" s="1772"/>
      <c r="V2409" s="1696"/>
      <c r="W2409" s="1772"/>
      <c r="X2409" s="1696"/>
      <c r="Y2409" s="1696"/>
      <c r="Z2409" s="1773"/>
    </row>
    <row r="2410">
      <c r="A2410" s="1771"/>
      <c r="B2410" s="1777"/>
      <c r="C2410" s="1771"/>
      <c r="D2410" s="1771"/>
      <c r="E2410" s="1770"/>
      <c r="F2410" s="1771"/>
      <c r="G2410" s="1770"/>
      <c r="H2410" s="1771"/>
      <c r="I2410" s="1778"/>
      <c r="J2410" s="1771"/>
      <c r="K2410" s="1771"/>
      <c r="L2410" s="1771"/>
      <c r="M2410" s="1771"/>
      <c r="N2410" s="1771"/>
      <c r="O2410" s="1771"/>
      <c r="P2410" s="1771"/>
      <c r="Q2410" s="1766"/>
      <c r="R2410" s="1766"/>
      <c r="S2410" s="1696"/>
      <c r="T2410" s="1696"/>
      <c r="U2410" s="1772"/>
      <c r="V2410" s="1696"/>
      <c r="W2410" s="1772"/>
      <c r="X2410" s="1696"/>
      <c r="Y2410" s="1696"/>
      <c r="Z2410" s="1773"/>
    </row>
    <row r="2411">
      <c r="A2411" s="1771"/>
      <c r="B2411" s="1777"/>
      <c r="C2411" s="1771"/>
      <c r="D2411" s="1771"/>
      <c r="E2411" s="1770"/>
      <c r="F2411" s="1771"/>
      <c r="G2411" s="1771"/>
      <c r="H2411" s="1771"/>
      <c r="I2411" s="1778"/>
      <c r="J2411" s="1771"/>
      <c r="K2411" s="1771"/>
      <c r="L2411" s="1771"/>
      <c r="M2411" s="1771"/>
      <c r="N2411" s="1771"/>
      <c r="O2411" s="1771"/>
      <c r="P2411" s="1771"/>
      <c r="Q2411" s="1766"/>
      <c r="R2411" s="1766"/>
      <c r="S2411" s="1696"/>
      <c r="T2411" s="1696"/>
      <c r="U2411" s="1772"/>
      <c r="V2411" s="1696"/>
      <c r="W2411" s="1772"/>
      <c r="X2411" s="1696"/>
      <c r="Y2411" s="1696"/>
      <c r="Z2411" s="1773"/>
    </row>
    <row r="2412">
      <c r="A2412" s="1771"/>
      <c r="B2412" s="1777"/>
      <c r="C2412" s="1771"/>
      <c r="D2412" s="1771"/>
      <c r="E2412" s="1770"/>
      <c r="F2412" s="1771"/>
      <c r="G2412" s="1771"/>
      <c r="H2412" s="1771"/>
      <c r="I2412" s="1770"/>
      <c r="J2412" s="1771"/>
      <c r="K2412" s="1771"/>
      <c r="L2412" s="1771"/>
      <c r="M2412" s="1771"/>
      <c r="N2412" s="1779"/>
      <c r="O2412" s="1770"/>
      <c r="P2412" s="1771"/>
      <c r="Q2412" s="1766"/>
      <c r="R2412" s="1766"/>
      <c r="S2412" s="1696"/>
      <c r="T2412" s="1696"/>
      <c r="U2412" s="1772"/>
      <c r="V2412" s="1696"/>
      <c r="W2412" s="1772"/>
      <c r="X2412" s="1696"/>
      <c r="Y2412" s="1696"/>
      <c r="Z2412" s="1773"/>
    </row>
    <row r="2413">
      <c r="A2413" s="1771"/>
      <c r="B2413" s="1777"/>
      <c r="C2413" s="1771"/>
      <c r="D2413" s="1771"/>
      <c r="E2413" s="1770"/>
      <c r="F2413" s="1771"/>
      <c r="G2413" s="1770"/>
      <c r="H2413" s="1771"/>
      <c r="I2413" s="1778"/>
      <c r="J2413" s="1771"/>
      <c r="K2413" s="1771"/>
      <c r="L2413" s="1771"/>
      <c r="M2413" s="1771"/>
      <c r="N2413" s="1779"/>
      <c r="O2413" s="1770"/>
      <c r="P2413" s="1771"/>
      <c r="Q2413" s="1766"/>
      <c r="R2413" s="1766"/>
      <c r="S2413" s="1696"/>
      <c r="T2413" s="1696"/>
      <c r="U2413" s="1772"/>
      <c r="V2413" s="1696"/>
      <c r="W2413" s="1772"/>
      <c r="X2413" s="1696"/>
      <c r="Y2413" s="1696"/>
      <c r="Z2413" s="1773"/>
    </row>
    <row r="2414">
      <c r="A2414" s="1771"/>
      <c r="B2414" s="1777"/>
      <c r="C2414" s="1771"/>
      <c r="D2414" s="1771"/>
      <c r="E2414" s="1770"/>
      <c r="F2414" s="1771"/>
      <c r="G2414" s="1770"/>
      <c r="H2414" s="1771"/>
      <c r="I2414" s="1770"/>
      <c r="J2414" s="1771"/>
      <c r="K2414" s="1771"/>
      <c r="L2414" s="1771"/>
      <c r="M2414" s="1771"/>
      <c r="N2414" s="1779"/>
      <c r="O2414" s="1770"/>
      <c r="P2414" s="1771"/>
      <c r="Q2414" s="1766"/>
      <c r="R2414" s="1766"/>
      <c r="S2414" s="1696"/>
      <c r="T2414" s="1696"/>
      <c r="U2414" s="1772"/>
      <c r="V2414" s="1696"/>
      <c r="W2414" s="1772"/>
      <c r="X2414" s="1696"/>
      <c r="Y2414" s="1696"/>
      <c r="Z2414" s="1773"/>
    </row>
    <row r="2415">
      <c r="A2415" s="1771"/>
      <c r="B2415" s="1777"/>
      <c r="C2415" s="1771"/>
      <c r="D2415" s="1771"/>
      <c r="E2415" s="1770"/>
      <c r="F2415" s="1771"/>
      <c r="G2415" s="1770"/>
      <c r="H2415" s="1771"/>
      <c r="I2415" s="1778"/>
      <c r="J2415" s="1771"/>
      <c r="K2415" s="1771"/>
      <c r="L2415" s="1771"/>
      <c r="M2415" s="1771"/>
      <c r="N2415" s="1771"/>
      <c r="O2415" s="1771"/>
      <c r="P2415" s="1771"/>
      <c r="Q2415" s="1766"/>
      <c r="R2415" s="1766"/>
      <c r="S2415" s="1696"/>
      <c r="T2415" s="1696"/>
      <c r="U2415" s="1772"/>
      <c r="V2415" s="1696"/>
      <c r="W2415" s="1772"/>
      <c r="X2415" s="1696"/>
      <c r="Y2415" s="1696"/>
      <c r="Z2415" s="1773"/>
    </row>
    <row r="2416">
      <c r="A2416" s="1771"/>
      <c r="B2416" s="1777"/>
      <c r="C2416" s="1770"/>
      <c r="D2416" s="1771"/>
      <c r="E2416" s="1770"/>
      <c r="F2416" s="1771"/>
      <c r="G2416" s="1770"/>
      <c r="H2416" s="1771"/>
      <c r="I2416" s="1778"/>
      <c r="J2416" s="1771"/>
      <c r="K2416" s="1771"/>
      <c r="L2416" s="1771"/>
      <c r="M2416" s="1771"/>
      <c r="N2416" s="1779"/>
      <c r="O2416" s="1770"/>
      <c r="P2416" s="1771"/>
      <c r="Q2416" s="1766"/>
      <c r="R2416" s="1766"/>
      <c r="S2416" s="1696"/>
      <c r="T2416" s="1696"/>
      <c r="U2416" s="1772"/>
      <c r="V2416" s="1696"/>
      <c r="W2416" s="1772"/>
      <c r="X2416" s="1696"/>
      <c r="Y2416" s="1696"/>
      <c r="Z2416" s="1773"/>
    </row>
    <row r="2417">
      <c r="A2417" s="1771"/>
      <c r="B2417" s="1777"/>
      <c r="C2417" s="1771"/>
      <c r="D2417" s="1771"/>
      <c r="E2417" s="1770"/>
      <c r="F2417" s="1771"/>
      <c r="G2417" s="1777"/>
      <c r="H2417" s="1771"/>
      <c r="I2417" s="1778"/>
      <c r="J2417" s="1771"/>
      <c r="K2417" s="1771"/>
      <c r="L2417" s="1771"/>
      <c r="M2417" s="1771"/>
      <c r="N2417" s="1779"/>
      <c r="O2417" s="1770"/>
      <c r="P2417" s="1771"/>
      <c r="Q2417" s="1766"/>
      <c r="R2417" s="1766"/>
      <c r="S2417" s="1696"/>
      <c r="T2417" s="1696"/>
      <c r="U2417" s="1772"/>
      <c r="V2417" s="1696"/>
      <c r="W2417" s="1772"/>
      <c r="X2417" s="1696"/>
      <c r="Y2417" s="1696"/>
      <c r="Z2417" s="1773"/>
    </row>
    <row r="2418">
      <c r="A2418" s="1771"/>
      <c r="B2418" s="1777"/>
      <c r="C2418" s="1771"/>
      <c r="D2418" s="1771"/>
      <c r="E2418" s="1770"/>
      <c r="F2418" s="1771"/>
      <c r="G2418" s="1770"/>
      <c r="H2418" s="1771"/>
      <c r="I2418" s="1778"/>
      <c r="J2418" s="1771"/>
      <c r="K2418" s="1771"/>
      <c r="L2418" s="1771"/>
      <c r="M2418" s="1771"/>
      <c r="N2418" s="1779"/>
      <c r="O2418" s="1770"/>
      <c r="P2418" s="1771"/>
      <c r="Q2418" s="1766"/>
      <c r="R2418" s="1766"/>
      <c r="S2418" s="1696"/>
      <c r="T2418" s="1696"/>
      <c r="U2418" s="1772"/>
      <c r="V2418" s="1696"/>
      <c r="W2418" s="1772"/>
      <c r="X2418" s="1696"/>
      <c r="Y2418" s="1696"/>
      <c r="Z2418" s="1773"/>
    </row>
    <row r="2419">
      <c r="A2419" s="1771"/>
      <c r="B2419" s="1777"/>
      <c r="C2419" s="1771"/>
      <c r="D2419" s="1771"/>
      <c r="E2419" s="1770"/>
      <c r="F2419" s="1771"/>
      <c r="G2419" s="1770"/>
      <c r="H2419" s="1771"/>
      <c r="I2419" s="1778"/>
      <c r="J2419" s="1771"/>
      <c r="K2419" s="1771"/>
      <c r="L2419" s="1771"/>
      <c r="M2419" s="1771"/>
      <c r="N2419" s="1779"/>
      <c r="O2419" s="1770"/>
      <c r="P2419" s="1771"/>
      <c r="Q2419" s="1766"/>
      <c r="R2419" s="1766"/>
      <c r="S2419" s="1696"/>
      <c r="T2419" s="1696"/>
      <c r="U2419" s="1772"/>
      <c r="V2419" s="1696"/>
      <c r="W2419" s="1772"/>
      <c r="X2419" s="1696"/>
      <c r="Y2419" s="1696"/>
      <c r="Z2419" s="1773"/>
    </row>
    <row r="2420">
      <c r="A2420" s="1771"/>
      <c r="B2420" s="1777"/>
      <c r="C2420" s="1771"/>
      <c r="D2420" s="1771"/>
      <c r="E2420" s="1770"/>
      <c r="F2420" s="1771"/>
      <c r="G2420" s="1771"/>
      <c r="H2420" s="1771"/>
      <c r="I2420" s="1778"/>
      <c r="J2420" s="1771"/>
      <c r="K2420" s="1771"/>
      <c r="L2420" s="1771"/>
      <c r="M2420" s="1771"/>
      <c r="N2420" s="1779"/>
      <c r="O2420" s="1770"/>
      <c r="P2420" s="1771"/>
      <c r="Q2420" s="1766"/>
      <c r="R2420" s="1766"/>
      <c r="S2420" s="1696"/>
      <c r="T2420" s="1696"/>
      <c r="U2420" s="1772"/>
      <c r="V2420" s="1696"/>
      <c r="W2420" s="1772"/>
      <c r="X2420" s="1696"/>
      <c r="Y2420" s="1696"/>
      <c r="Z2420" s="1773"/>
    </row>
    <row r="2421">
      <c r="A2421" s="1771"/>
      <c r="B2421" s="1777"/>
      <c r="C2421" s="1771"/>
      <c r="D2421" s="1771"/>
      <c r="E2421" s="1770"/>
      <c r="F2421" s="1771"/>
      <c r="G2421" s="1770"/>
      <c r="H2421" s="1771"/>
      <c r="I2421" s="1778"/>
      <c r="J2421" s="1771"/>
      <c r="K2421" s="1771"/>
      <c r="L2421" s="1771"/>
      <c r="M2421" s="1771"/>
      <c r="N2421" s="1779"/>
      <c r="O2421" s="1770"/>
      <c r="P2421" s="1771"/>
      <c r="Q2421" s="1766"/>
      <c r="R2421" s="1766"/>
      <c r="S2421" s="1696"/>
      <c r="T2421" s="1696"/>
      <c r="U2421" s="1772"/>
      <c r="V2421" s="1696"/>
      <c r="W2421" s="1772"/>
      <c r="X2421" s="1696"/>
      <c r="Y2421" s="1696"/>
      <c r="Z2421" s="1773"/>
    </row>
    <row r="2422">
      <c r="A2422" s="1771"/>
      <c r="B2422" s="1777"/>
      <c r="C2422" s="1771"/>
      <c r="D2422" s="1771"/>
      <c r="E2422" s="1770"/>
      <c r="F2422" s="1771"/>
      <c r="G2422" s="1771"/>
      <c r="H2422" s="1771"/>
      <c r="I2422" s="1778"/>
      <c r="J2422" s="1771"/>
      <c r="K2422" s="1771"/>
      <c r="L2422" s="1771"/>
      <c r="M2422" s="1771"/>
      <c r="N2422" s="1779"/>
      <c r="O2422" s="1770"/>
      <c r="P2422" s="1771"/>
      <c r="Q2422" s="1766"/>
      <c r="R2422" s="1766"/>
      <c r="S2422" s="1696"/>
      <c r="T2422" s="1696"/>
      <c r="U2422" s="1772"/>
      <c r="V2422" s="1696"/>
      <c r="W2422" s="1772"/>
      <c r="X2422" s="1696"/>
      <c r="Y2422" s="1696"/>
      <c r="Z2422" s="1773"/>
    </row>
    <row r="2423">
      <c r="A2423" s="1771"/>
      <c r="B2423" s="1777"/>
      <c r="C2423" s="1771"/>
      <c r="D2423" s="1771"/>
      <c r="E2423" s="1770"/>
      <c r="F2423" s="1771"/>
      <c r="G2423" s="1770"/>
      <c r="H2423" s="1771"/>
      <c r="I2423" s="1778"/>
      <c r="J2423" s="1771"/>
      <c r="K2423" s="1771"/>
      <c r="L2423" s="1771"/>
      <c r="M2423" s="1771"/>
      <c r="N2423" s="1779"/>
      <c r="O2423" s="1770"/>
      <c r="P2423" s="1771"/>
      <c r="Q2423" s="1766"/>
      <c r="R2423" s="1766"/>
      <c r="S2423" s="1696"/>
      <c r="T2423" s="1696"/>
      <c r="U2423" s="1772"/>
      <c r="V2423" s="1696"/>
      <c r="W2423" s="1772"/>
      <c r="X2423" s="1696"/>
      <c r="Y2423" s="1696"/>
      <c r="Z2423" s="1773"/>
    </row>
    <row r="2424">
      <c r="A2424" s="1771"/>
      <c r="B2424" s="1777"/>
      <c r="C2424" s="1771"/>
      <c r="D2424" s="1771"/>
      <c r="E2424" s="1770"/>
      <c r="F2424" s="1771"/>
      <c r="G2424" s="1771"/>
      <c r="H2424" s="1771"/>
      <c r="I2424" s="1778"/>
      <c r="J2424" s="1771"/>
      <c r="K2424" s="1771"/>
      <c r="L2424" s="1771"/>
      <c r="M2424" s="1771"/>
      <c r="N2424" s="1779"/>
      <c r="O2424" s="1770"/>
      <c r="P2424" s="1771"/>
      <c r="Q2424" s="1766"/>
      <c r="R2424" s="1766"/>
      <c r="S2424" s="1696"/>
      <c r="T2424" s="1696"/>
      <c r="U2424" s="1772"/>
      <c r="V2424" s="1696"/>
      <c r="W2424" s="1772"/>
      <c r="X2424" s="1696"/>
      <c r="Y2424" s="1696"/>
      <c r="Z2424" s="1773"/>
    </row>
    <row r="2425">
      <c r="A2425" s="1771"/>
      <c r="B2425" s="1777"/>
      <c r="C2425" s="1771"/>
      <c r="D2425" s="1771"/>
      <c r="E2425" s="1770"/>
      <c r="F2425" s="1771"/>
      <c r="G2425" s="1770"/>
      <c r="H2425" s="1771"/>
      <c r="I2425" s="1778"/>
      <c r="J2425" s="1771"/>
      <c r="K2425" s="1771"/>
      <c r="L2425" s="1771"/>
      <c r="M2425" s="1771"/>
      <c r="N2425" s="1779"/>
      <c r="O2425" s="1770"/>
      <c r="P2425" s="1771"/>
      <c r="Q2425" s="1766"/>
      <c r="R2425" s="1766"/>
      <c r="S2425" s="1696"/>
      <c r="T2425" s="1696"/>
      <c r="U2425" s="1772"/>
      <c r="V2425" s="1696"/>
      <c r="W2425" s="1772"/>
      <c r="X2425" s="1696"/>
      <c r="Y2425" s="1696"/>
      <c r="Z2425" s="1773"/>
    </row>
    <row r="2426">
      <c r="A2426" s="1771"/>
      <c r="B2426" s="1777"/>
      <c r="C2426" s="1771"/>
      <c r="D2426" s="1771"/>
      <c r="E2426" s="1770"/>
      <c r="F2426" s="1771"/>
      <c r="G2426" s="1770"/>
      <c r="H2426" s="1771"/>
      <c r="I2426" s="1778"/>
      <c r="J2426" s="1771"/>
      <c r="K2426" s="1771"/>
      <c r="L2426" s="1771"/>
      <c r="M2426" s="1771"/>
      <c r="N2426" s="1779"/>
      <c r="O2426" s="1770"/>
      <c r="P2426" s="1771"/>
      <c r="Q2426" s="1766"/>
      <c r="R2426" s="1766"/>
      <c r="S2426" s="1696"/>
      <c r="T2426" s="1696"/>
      <c r="U2426" s="1772"/>
      <c r="V2426" s="1696"/>
      <c r="W2426" s="1772"/>
      <c r="X2426" s="1696"/>
      <c r="Y2426" s="1696"/>
      <c r="Z2426" s="1773"/>
    </row>
    <row r="2427">
      <c r="A2427" s="1771"/>
      <c r="B2427" s="1777"/>
      <c r="C2427" s="1771"/>
      <c r="D2427" s="1771"/>
      <c r="E2427" s="1770"/>
      <c r="F2427" s="1771"/>
      <c r="G2427" s="1770"/>
      <c r="H2427" s="1771"/>
      <c r="I2427" s="1778"/>
      <c r="J2427" s="1771"/>
      <c r="K2427" s="1771"/>
      <c r="L2427" s="1771"/>
      <c r="M2427" s="1771"/>
      <c r="N2427" s="1779"/>
      <c r="O2427" s="1770"/>
      <c r="P2427" s="1771"/>
      <c r="Q2427" s="1766"/>
      <c r="R2427" s="1766"/>
      <c r="S2427" s="1696"/>
      <c r="T2427" s="1696"/>
      <c r="U2427" s="1772"/>
      <c r="V2427" s="1696"/>
      <c r="W2427" s="1772"/>
      <c r="X2427" s="1696"/>
      <c r="Y2427" s="1696"/>
      <c r="Z2427" s="1773"/>
    </row>
    <row r="2428">
      <c r="A2428" s="1771"/>
      <c r="B2428" s="1777"/>
      <c r="C2428" s="1771"/>
      <c r="D2428" s="1771"/>
      <c r="E2428" s="1770"/>
      <c r="F2428" s="1771"/>
      <c r="G2428" s="1771"/>
      <c r="H2428" s="1771"/>
      <c r="I2428" s="1778"/>
      <c r="J2428" s="1771"/>
      <c r="K2428" s="1771"/>
      <c r="L2428" s="1771"/>
      <c r="M2428" s="1771"/>
      <c r="N2428" s="1779"/>
      <c r="O2428" s="1770"/>
      <c r="P2428" s="1771"/>
      <c r="Q2428" s="1766"/>
      <c r="R2428" s="1766"/>
      <c r="S2428" s="1696"/>
      <c r="T2428" s="1696"/>
      <c r="U2428" s="1772"/>
      <c r="V2428" s="1696"/>
      <c r="W2428" s="1772"/>
      <c r="X2428" s="1696"/>
      <c r="Y2428" s="1696"/>
      <c r="Z2428" s="1773"/>
    </row>
    <row r="2429">
      <c r="A2429" s="1771"/>
      <c r="B2429" s="1777"/>
      <c r="C2429" s="1771"/>
      <c r="D2429" s="1771"/>
      <c r="E2429" s="1770"/>
      <c r="F2429" s="1771"/>
      <c r="G2429" s="1770"/>
      <c r="H2429" s="1771"/>
      <c r="I2429" s="1778"/>
      <c r="J2429" s="1771"/>
      <c r="K2429" s="1771"/>
      <c r="L2429" s="1771"/>
      <c r="M2429" s="1771"/>
      <c r="N2429" s="1779"/>
      <c r="O2429" s="1770"/>
      <c r="P2429" s="1771"/>
      <c r="Q2429" s="1766"/>
      <c r="R2429" s="1766"/>
      <c r="S2429" s="1696"/>
      <c r="T2429" s="1696"/>
      <c r="U2429" s="1772"/>
      <c r="V2429" s="1696"/>
      <c r="W2429" s="1772"/>
      <c r="X2429" s="1696"/>
      <c r="Y2429" s="1696"/>
      <c r="Z2429" s="1773"/>
    </row>
    <row r="2430">
      <c r="A2430" s="1771"/>
      <c r="B2430" s="1777"/>
      <c r="C2430" s="1771"/>
      <c r="D2430" s="1771"/>
      <c r="E2430" s="1770"/>
      <c r="F2430" s="1771"/>
      <c r="G2430" s="1770"/>
      <c r="H2430" s="1771"/>
      <c r="I2430" s="1778"/>
      <c r="J2430" s="1771"/>
      <c r="K2430" s="1771"/>
      <c r="L2430" s="1771"/>
      <c r="M2430" s="1771"/>
      <c r="N2430" s="1779"/>
      <c r="O2430" s="1770"/>
      <c r="P2430" s="1771"/>
      <c r="Q2430" s="1766"/>
      <c r="R2430" s="1766"/>
      <c r="S2430" s="1696"/>
      <c r="T2430" s="1696"/>
      <c r="U2430" s="1772"/>
      <c r="V2430" s="1696"/>
      <c r="W2430" s="1772"/>
      <c r="X2430" s="1696"/>
      <c r="Y2430" s="1696"/>
      <c r="Z2430" s="1773"/>
    </row>
    <row r="2431">
      <c r="A2431" s="1771"/>
      <c r="B2431" s="1777"/>
      <c r="C2431" s="1771"/>
      <c r="D2431" s="1771"/>
      <c r="E2431" s="1770"/>
      <c r="F2431" s="1771"/>
      <c r="G2431" s="1770"/>
      <c r="H2431" s="1771"/>
      <c r="I2431" s="1778"/>
      <c r="J2431" s="1771"/>
      <c r="K2431" s="1771"/>
      <c r="L2431" s="1771"/>
      <c r="M2431" s="1771"/>
      <c r="N2431" s="1779"/>
      <c r="O2431" s="1770"/>
      <c r="P2431" s="1771"/>
      <c r="Q2431" s="1766"/>
      <c r="R2431" s="1766"/>
      <c r="S2431" s="1696"/>
      <c r="T2431" s="1696"/>
      <c r="U2431" s="1772"/>
      <c r="V2431" s="1696"/>
      <c r="W2431" s="1772"/>
      <c r="X2431" s="1696"/>
      <c r="Y2431" s="1696"/>
      <c r="Z2431" s="1773"/>
    </row>
    <row r="2432">
      <c r="A2432" s="1771"/>
      <c r="B2432" s="1777"/>
      <c r="C2432" s="1771"/>
      <c r="D2432" s="1771"/>
      <c r="E2432" s="1770"/>
      <c r="F2432" s="1771"/>
      <c r="G2432" s="1770"/>
      <c r="H2432" s="1771"/>
      <c r="I2432" s="1778"/>
      <c r="J2432" s="1771"/>
      <c r="K2432" s="1771"/>
      <c r="L2432" s="1771"/>
      <c r="M2432" s="1771"/>
      <c r="N2432" s="1779"/>
      <c r="O2432" s="1770"/>
      <c r="P2432" s="1771"/>
      <c r="Q2432" s="1766"/>
      <c r="R2432" s="1766"/>
      <c r="S2432" s="1696"/>
      <c r="T2432" s="1696"/>
      <c r="U2432" s="1772"/>
      <c r="V2432" s="1696"/>
      <c r="W2432" s="1772"/>
      <c r="X2432" s="1696"/>
      <c r="Y2432" s="1696"/>
      <c r="Z2432" s="1773"/>
    </row>
    <row r="2433">
      <c r="A2433" s="1771"/>
      <c r="B2433" s="1777"/>
      <c r="C2433" s="1771"/>
      <c r="D2433" s="1771"/>
      <c r="E2433" s="1770"/>
      <c r="F2433" s="1771"/>
      <c r="G2433" s="1770"/>
      <c r="H2433" s="1771"/>
      <c r="I2433" s="1778"/>
      <c r="J2433" s="1771"/>
      <c r="K2433" s="1771"/>
      <c r="L2433" s="1771"/>
      <c r="M2433" s="1771"/>
      <c r="N2433" s="1779"/>
      <c r="O2433" s="1770"/>
      <c r="P2433" s="1771"/>
      <c r="Q2433" s="1766"/>
      <c r="R2433" s="1766"/>
      <c r="S2433" s="1696"/>
      <c r="T2433" s="1696"/>
      <c r="U2433" s="1772"/>
      <c r="V2433" s="1696"/>
      <c r="W2433" s="1772"/>
      <c r="X2433" s="1696"/>
      <c r="Y2433" s="1696"/>
      <c r="Z2433" s="1773"/>
    </row>
    <row r="2434">
      <c r="A2434" s="1771"/>
      <c r="B2434" s="1777"/>
      <c r="C2434" s="1771"/>
      <c r="D2434" s="1771"/>
      <c r="E2434" s="1770"/>
      <c r="F2434" s="1771"/>
      <c r="G2434" s="1770"/>
      <c r="H2434" s="1771"/>
      <c r="I2434" s="1778"/>
      <c r="J2434" s="1771"/>
      <c r="K2434" s="1771"/>
      <c r="L2434" s="1771"/>
      <c r="M2434" s="1771"/>
      <c r="N2434" s="1779"/>
      <c r="O2434" s="1770"/>
      <c r="P2434" s="1771"/>
      <c r="Q2434" s="1766"/>
      <c r="R2434" s="1766"/>
      <c r="S2434" s="1696"/>
      <c r="T2434" s="1696"/>
      <c r="U2434" s="1772"/>
      <c r="V2434" s="1696"/>
      <c r="W2434" s="1772"/>
      <c r="X2434" s="1696"/>
      <c r="Y2434" s="1696"/>
      <c r="Z2434" s="1773"/>
    </row>
    <row r="2435">
      <c r="A2435" s="1771"/>
      <c r="B2435" s="1777"/>
      <c r="C2435" s="1771"/>
      <c r="D2435" s="1771"/>
      <c r="E2435" s="1770"/>
      <c r="F2435" s="1771"/>
      <c r="G2435" s="1770"/>
      <c r="H2435" s="1771"/>
      <c r="I2435" s="1778"/>
      <c r="J2435" s="1771"/>
      <c r="K2435" s="1771"/>
      <c r="L2435" s="1771"/>
      <c r="M2435" s="1771"/>
      <c r="N2435" s="1779"/>
      <c r="O2435" s="1770"/>
      <c r="P2435" s="1771"/>
      <c r="Q2435" s="1766"/>
      <c r="R2435" s="1766"/>
      <c r="S2435" s="1696"/>
      <c r="T2435" s="1696"/>
      <c r="U2435" s="1772"/>
      <c r="V2435" s="1696"/>
      <c r="W2435" s="1772"/>
      <c r="X2435" s="1696"/>
      <c r="Y2435" s="1696"/>
      <c r="Z2435" s="1773"/>
    </row>
    <row r="2436">
      <c r="A2436" s="1771"/>
      <c r="B2436" s="1777"/>
      <c r="C2436" s="1771"/>
      <c r="D2436" s="1771"/>
      <c r="E2436" s="1770"/>
      <c r="F2436" s="1771"/>
      <c r="G2436" s="1770"/>
      <c r="H2436" s="1771"/>
      <c r="I2436" s="1778"/>
      <c r="J2436" s="1771"/>
      <c r="K2436" s="1771"/>
      <c r="L2436" s="1771"/>
      <c r="M2436" s="1771"/>
      <c r="N2436" s="1779"/>
      <c r="O2436" s="1770"/>
      <c r="P2436" s="1771"/>
      <c r="Q2436" s="1766"/>
      <c r="R2436" s="1766"/>
      <c r="S2436" s="1696"/>
      <c r="T2436" s="1696"/>
      <c r="U2436" s="1772"/>
      <c r="V2436" s="1696"/>
      <c r="W2436" s="1772"/>
      <c r="X2436" s="1696"/>
      <c r="Y2436" s="1696"/>
      <c r="Z2436" s="1773"/>
    </row>
    <row r="2437">
      <c r="A2437" s="1771"/>
      <c r="B2437" s="1777"/>
      <c r="C2437" s="1771"/>
      <c r="D2437" s="1771"/>
      <c r="E2437" s="1770"/>
      <c r="F2437" s="1771"/>
      <c r="G2437" s="1770"/>
      <c r="H2437" s="1771"/>
      <c r="I2437" s="1778"/>
      <c r="J2437" s="1771"/>
      <c r="K2437" s="1771"/>
      <c r="L2437" s="1771"/>
      <c r="M2437" s="1771"/>
      <c r="N2437" s="1779"/>
      <c r="O2437" s="1770"/>
      <c r="P2437" s="1771"/>
      <c r="Q2437" s="1766"/>
      <c r="R2437" s="1766"/>
      <c r="S2437" s="1696"/>
      <c r="T2437" s="1696"/>
      <c r="U2437" s="1772"/>
      <c r="V2437" s="1696"/>
      <c r="W2437" s="1772"/>
      <c r="X2437" s="1696"/>
      <c r="Y2437" s="1696"/>
      <c r="Z2437" s="1773"/>
    </row>
    <row r="2438">
      <c r="A2438" s="1771"/>
      <c r="B2438" s="1777"/>
      <c r="C2438" s="1771"/>
      <c r="D2438" s="1771"/>
      <c r="E2438" s="1770"/>
      <c r="F2438" s="1771"/>
      <c r="G2438" s="1770"/>
      <c r="H2438" s="1771"/>
      <c r="I2438" s="1778"/>
      <c r="J2438" s="1771"/>
      <c r="K2438" s="1771"/>
      <c r="L2438" s="1771"/>
      <c r="M2438" s="1771"/>
      <c r="N2438" s="1779"/>
      <c r="O2438" s="1770"/>
      <c r="P2438" s="1771"/>
      <c r="Q2438" s="1766"/>
      <c r="R2438" s="1766"/>
      <c r="S2438" s="1696"/>
      <c r="T2438" s="1696"/>
      <c r="U2438" s="1772"/>
      <c r="V2438" s="1696"/>
      <c r="W2438" s="1772"/>
      <c r="X2438" s="1696"/>
      <c r="Y2438" s="1696"/>
      <c r="Z2438" s="1773"/>
    </row>
    <row r="2439">
      <c r="A2439" s="1771"/>
      <c r="B2439" s="1777"/>
      <c r="C2439" s="1771"/>
      <c r="D2439" s="1771"/>
      <c r="E2439" s="1770"/>
      <c r="F2439" s="1771"/>
      <c r="G2439" s="1770"/>
      <c r="H2439" s="1771"/>
      <c r="I2439" s="1778"/>
      <c r="J2439" s="1771"/>
      <c r="K2439" s="1771"/>
      <c r="L2439" s="1771"/>
      <c r="M2439" s="1771"/>
      <c r="N2439" s="1779"/>
      <c r="O2439" s="1770"/>
      <c r="P2439" s="1771"/>
      <c r="Q2439" s="1766"/>
      <c r="R2439" s="1766"/>
      <c r="S2439" s="1696"/>
      <c r="T2439" s="1696"/>
      <c r="U2439" s="1772"/>
      <c r="V2439" s="1696"/>
      <c r="W2439" s="1772"/>
      <c r="X2439" s="1696"/>
      <c r="Y2439" s="1696"/>
      <c r="Z2439" s="1773"/>
    </row>
    <row r="2440">
      <c r="A2440" s="1771"/>
      <c r="B2440" s="1777"/>
      <c r="C2440" s="1771"/>
      <c r="D2440" s="1771"/>
      <c r="E2440" s="1770"/>
      <c r="F2440" s="1771"/>
      <c r="G2440" s="1770"/>
      <c r="H2440" s="1771"/>
      <c r="I2440" s="1778"/>
      <c r="J2440" s="1771"/>
      <c r="K2440" s="1771"/>
      <c r="L2440" s="1771"/>
      <c r="M2440" s="1771"/>
      <c r="N2440" s="1779"/>
      <c r="O2440" s="1770"/>
      <c r="P2440" s="1771"/>
      <c r="Q2440" s="1766"/>
      <c r="R2440" s="1766"/>
      <c r="S2440" s="1696"/>
      <c r="T2440" s="1696"/>
      <c r="U2440" s="1772"/>
      <c r="V2440" s="1696"/>
      <c r="W2440" s="1772"/>
      <c r="X2440" s="1696"/>
      <c r="Y2440" s="1696"/>
      <c r="Z2440" s="1773"/>
    </row>
    <row r="2441">
      <c r="A2441" s="1771"/>
      <c r="B2441" s="1777"/>
      <c r="C2441" s="1771"/>
      <c r="D2441" s="1771"/>
      <c r="E2441" s="1770"/>
      <c r="F2441" s="1771"/>
      <c r="G2441" s="1770"/>
      <c r="H2441" s="1771"/>
      <c r="I2441" s="1778"/>
      <c r="J2441" s="1771"/>
      <c r="K2441" s="1771"/>
      <c r="L2441" s="1771"/>
      <c r="M2441" s="1771"/>
      <c r="N2441" s="1779"/>
      <c r="O2441" s="1770"/>
      <c r="P2441" s="1771"/>
      <c r="Q2441" s="1766"/>
      <c r="R2441" s="1766"/>
      <c r="S2441" s="1696"/>
      <c r="T2441" s="1696"/>
      <c r="U2441" s="1772"/>
      <c r="V2441" s="1696"/>
      <c r="W2441" s="1772"/>
      <c r="X2441" s="1696"/>
      <c r="Y2441" s="1696"/>
      <c r="Z2441" s="1773"/>
    </row>
  </sheetData>
  <mergeCells count="154">
    <mergeCell ref="S2:T2"/>
    <mergeCell ref="S7:T7"/>
    <mergeCell ref="S15:T15"/>
    <mergeCell ref="S35:T35"/>
    <mergeCell ref="S42:T42"/>
    <mergeCell ref="S43:T43"/>
    <mergeCell ref="S45:T45"/>
    <mergeCell ref="S46:T46"/>
    <mergeCell ref="S47:T47"/>
    <mergeCell ref="S48:T48"/>
    <mergeCell ref="S49:T49"/>
    <mergeCell ref="S50:T50"/>
    <mergeCell ref="S51:T51"/>
    <mergeCell ref="S52:T52"/>
    <mergeCell ref="S79:T79"/>
    <mergeCell ref="S106:T106"/>
    <mergeCell ref="S138:T138"/>
    <mergeCell ref="S139:T139"/>
    <mergeCell ref="S140:T140"/>
    <mergeCell ref="S142:T142"/>
    <mergeCell ref="S145:T145"/>
    <mergeCell ref="S146:T146"/>
    <mergeCell ref="S147:T147"/>
    <mergeCell ref="S149:T149"/>
    <mergeCell ref="S150:T150"/>
    <mergeCell ref="S151:T151"/>
    <mergeCell ref="S152:T152"/>
    <mergeCell ref="S153:T153"/>
    <mergeCell ref="S159:T159"/>
    <mergeCell ref="S160:T160"/>
    <mergeCell ref="S162:T162"/>
    <mergeCell ref="S163:T163"/>
    <mergeCell ref="S165:T165"/>
    <mergeCell ref="S170:T170"/>
    <mergeCell ref="S219:T219"/>
    <mergeCell ref="S228:T228"/>
    <mergeCell ref="S229:T229"/>
    <mergeCell ref="S230:T230"/>
    <mergeCell ref="S232:T232"/>
    <mergeCell ref="S235:T235"/>
    <mergeCell ref="S236:T236"/>
    <mergeCell ref="S237:T237"/>
    <mergeCell ref="S240:T240"/>
    <mergeCell ref="S246:T246"/>
    <mergeCell ref="S269:T269"/>
    <mergeCell ref="S325:T325"/>
    <mergeCell ref="S327:T327"/>
    <mergeCell ref="S328:T328"/>
    <mergeCell ref="S329:T329"/>
    <mergeCell ref="S497:T497"/>
    <mergeCell ref="S503:T503"/>
    <mergeCell ref="S505:T505"/>
    <mergeCell ref="S506:T506"/>
    <mergeCell ref="S507:T507"/>
    <mergeCell ref="S508:T508"/>
    <mergeCell ref="S509:T509"/>
    <mergeCell ref="S510:T510"/>
    <mergeCell ref="S511:T511"/>
    <mergeCell ref="S524:T524"/>
    <mergeCell ref="S538:T538"/>
    <mergeCell ref="S539:T539"/>
    <mergeCell ref="S540:T540"/>
    <mergeCell ref="S541:T541"/>
    <mergeCell ref="S548:T548"/>
    <mergeCell ref="S550:T550"/>
    <mergeCell ref="S572:T572"/>
    <mergeCell ref="S573:T573"/>
    <mergeCell ref="S574:T574"/>
    <mergeCell ref="S575:T575"/>
    <mergeCell ref="S576:T576"/>
    <mergeCell ref="S587:T587"/>
    <mergeCell ref="S588:T588"/>
    <mergeCell ref="S589:T589"/>
    <mergeCell ref="S594:T594"/>
    <mergeCell ref="S595:T595"/>
    <mergeCell ref="S596:T596"/>
    <mergeCell ref="S601:T601"/>
    <mergeCell ref="S606:T606"/>
    <mergeCell ref="S614:T614"/>
    <mergeCell ref="S615:T615"/>
    <mergeCell ref="S643:T643"/>
    <mergeCell ref="S649:T649"/>
    <mergeCell ref="S654:T654"/>
    <mergeCell ref="S663:T663"/>
    <mergeCell ref="S664:T664"/>
    <mergeCell ref="S674:T674"/>
    <mergeCell ref="S675:T675"/>
    <mergeCell ref="S676:T676"/>
    <mergeCell ref="S687:T687"/>
    <mergeCell ref="S690:T690"/>
    <mergeCell ref="S701:T701"/>
    <mergeCell ref="S713:T713"/>
    <mergeCell ref="S715:T715"/>
    <mergeCell ref="S716:T716"/>
    <mergeCell ref="S717:T717"/>
    <mergeCell ref="S823:T823"/>
    <mergeCell ref="S845:T845"/>
    <mergeCell ref="S856:T856"/>
    <mergeCell ref="S702:T702"/>
    <mergeCell ref="S703:T703"/>
    <mergeCell ref="S704:T704"/>
    <mergeCell ref="S706:T706"/>
    <mergeCell ref="S707:T707"/>
    <mergeCell ref="S708:T708"/>
    <mergeCell ref="S709:T709"/>
    <mergeCell ref="S330:T330"/>
    <mergeCell ref="S331:T331"/>
    <mergeCell ref="S347:T347"/>
    <mergeCell ref="S348:T348"/>
    <mergeCell ref="S349:T349"/>
    <mergeCell ref="S361:T361"/>
    <mergeCell ref="S362:T362"/>
    <mergeCell ref="S363:T363"/>
    <mergeCell ref="S365:T365"/>
    <mergeCell ref="S366:T366"/>
    <mergeCell ref="S410:T410"/>
    <mergeCell ref="S413:T413"/>
    <mergeCell ref="S414:T414"/>
    <mergeCell ref="S416:T416"/>
    <mergeCell ref="S418:T418"/>
    <mergeCell ref="S419:T419"/>
    <mergeCell ref="S420:T420"/>
    <mergeCell ref="S423:T423"/>
    <mergeCell ref="S424:T424"/>
    <mergeCell ref="S425:T425"/>
    <mergeCell ref="S427:T427"/>
    <mergeCell ref="S428:T428"/>
    <mergeCell ref="S431:T431"/>
    <mergeCell ref="S439:T439"/>
    <mergeCell ref="S440:T440"/>
    <mergeCell ref="S441:T441"/>
    <mergeCell ref="S442:T442"/>
    <mergeCell ref="S443:T443"/>
    <mergeCell ref="S447:T447"/>
    <mergeCell ref="S448:T448"/>
    <mergeCell ref="S449:T449"/>
    <mergeCell ref="S451:T451"/>
    <mergeCell ref="S454:T454"/>
    <mergeCell ref="S462:T462"/>
    <mergeCell ref="S466:T466"/>
    <mergeCell ref="S469:T469"/>
    <mergeCell ref="S470:T470"/>
    <mergeCell ref="S471:T471"/>
    <mergeCell ref="S472:T472"/>
    <mergeCell ref="S473:T473"/>
    <mergeCell ref="S474:T474"/>
    <mergeCell ref="S475:T475"/>
    <mergeCell ref="S477:T477"/>
    <mergeCell ref="S478:T478"/>
    <mergeCell ref="S479:T479"/>
    <mergeCell ref="S481:T481"/>
    <mergeCell ref="S482:T482"/>
    <mergeCell ref="S483:T483"/>
    <mergeCell ref="S486:T486"/>
  </mergeCells>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38"/>
    <col customWidth="1" min="2" max="2" width="20.63"/>
    <col customWidth="1" min="3" max="3" width="1.38"/>
    <col customWidth="1" min="4" max="4" width="20.63"/>
    <col customWidth="1" min="5" max="5" width="1.5"/>
    <col customWidth="1" min="6" max="6" width="20.63"/>
    <col customWidth="1" min="7" max="7" width="1.75"/>
    <col customWidth="1" min="8" max="8" width="20.63"/>
    <col customWidth="1" min="9" max="9" width="1.5"/>
    <col customWidth="1" min="10" max="10" width="20.63"/>
    <col customWidth="1" min="11" max="11" width="1.63"/>
    <col customWidth="1" min="12" max="12" width="20.63"/>
    <col customWidth="1" min="13" max="13" width="1.63"/>
  </cols>
  <sheetData>
    <row r="1">
      <c r="A1" s="1786"/>
      <c r="B1" s="1786" t="s">
        <v>3190</v>
      </c>
      <c r="N1" s="1787" t="s">
        <v>3191</v>
      </c>
      <c r="O1" s="1787" t="s">
        <v>3192</v>
      </c>
    </row>
    <row r="2">
      <c r="A2" s="1786"/>
      <c r="B2" s="1786"/>
      <c r="C2" s="1788"/>
      <c r="D2" s="1786"/>
      <c r="E2" s="1788"/>
      <c r="F2" s="1786"/>
      <c r="H2" s="1786"/>
      <c r="J2" s="1786"/>
      <c r="L2" s="1786"/>
    </row>
    <row r="3">
      <c r="A3" s="1786"/>
      <c r="B3" s="1789" t="str">
        <f> IF(B4 = "","",concatenate("BRANCH: ",Indirect("204 " &amp; B4 &amp; "!$C$7")))</f>
        <v>BRANCH: Joseph Branch (Example)</v>
      </c>
      <c r="C3" s="1790"/>
      <c r="D3" s="1789" t="str">
        <f> IF(left(D4,5) = left(B4,5),"",IF(D4 = "","",concatenate("BRANCH: ",Indirect("204 " &amp; D4 &amp; "!$C$7"))))</f>
        <v/>
      </c>
      <c r="E3" s="1790"/>
      <c r="F3" s="1789" t="str">
        <f> IF(left(F4,5) = left(D4,5),"",IF(F4 = "","",concatenate("BRANCH: ",Indirect("204 " &amp; F4 &amp; "!$C$7"))))</f>
        <v/>
      </c>
      <c r="G3" s="1791"/>
      <c r="H3" s="1789" t="str">
        <f> IF(left(H4,5) = left(F4,5),"",IF(H4 = "","",concatenate("BRANCH: ",Indirect("204 " &amp; H4 &amp; "!$C$7"))))</f>
        <v/>
      </c>
      <c r="I3" s="1791"/>
      <c r="J3" s="1789" t="str">
        <f> IF(left(J4,5) = left(H4,5),"",IF(J4 = "","",concatenate("BRANCH: ",Indirect("204 " &amp; J4 &amp; "!$C$7"))))</f>
        <v/>
      </c>
      <c r="K3" s="1791"/>
      <c r="L3" s="1789" t="str">
        <f> IF(left(L4,5) = left(J4,5),"",IF(L4 = "","",concatenate("BRANCH: ",Indirect("204 " &amp; L4 &amp; "!$C$7"))))</f>
        <v/>
      </c>
      <c r="M3" s="1791"/>
    </row>
    <row r="4">
      <c r="A4" s="1786"/>
      <c r="B4" s="1792" t="s">
        <v>3193</v>
      </c>
      <c r="C4" s="1790"/>
      <c r="D4" s="1792" t="s">
        <v>3194</v>
      </c>
      <c r="E4" s="1790"/>
      <c r="F4" s="1792"/>
      <c r="G4" s="1791"/>
      <c r="H4" s="1793"/>
      <c r="I4" s="1791"/>
      <c r="J4" s="1793"/>
      <c r="K4" s="1791"/>
      <c r="L4" s="1793"/>
      <c r="M4" s="1791"/>
      <c r="N4" s="1794" t="s">
        <v>3195</v>
      </c>
      <c r="O4" s="210"/>
    </row>
    <row r="5">
      <c r="A5" s="1786"/>
      <c r="B5" s="1789" t="str">
        <f> IF(B4 = "","",concatenate("DIVS: ",Indirect("204 " &amp; B4 &amp; "!$C$8"),Indirect("204 " &amp; B4 &amp; "!$B$8")))</f>
        <v>DIVS: Tim Braun (Example)</v>
      </c>
      <c r="C5" s="1791"/>
      <c r="D5" s="1789" t="str">
        <f> IF(D4 = "","",concatenate("DIVS: ",Indirect("204 " &amp; D4 &amp; "!$C$8"),Indirect("204 " &amp; D4 &amp; "!$B$8")))</f>
        <v>DIVS: Jack Templeton (example)</v>
      </c>
      <c r="E5" s="1791"/>
      <c r="F5" s="1789" t="str">
        <f> IF(F4 = "","",concatenate("DIVS: ",Indirect("204 " &amp; F4 &amp; "!$C$8"),Indirect("204 " &amp; F4 &amp; "!$B$8")))</f>
        <v/>
      </c>
      <c r="G5" s="1791"/>
      <c r="H5" s="1789" t="str">
        <f> IF(H4 = "","",concatenate("DIVS: ",Indirect("204 " &amp; H4 &amp; "!$C$8"),Indirect("204 " &amp; H4 &amp; "!$B$8")))</f>
        <v/>
      </c>
      <c r="I5" s="1791"/>
      <c r="J5" s="1789" t="str">
        <f> IF(J4 = "","",concatenate("DIVS: ",Indirect("204 " &amp; J4 &amp; "!$C$8"),Indirect("204 " &amp; J4 &amp; "!$B$8")))</f>
        <v/>
      </c>
      <c r="K5" s="1791"/>
      <c r="L5" s="1789" t="str">
        <f> IF(L4 = "","",concatenate("DIVS: ",Indirect("204 " &amp; L4 &amp; "!$C$8"),Indirect("204 " &amp; L4 &amp; "!$B$8")))</f>
        <v/>
      </c>
      <c r="M5" s="1791"/>
      <c r="N5" s="1795"/>
      <c r="O5" s="55"/>
    </row>
    <row r="6">
      <c r="B6" s="1796" t="str">
        <f>IFERROR(__xludf.DUMMYFUNCTION(" IF (B4 = """","""",filter(Indirect(""204 "" &amp; B4 &amp; ""!$A11:$A28""), NOT(ISBLANK(Indirect(""204 "" &amp; B4 &amp; ""!$A11:$A28"")))))"),"")</f>
        <v/>
      </c>
      <c r="C6" s="1797"/>
      <c r="D6" s="1796" t="str">
        <f>IFERROR(__xludf.DUMMYFUNCTION(" IF (D4 = """","""",filter(Indirect(""204 "" &amp; D4 &amp; ""!$A11:$A28""), NOT(ISBLANK(Indirect(""204 "" &amp; D4 &amp; ""!$A11:$A28"")))))"),"")</f>
        <v/>
      </c>
      <c r="E6" s="1797"/>
      <c r="F6" s="1796" t="str">
        <f>IFERROR(__xludf.DUMMYFUNCTION(" IF (F4 = """","""",filter(Indirect(""204 "" &amp; F4 &amp; ""!$A11:$A28""), NOT(ISBLANK(Indirect(""204 "" &amp; F4 &amp; ""!$A11:$A28"")))))"),"")</f>
        <v/>
      </c>
      <c r="G6" s="1797"/>
      <c r="H6" s="1796" t="str">
        <f>IFERROR(__xludf.DUMMYFUNCTION(" IF (H4 = """","""",filter(Indirect(""204 "" &amp; H4 &amp; ""!$A11:$A28""), NOT(ISBLANK(Indirect(""204 "" &amp; H4 &amp; ""!$A11:$A28"")))))"),"")</f>
        <v/>
      </c>
      <c r="I6" s="1797"/>
      <c r="J6" s="1796" t="str">
        <f>IFERROR(__xludf.DUMMYFUNCTION(" IF (J4 = """","""",filter(Indirect(""204 "" &amp; J4 &amp; ""!$A11:$A28""), NOT(ISBLANK(Indirect(""204 "" &amp; J4 &amp; ""!$A11:$A28"")))))"),"")</f>
        <v/>
      </c>
      <c r="K6" s="1797"/>
      <c r="L6" s="1796" t="str">
        <f>IFERROR(__xludf.DUMMYFUNCTION(" IF (L4 = """","""",filter(Indirect(""204 "" &amp; L4 &amp; ""!$A11:$A28""), NOT(ISBLANK(Indirect(""204 "" &amp; L4 &amp; ""!$A11:$A28"")))))"),"")</f>
        <v/>
      </c>
      <c r="M6" s="1791"/>
      <c r="N6" s="1786" t="s">
        <v>3196</v>
      </c>
    </row>
    <row r="7">
      <c r="B7" s="1796" t="str">
        <f>IFERROR(__xludf.DUMMYFUNCTION("""COMPUTED_VALUE"""),"")</f>
        <v/>
      </c>
      <c r="C7" s="1797"/>
      <c r="D7" s="1796" t="str">
        <f>IFERROR(__xludf.DUMMYFUNCTION("""COMPUTED_VALUE"""),"")</f>
        <v/>
      </c>
      <c r="E7" s="1797"/>
      <c r="F7" s="1796"/>
      <c r="G7" s="1797"/>
      <c r="H7" s="1796"/>
      <c r="I7" s="1797"/>
      <c r="J7" s="1796"/>
      <c r="K7" s="1797"/>
      <c r="L7" s="1796"/>
      <c r="M7" s="1791"/>
      <c r="N7" s="1798" t="s">
        <v>210</v>
      </c>
      <c r="O7" s="1799"/>
    </row>
    <row r="8">
      <c r="B8" s="1796" t="str">
        <f>IFERROR(__xludf.DUMMYFUNCTION("""COMPUTED_VALUE"""),"")</f>
        <v/>
      </c>
      <c r="C8" s="1797"/>
      <c r="D8" s="1796" t="str">
        <f>IFERROR(__xludf.DUMMYFUNCTION("""COMPUTED_VALUE"""),"")</f>
        <v/>
      </c>
      <c r="E8" s="1797"/>
      <c r="F8" s="1796"/>
      <c r="G8" s="1797"/>
      <c r="H8" s="1796"/>
      <c r="I8" s="1797"/>
      <c r="J8" s="1796"/>
      <c r="K8" s="1797"/>
      <c r="L8" s="1796"/>
      <c r="M8" s="1791"/>
      <c r="N8" s="1800" t="str">
        <f>IFERROR(__xludf.DUMMYFUNCTION(" if (N7 = ""ALL"",filter(ResourceID!B2:B144,ISBLANK(ResourceID!H2:H144)),filter(ResourceID!B2:B144,find(N7,ResourceID!B2:B144),ISBLANK(ResourceID!H2:H144)))"),"#N/A")</f>
        <v>#N/A</v>
      </c>
      <c r="P8" s="41"/>
    </row>
    <row r="9">
      <c r="B9" s="1796" t="str">
        <f>IFERROR(__xludf.DUMMYFUNCTION("""COMPUTED_VALUE"""),"")</f>
        <v/>
      </c>
      <c r="C9" s="1797"/>
      <c r="D9" s="1796" t="str">
        <f>IFERROR(__xludf.DUMMYFUNCTION("""COMPUTED_VALUE"""),"")</f>
        <v/>
      </c>
      <c r="E9" s="1797"/>
      <c r="F9" s="1796"/>
      <c r="G9" s="1797"/>
      <c r="H9" s="1796"/>
      <c r="I9" s="1797"/>
      <c r="J9" s="1796"/>
      <c r="K9" s="1797"/>
      <c r="L9" s="1796"/>
      <c r="M9" s="1791"/>
    </row>
    <row r="10">
      <c r="B10" s="1796" t="str">
        <f>IFERROR(__xludf.DUMMYFUNCTION("""COMPUTED_VALUE"""),"")</f>
        <v/>
      </c>
      <c r="C10" s="1797"/>
      <c r="D10" s="1796" t="str">
        <f>IFERROR(__xludf.DUMMYFUNCTION("""COMPUTED_VALUE"""),"")</f>
        <v/>
      </c>
      <c r="E10" s="1797"/>
      <c r="F10" s="1796"/>
      <c r="G10" s="1797"/>
      <c r="H10" s="1796"/>
      <c r="I10" s="1797"/>
      <c r="J10" s="1796"/>
      <c r="K10" s="1797"/>
      <c r="L10" s="1796"/>
      <c r="M10" s="1791"/>
    </row>
    <row r="11">
      <c r="B11" s="1796" t="str">
        <f>IFERROR(__xludf.DUMMYFUNCTION("""COMPUTED_VALUE"""),"")</f>
        <v/>
      </c>
      <c r="C11" s="1797"/>
      <c r="D11" s="1796" t="str">
        <f>IFERROR(__xludf.DUMMYFUNCTION("""COMPUTED_VALUE"""),"")</f>
        <v/>
      </c>
      <c r="E11" s="1797"/>
      <c r="F11" s="1796"/>
      <c r="G11" s="1797"/>
      <c r="H11" s="1796"/>
      <c r="I11" s="1797"/>
      <c r="J11" s="1796"/>
      <c r="K11" s="1797"/>
      <c r="L11" s="1796"/>
      <c r="M11" s="1791"/>
    </row>
    <row r="12">
      <c r="B12" s="1796" t="str">
        <f>IFERROR(__xludf.DUMMYFUNCTION("""COMPUTED_VALUE"""),"")</f>
        <v/>
      </c>
      <c r="C12" s="1797"/>
      <c r="D12" s="1796" t="str">
        <f>IFERROR(__xludf.DUMMYFUNCTION("""COMPUTED_VALUE"""),"")</f>
        <v/>
      </c>
      <c r="E12" s="1797"/>
      <c r="F12" s="1796"/>
      <c r="G12" s="1797"/>
      <c r="H12" s="1796"/>
      <c r="I12" s="1797"/>
      <c r="J12" s="1796"/>
      <c r="K12" s="1797"/>
      <c r="L12" s="1796"/>
      <c r="M12" s="1791"/>
    </row>
    <row r="13">
      <c r="B13" s="1796" t="str">
        <f>IFERROR(__xludf.DUMMYFUNCTION("""COMPUTED_VALUE"""),"")</f>
        <v/>
      </c>
      <c r="C13" s="1797"/>
      <c r="D13" s="1796" t="str">
        <f>IFERROR(__xludf.DUMMYFUNCTION("""COMPUTED_VALUE"""),"")</f>
        <v/>
      </c>
      <c r="E13" s="1797"/>
      <c r="F13" s="1796"/>
      <c r="G13" s="1797"/>
      <c r="H13" s="1796"/>
      <c r="I13" s="1797"/>
      <c r="J13" s="1796"/>
      <c r="K13" s="1797"/>
      <c r="L13" s="1796"/>
      <c r="M13" s="1791"/>
    </row>
    <row r="14">
      <c r="B14" s="1796" t="str">
        <f>IFERROR(__xludf.DUMMYFUNCTION("""COMPUTED_VALUE"""),"")</f>
        <v/>
      </c>
      <c r="C14" s="1797"/>
      <c r="D14" s="1796" t="str">
        <f>IFERROR(__xludf.DUMMYFUNCTION("""COMPUTED_VALUE"""),"")</f>
        <v/>
      </c>
      <c r="E14" s="1797"/>
      <c r="F14" s="1796"/>
      <c r="G14" s="1797"/>
      <c r="H14" s="1796"/>
      <c r="I14" s="1797"/>
      <c r="J14" s="1796"/>
      <c r="K14" s="1797"/>
      <c r="L14" s="1796"/>
      <c r="M14" s="1791"/>
    </row>
    <row r="15">
      <c r="B15" s="1796" t="str">
        <f>IFERROR(__xludf.DUMMYFUNCTION("""COMPUTED_VALUE"""),"")</f>
        <v/>
      </c>
      <c r="C15" s="1797"/>
      <c r="D15" s="1796" t="str">
        <f>IFERROR(__xludf.DUMMYFUNCTION("""COMPUTED_VALUE"""),"")</f>
        <v/>
      </c>
      <c r="E15" s="1797"/>
      <c r="F15" s="1796"/>
      <c r="G15" s="1797"/>
      <c r="H15" s="1796"/>
      <c r="I15" s="1797"/>
      <c r="J15" s="1796"/>
      <c r="K15" s="1797"/>
      <c r="L15" s="1796"/>
      <c r="M15" s="1791"/>
    </row>
    <row r="16">
      <c r="B16" s="1796" t="str">
        <f>IFERROR(__xludf.DUMMYFUNCTION("""COMPUTED_VALUE"""),"")</f>
        <v/>
      </c>
      <c r="C16" s="1797"/>
      <c r="D16" s="1796" t="str">
        <f>IFERROR(__xludf.DUMMYFUNCTION("""COMPUTED_VALUE"""),"")</f>
        <v/>
      </c>
      <c r="E16" s="1797"/>
      <c r="F16" s="1796"/>
      <c r="G16" s="1797"/>
      <c r="H16" s="1796"/>
      <c r="I16" s="1797"/>
      <c r="J16" s="1796"/>
      <c r="K16" s="1797"/>
      <c r="L16" s="1796"/>
      <c r="M16" s="1791"/>
    </row>
    <row r="17">
      <c r="B17" s="1796" t="str">
        <f>IFERROR(__xludf.DUMMYFUNCTION("""COMPUTED_VALUE"""),"")</f>
        <v/>
      </c>
      <c r="C17" s="1797"/>
      <c r="D17" s="1796" t="str">
        <f>IFERROR(__xludf.DUMMYFUNCTION("""COMPUTED_VALUE"""),"")</f>
        <v/>
      </c>
      <c r="E17" s="1797"/>
      <c r="F17" s="1796"/>
      <c r="G17" s="1797"/>
      <c r="H17" s="1796"/>
      <c r="I17" s="1797"/>
      <c r="J17" s="1796"/>
      <c r="K17" s="1797"/>
      <c r="L17" s="1796"/>
      <c r="M17" s="1791"/>
    </row>
    <row r="18">
      <c r="B18" s="1796" t="str">
        <f>IFERROR(__xludf.DUMMYFUNCTION("""COMPUTED_VALUE"""),"")</f>
        <v/>
      </c>
      <c r="C18" s="1797"/>
      <c r="D18" s="1796" t="str">
        <f>IFERROR(__xludf.DUMMYFUNCTION("""COMPUTED_VALUE"""),"")</f>
        <v/>
      </c>
      <c r="E18" s="1797"/>
      <c r="F18" s="1796"/>
      <c r="G18" s="1797"/>
      <c r="H18" s="1796"/>
      <c r="I18" s="1797"/>
      <c r="J18" s="1796"/>
      <c r="K18" s="1797"/>
      <c r="L18" s="1796"/>
      <c r="M18" s="1791"/>
    </row>
    <row r="19">
      <c r="B19" s="1796" t="str">
        <f>IFERROR(__xludf.DUMMYFUNCTION("""COMPUTED_VALUE"""),"")</f>
        <v/>
      </c>
      <c r="C19" s="1797"/>
      <c r="D19" s="1796" t="str">
        <f>IFERROR(__xludf.DUMMYFUNCTION("""COMPUTED_VALUE"""),"")</f>
        <v/>
      </c>
      <c r="E19" s="1797"/>
      <c r="F19" s="1796"/>
      <c r="G19" s="1797"/>
      <c r="H19" s="1796"/>
      <c r="I19" s="1797"/>
      <c r="J19" s="1796"/>
      <c r="K19" s="1797"/>
      <c r="L19" s="1796"/>
      <c r="M19" s="1791"/>
    </row>
    <row r="20">
      <c r="B20" s="1801" t="str">
        <f>IFERROR(__xludf.DUMMYFUNCTION("""COMPUTED_VALUE"""),"")</f>
        <v/>
      </c>
      <c r="C20" s="1797"/>
      <c r="D20" s="1796" t="str">
        <f>IFERROR(__xludf.DUMMYFUNCTION("""COMPUTED_VALUE"""),"")</f>
        <v/>
      </c>
      <c r="E20" s="1797"/>
      <c r="F20" s="1796"/>
      <c r="G20" s="1797"/>
      <c r="H20" s="1796"/>
      <c r="I20" s="1797"/>
      <c r="J20" s="1796"/>
      <c r="K20" s="1797"/>
      <c r="L20" s="1796"/>
      <c r="M20" s="1791"/>
    </row>
    <row r="21">
      <c r="B21" s="1796" t="str">
        <f>IFERROR(__xludf.DUMMYFUNCTION("""COMPUTED_VALUE"""),"")</f>
        <v/>
      </c>
      <c r="C21" s="1797"/>
      <c r="D21" s="1796" t="str">
        <f>IFERROR(__xludf.DUMMYFUNCTION("""COMPUTED_VALUE"""),"")</f>
        <v/>
      </c>
      <c r="E21" s="1797"/>
      <c r="F21" s="1796"/>
      <c r="G21" s="1797"/>
      <c r="H21" s="1796"/>
      <c r="I21" s="1797"/>
      <c r="J21" s="1796"/>
      <c r="K21" s="1797"/>
      <c r="L21" s="1796"/>
      <c r="M21" s="1791"/>
    </row>
    <row r="22">
      <c r="B22" s="1796" t="str">
        <f>IFERROR(__xludf.DUMMYFUNCTION("""COMPUTED_VALUE"""),"")</f>
        <v/>
      </c>
      <c r="C22" s="1797"/>
      <c r="D22" s="1796" t="str">
        <f>IFERROR(__xludf.DUMMYFUNCTION("""COMPUTED_VALUE"""),"")</f>
        <v/>
      </c>
      <c r="E22" s="1797"/>
      <c r="F22" s="1796"/>
      <c r="G22" s="1797"/>
      <c r="H22" s="1796"/>
      <c r="I22" s="1797"/>
      <c r="J22" s="1796"/>
      <c r="K22" s="1797"/>
      <c r="L22" s="1796"/>
      <c r="M22" s="1791"/>
    </row>
    <row r="23">
      <c r="B23" s="1796" t="str">
        <f>IFERROR(__xludf.DUMMYFUNCTION("""COMPUTED_VALUE"""),"")</f>
        <v/>
      </c>
      <c r="C23" s="1797"/>
      <c r="D23" s="1796" t="str">
        <f>IFERROR(__xludf.DUMMYFUNCTION("""COMPUTED_VALUE"""),"")</f>
        <v/>
      </c>
      <c r="E23" s="1797"/>
      <c r="F23" s="1796"/>
      <c r="G23" s="1797"/>
      <c r="H23" s="1796"/>
      <c r="I23" s="1797"/>
      <c r="J23" s="1796"/>
      <c r="K23" s="1797"/>
      <c r="L23" s="1796"/>
      <c r="M23" s="1791"/>
    </row>
    <row r="24">
      <c r="B24" s="1802"/>
      <c r="C24" s="1802"/>
      <c r="D24" s="1802"/>
      <c r="E24" s="1802"/>
      <c r="F24" s="1802"/>
      <c r="G24" s="1802"/>
      <c r="H24" s="1802"/>
      <c r="I24" s="1802"/>
      <c r="J24" s="1802"/>
      <c r="K24" s="1802"/>
      <c r="L24" s="1802"/>
      <c r="M24" s="1791"/>
    </row>
    <row r="25">
      <c r="B25" s="1789" t="str">
        <f> IF(B26 = "","",concatenate("BRANCH: ",Indirect("204 " &amp; B26 &amp; "!$C$7")))</f>
        <v/>
      </c>
      <c r="C25" s="1790"/>
      <c r="D25" s="1789" t="str">
        <f> IF(left(D26,5) = left(B26,5),"",IF(D26 = "","",concatenate("BRANCH: ",Indirect("204 " &amp; D26 &amp; "!$C$7"))))</f>
        <v/>
      </c>
      <c r="E25" s="1790"/>
      <c r="F25" s="1789" t="str">
        <f> IF(left(F26,5) = left(D26,5),"",IF(F26 = "","",concatenate("BRANCH: ",Indirect("204 " &amp; F26 &amp; "!$C$7"))))</f>
        <v/>
      </c>
      <c r="G25" s="1802"/>
      <c r="H25" s="1789" t="str">
        <f> IF(left(H26,5) = left(F26,5),"",IF(H26 = "","",concatenate("BRANCH: ",Indirect("204 " &amp; H26 &amp; "!$C$7"))))</f>
        <v/>
      </c>
      <c r="I25" s="1802"/>
      <c r="J25" s="1789" t="str">
        <f> IF(left(J26,5) = left(H26,5),"",IF(J26 = "","",concatenate("BRANCH: ",Indirect("204 " &amp; J26 &amp; "!$C$7"))))</f>
        <v/>
      </c>
      <c r="K25" s="1802"/>
      <c r="L25" s="1789" t="str">
        <f> IF(left(L26,5) = left(J26,5),"",IF(L26 = "","",concatenate("BRANCH: ",Indirect("204 " &amp; L26 &amp; "!$C$7"))))</f>
        <v/>
      </c>
      <c r="M25" s="1791"/>
    </row>
    <row r="26">
      <c r="A26" s="1786"/>
      <c r="B26" s="1793"/>
      <c r="C26" s="1802"/>
      <c r="D26" s="1803"/>
      <c r="E26" s="1802"/>
      <c r="F26" s="1803"/>
      <c r="G26" s="1802"/>
      <c r="H26" s="1803"/>
      <c r="I26" s="1802"/>
      <c r="J26" s="1803"/>
      <c r="K26" s="1802"/>
      <c r="L26" s="1803"/>
      <c r="M26" s="1791"/>
    </row>
    <row r="27">
      <c r="A27" s="1786"/>
      <c r="B27" s="1789" t="str">
        <f> IF(B26 = "","",concatenate("DIVS: ",Indirect("204 " &amp; B26 &amp; "!$C$8"),Indirect("204 " &amp; B26 &amp; "!$B$8")))</f>
        <v/>
      </c>
      <c r="C27" s="1802"/>
      <c r="D27" s="1789" t="str">
        <f> IF(D26 = "","",concatenate("DIVS: ",Indirect("204 " &amp; D26 &amp; "!$C$8"),Indirect("204 " &amp; D26 &amp; "!$B$8")))</f>
        <v/>
      </c>
      <c r="E27" s="1802"/>
      <c r="F27" s="1789" t="str">
        <f> IF(F26 = "","",concatenate("DIVS: ",Indirect("204 " &amp; F26 &amp; "!$C$8"),Indirect("204 " &amp; F26 &amp; "!$B$8")))</f>
        <v/>
      </c>
      <c r="G27" s="1802"/>
      <c r="H27" s="1789" t="str">
        <f> IF(H26 = "","",concatenate("DIVS: ",Indirect("204 " &amp; H26 &amp; "!$C$8"),Indirect("204 " &amp; H26 &amp; "!$B$8")))</f>
        <v/>
      </c>
      <c r="I27" s="1802"/>
      <c r="J27" s="1789" t="str">
        <f> IF(J26 = "","",concatenate("DIVS: ",Indirect("204 " &amp; J26 &amp; "!$C$8"),Indirect("204 " &amp; J26 &amp; "!$B$8")))</f>
        <v/>
      </c>
      <c r="K27" s="1802"/>
      <c r="L27" s="1789" t="str">
        <f> IF(L26 = "","",concatenate("DIVS: ",Indirect("204 " &amp; L26 &amp; "!$C$8"),Indirect("204 " &amp; L26 &amp; "!$B$8")))</f>
        <v/>
      </c>
      <c r="M27" s="1791"/>
    </row>
    <row r="28">
      <c r="B28" s="1804" t="str">
        <f>IFERROR(__xludf.DUMMYFUNCTION(" IF (B26 = """","""",filter(Indirect(""204 "" &amp; B26 &amp; ""!$A11:$A24""), NOT(ISBLANK(Indirect(""204 "" &amp; B26 &amp; ""!$A11:$A24"")))))"),"")</f>
        <v/>
      </c>
      <c r="C28" s="1802"/>
      <c r="D28" s="1804" t="str">
        <f>IFERROR(__xludf.DUMMYFUNCTION(" IF (D26 = """","""",filter(Indirect(""204 "" &amp; D26 &amp; ""!$A11:$A24""), NOT(ISBLANK(Indirect(""204 "" &amp; D26 &amp; ""!$A11:$A24"")))))"),"")</f>
        <v/>
      </c>
      <c r="E28" s="1802"/>
      <c r="F28" s="1804" t="str">
        <f>IFERROR(__xludf.DUMMYFUNCTION(" IF (F26 = """","""",filter(Indirect(""204 "" &amp; F26 &amp; ""!$A11:$A24""), NOT(ISBLANK(Indirect(""204 "" &amp; F26 &amp; ""!$A11:$A24"")))))"),"")</f>
        <v/>
      </c>
      <c r="G28" s="1802"/>
      <c r="H28" s="1804" t="str">
        <f>IFERROR(__xludf.DUMMYFUNCTION(" IF (H26 = """","""",filter(Indirect(""204 "" &amp; H26 &amp; ""!$A11:$A24""), NOT(ISBLANK(Indirect(""204 "" &amp; H26 &amp; ""!$A11:$A24"")))))"),"")</f>
        <v/>
      </c>
      <c r="I28" s="1802"/>
      <c r="J28" s="1804" t="str">
        <f>IFERROR(__xludf.DUMMYFUNCTION(" IF (J26 = """","""",filter(Indirect(""204 "" &amp; J26 &amp; ""!$A11:$A24""), NOT(ISBLANK(Indirect(""204 "" &amp; J26 &amp; ""!$A11:$A24"")))))"),"")</f>
        <v/>
      </c>
      <c r="K28" s="1802"/>
      <c r="L28" s="1804" t="str">
        <f>IFERROR(__xludf.DUMMYFUNCTION(" IF (L26 = """","""",filter(Indirect(""204 "" &amp; L26 &amp; ""!$A11:$A24""), NOT(ISBLANK(Indirect(""204 "" &amp; L26 &amp; ""!$A11:$A24"")))))"),"")</f>
        <v/>
      </c>
      <c r="M28" s="1791"/>
    </row>
    <row r="29">
      <c r="B29" s="1804"/>
      <c r="C29" s="1802"/>
      <c r="D29" s="1804"/>
      <c r="E29" s="1802"/>
      <c r="F29" s="1804"/>
      <c r="G29" s="1802"/>
      <c r="H29" s="1804"/>
      <c r="I29" s="1802"/>
      <c r="J29" s="1804"/>
      <c r="K29" s="1802"/>
      <c r="L29" s="1804"/>
      <c r="M29" s="1791"/>
    </row>
    <row r="30">
      <c r="B30" s="1804"/>
      <c r="C30" s="1802"/>
      <c r="D30" s="1804"/>
      <c r="E30" s="1802"/>
      <c r="F30" s="1804"/>
      <c r="G30" s="1802"/>
      <c r="H30" s="1804"/>
      <c r="I30" s="1802"/>
      <c r="J30" s="1804"/>
      <c r="K30" s="1802"/>
      <c r="L30" s="1804"/>
      <c r="M30" s="1791"/>
    </row>
    <row r="31">
      <c r="B31" s="1804"/>
      <c r="C31" s="1802"/>
      <c r="D31" s="1804"/>
      <c r="E31" s="1802"/>
      <c r="F31" s="1804"/>
      <c r="G31" s="1802"/>
      <c r="H31" s="1804"/>
      <c r="I31" s="1802"/>
      <c r="J31" s="1804"/>
      <c r="K31" s="1802"/>
      <c r="L31" s="1804"/>
      <c r="M31" s="1791"/>
    </row>
    <row r="32">
      <c r="B32" s="1804"/>
      <c r="C32" s="1802"/>
      <c r="D32" s="1804"/>
      <c r="E32" s="1802"/>
      <c r="F32" s="1804"/>
      <c r="G32" s="1802"/>
      <c r="H32" s="1804"/>
      <c r="I32" s="1802"/>
      <c r="J32" s="1804"/>
      <c r="K32" s="1802"/>
      <c r="L32" s="1804"/>
      <c r="M32" s="1791"/>
    </row>
    <row r="33">
      <c r="B33" s="1804"/>
      <c r="C33" s="1802"/>
      <c r="D33" s="1804"/>
      <c r="E33" s="1802"/>
      <c r="F33" s="1804"/>
      <c r="G33" s="1802"/>
      <c r="H33" s="1804"/>
      <c r="I33" s="1802"/>
      <c r="J33" s="1804"/>
      <c r="K33" s="1802"/>
      <c r="L33" s="1804"/>
      <c r="M33" s="1791"/>
    </row>
    <row r="34">
      <c r="B34" s="1804"/>
      <c r="C34" s="1802"/>
      <c r="D34" s="1804"/>
      <c r="E34" s="1802"/>
      <c r="F34" s="1804"/>
      <c r="G34" s="1802"/>
      <c r="H34" s="1804"/>
      <c r="I34" s="1802"/>
      <c r="J34" s="1804"/>
      <c r="K34" s="1802"/>
      <c r="L34" s="1804"/>
      <c r="M34" s="1791"/>
    </row>
    <row r="35">
      <c r="B35" s="1804"/>
      <c r="C35" s="1802"/>
      <c r="D35" s="1804"/>
      <c r="E35" s="1802"/>
      <c r="F35" s="1804"/>
      <c r="G35" s="1802"/>
      <c r="H35" s="1804"/>
      <c r="I35" s="1802"/>
      <c r="J35" s="1804"/>
      <c r="K35" s="1802"/>
      <c r="L35" s="1804"/>
      <c r="M35" s="1791"/>
    </row>
    <row r="36">
      <c r="B36" s="1804"/>
      <c r="C36" s="1802"/>
      <c r="D36" s="1804"/>
      <c r="E36" s="1802"/>
      <c r="F36" s="1804"/>
      <c r="G36" s="1802"/>
      <c r="H36" s="1804"/>
      <c r="I36" s="1802"/>
      <c r="J36" s="1804"/>
      <c r="K36" s="1802"/>
      <c r="L36" s="1804"/>
      <c r="M36" s="1791"/>
    </row>
    <row r="37">
      <c r="B37" s="1804"/>
      <c r="C37" s="1802"/>
      <c r="D37" s="1804"/>
      <c r="E37" s="1802"/>
      <c r="F37" s="1804"/>
      <c r="G37" s="1802"/>
      <c r="H37" s="1804"/>
      <c r="I37" s="1802"/>
      <c r="J37" s="1804"/>
      <c r="K37" s="1802"/>
      <c r="L37" s="1804"/>
      <c r="M37" s="1791"/>
    </row>
    <row r="38">
      <c r="B38" s="1804"/>
      <c r="C38" s="1802"/>
      <c r="D38" s="1804"/>
      <c r="E38" s="1802"/>
      <c r="F38" s="1804"/>
      <c r="G38" s="1802"/>
      <c r="H38" s="1804"/>
      <c r="I38" s="1802"/>
      <c r="J38" s="1804"/>
      <c r="K38" s="1802"/>
      <c r="L38" s="1804"/>
      <c r="M38" s="1791"/>
    </row>
    <row r="39">
      <c r="B39" s="1804"/>
      <c r="C39" s="1802"/>
      <c r="D39" s="1804"/>
      <c r="E39" s="1802"/>
      <c r="F39" s="1804"/>
      <c r="G39" s="1802"/>
      <c r="H39" s="1804"/>
      <c r="I39" s="1802"/>
      <c r="J39" s="1804"/>
      <c r="K39" s="1802"/>
      <c r="L39" s="1804"/>
      <c r="M39" s="1791"/>
    </row>
    <row r="40">
      <c r="B40" s="1804"/>
      <c r="C40" s="1802"/>
      <c r="D40" s="1804"/>
      <c r="E40" s="1802"/>
      <c r="F40" s="1804"/>
      <c r="G40" s="1802"/>
      <c r="H40" s="1804"/>
      <c r="I40" s="1802"/>
      <c r="J40" s="1804"/>
      <c r="K40" s="1802"/>
      <c r="L40" s="1804"/>
      <c r="M40" s="1791"/>
    </row>
    <row r="41">
      <c r="B41" s="1804"/>
      <c r="C41" s="1802"/>
      <c r="D41" s="1804"/>
      <c r="E41" s="1802"/>
      <c r="F41" s="1804"/>
      <c r="G41" s="1802"/>
      <c r="H41" s="1804"/>
      <c r="I41" s="1802"/>
      <c r="J41" s="1804"/>
      <c r="K41" s="1802"/>
      <c r="L41" s="1804"/>
      <c r="M41" s="1791"/>
    </row>
    <row r="42">
      <c r="B42" s="1804"/>
      <c r="C42" s="1802"/>
      <c r="D42" s="1804"/>
      <c r="E42" s="1802"/>
      <c r="F42" s="1804"/>
      <c r="G42" s="1802"/>
      <c r="H42" s="1804"/>
      <c r="I42" s="1802"/>
      <c r="J42" s="1804"/>
      <c r="K42" s="1802"/>
      <c r="L42" s="1804"/>
      <c r="M42" s="1791"/>
    </row>
    <row r="43">
      <c r="B43" s="1804"/>
      <c r="C43" s="1802"/>
      <c r="D43" s="1804"/>
      <c r="E43" s="1802"/>
      <c r="F43" s="1804"/>
      <c r="G43" s="1802"/>
      <c r="H43" s="1804"/>
      <c r="I43" s="1802"/>
      <c r="J43" s="1804"/>
      <c r="K43" s="1802"/>
      <c r="L43" s="1804"/>
      <c r="M43" s="1791"/>
    </row>
    <row r="44">
      <c r="B44" s="1804"/>
      <c r="C44" s="1802"/>
      <c r="D44" s="1804"/>
      <c r="E44" s="1802"/>
      <c r="F44" s="1804"/>
      <c r="G44" s="1802"/>
      <c r="H44" s="1804"/>
      <c r="I44" s="1802"/>
      <c r="J44" s="1804"/>
      <c r="K44" s="1802"/>
      <c r="L44" s="1804"/>
      <c r="M44" s="1791"/>
    </row>
    <row r="45">
      <c r="B45" s="1804"/>
      <c r="C45" s="1802"/>
      <c r="D45" s="1804"/>
      <c r="E45" s="1802"/>
      <c r="F45" s="1804"/>
      <c r="G45" s="1802"/>
      <c r="H45" s="1804"/>
      <c r="I45" s="1802"/>
      <c r="J45" s="1804"/>
      <c r="K45" s="1802"/>
      <c r="L45" s="1804"/>
      <c r="M45" s="1791"/>
    </row>
    <row r="46">
      <c r="B46" s="1802"/>
      <c r="C46" s="1802"/>
      <c r="D46" s="1802"/>
      <c r="E46" s="1802"/>
      <c r="F46" s="1802"/>
      <c r="G46" s="1802"/>
      <c r="H46" s="1802"/>
      <c r="I46" s="1802"/>
      <c r="J46" s="1802"/>
      <c r="K46" s="1802"/>
      <c r="L46" s="1802"/>
      <c r="M46" s="1791"/>
    </row>
    <row r="47">
      <c r="B47" s="1789" t="str">
        <f> IF(B48 = "","",concatenate("BRANCH: ",Indirect("204 " &amp; B48 &amp; "!$C$7")))</f>
        <v/>
      </c>
      <c r="C47" s="1790"/>
      <c r="D47" s="1789" t="str">
        <f> IF(left(D48,5) = left(B48,5),"",IF(D48 = "","",concatenate("BRANCH: ",Indirect("204 " &amp; D48 &amp; "!$C$7"))))</f>
        <v/>
      </c>
      <c r="E47" s="1790"/>
      <c r="F47" s="1789" t="str">
        <f> IF(left(F48,5) = left(D48,5),"",IF(F48 = "","",concatenate("BRANCH: ",Indirect("204 " &amp; F48 &amp; "!$C$7"))))</f>
        <v/>
      </c>
      <c r="G47" s="1802"/>
      <c r="H47" s="1789" t="str">
        <f> IF(left(H48,5) = left(F48,5),"",IF(H48 = "","",concatenate("BRANCH: ",Indirect("204 " &amp; H48 &amp; "!$C$7"))))</f>
        <v/>
      </c>
      <c r="I47" s="1802"/>
      <c r="J47" s="1789" t="str">
        <f> IF(left(J48,5) = left(H48,5),"",IF(J48 = "","",concatenate("BRANCH: ",Indirect("204 " &amp; J48 &amp; "!$C$7"))))</f>
        <v/>
      </c>
      <c r="K47" s="1802"/>
      <c r="L47" s="1789" t="str">
        <f> IF(left(L48,5) = left(J48,5),"",IF(L48 = "","",concatenate("BRANCH: ",Indirect("204 " &amp; L48 &amp; "!$C$7"))))</f>
        <v/>
      </c>
      <c r="M47" s="1791"/>
    </row>
    <row r="48">
      <c r="A48" s="1786"/>
      <c r="B48" s="1803"/>
      <c r="C48" s="1802"/>
      <c r="D48" s="1805"/>
      <c r="E48" s="1802"/>
      <c r="F48" s="1806"/>
      <c r="G48" s="1802"/>
      <c r="H48" s="1806"/>
      <c r="I48" s="1802"/>
      <c r="J48" s="1806"/>
      <c r="K48" s="1802"/>
      <c r="L48" s="1806"/>
      <c r="M48" s="1791"/>
    </row>
    <row r="49">
      <c r="A49" s="1786"/>
      <c r="B49" s="1789" t="str">
        <f> IF(B48 = "","",concatenate("DIVS: ",Indirect("204 " &amp; B48 &amp; "!$C$8"),Indirect("204 " &amp; B48 &amp; "!$B$8")))</f>
        <v/>
      </c>
      <c r="C49" s="1802"/>
      <c r="D49" s="1789" t="str">
        <f> IF(D48 = "","",concatenate("DIVS: ",Indirect("204 " &amp; D48 &amp; "!$C$8"),Indirect("204 " &amp; D48 &amp; "!$B$8")))</f>
        <v/>
      </c>
      <c r="E49" s="1802"/>
      <c r="F49" s="1789" t="str">
        <f> IF(F48 = "","",concatenate("DIVS: ",Indirect("204 " &amp; F48 &amp; "!$C$8"),Indirect("204 " &amp; F48 &amp; "!$B$8")))</f>
        <v/>
      </c>
      <c r="G49" s="1802"/>
      <c r="H49" s="1789" t="str">
        <f> IF(H48 = "","",concatenate("DIVS: ",Indirect("204 " &amp; H48 &amp; "!$C$8"),Indirect("204 " &amp; H48 &amp; "!$B$8")))</f>
        <v/>
      </c>
      <c r="I49" s="1802"/>
      <c r="J49" s="1789" t="str">
        <f> IF(J48 = "","",concatenate("DIVS: ",Indirect("204 " &amp; J48 &amp; "!$C$8"),Indirect("204 " &amp; J48 &amp; "!$B$8")))</f>
        <v/>
      </c>
      <c r="K49" s="1802"/>
      <c r="L49" s="1789" t="str">
        <f> IF(L48 = "","",concatenate("DIVS: ",Indirect("204 " &amp; L48 &amp; "!$C$8"),Indirect("204 " &amp; L48 &amp; "!$B$8")))</f>
        <v/>
      </c>
      <c r="M49" s="1791"/>
    </row>
    <row r="50">
      <c r="B50" s="1804" t="str">
        <f>IFERROR(__xludf.DUMMYFUNCTION(" IF (B48 = """","""",filter(Indirect(""204 "" &amp; B48 &amp; ""!$A11:$A24""), NOT(ISBLANK(Indirect(""204 "" &amp; B48 &amp; ""!$A11:$A24"")))))"),"")</f>
        <v/>
      </c>
      <c r="C50" s="1802"/>
      <c r="D50" s="1804" t="str">
        <f>IFERROR(__xludf.DUMMYFUNCTION(" IF (D48 = """","""",filter(Indirect(""204 "" &amp; D48 &amp; ""!$A11:$A24""), NOT(ISBLANK(Indirect(""204 "" &amp; D48 &amp; ""!$A11:$A24"")))))"),"")</f>
        <v/>
      </c>
      <c r="E50" s="1802"/>
      <c r="F50" s="1804" t="str">
        <f>IFERROR(__xludf.DUMMYFUNCTION(" IF (F48 = """","""",filter(Indirect(""204 "" &amp; F48 &amp; ""!$A11:$A24""), NOT(ISBLANK(Indirect(""204 "" &amp; F48 &amp; ""!$A11:$A24"")))))"),"")</f>
        <v/>
      </c>
      <c r="G50" s="1802"/>
      <c r="H50" s="1804" t="str">
        <f>IFERROR(__xludf.DUMMYFUNCTION(" IF (H48 = """","""",filter(Indirect(""204 "" &amp; H48 &amp; ""!$A11:$A24""), NOT(ISBLANK(Indirect(""204 "" &amp; H48 &amp; ""!$A11:$A24"")))))"),"")</f>
        <v/>
      </c>
      <c r="I50" s="1802"/>
      <c r="J50" s="1804" t="str">
        <f>IFERROR(__xludf.DUMMYFUNCTION(" IF (J48 = """","""",filter(Indirect(""204 "" &amp; J48 &amp; ""!$A11:$A24""), NOT(ISBLANK(Indirect(""204 "" &amp; J48 &amp; ""!$A11:$A24"")))))"),"")</f>
        <v/>
      </c>
      <c r="K50" s="1802"/>
      <c r="L50" s="1804" t="str">
        <f>IFERROR(__xludf.DUMMYFUNCTION(" IF (L48 = """","""",filter(Indirect(""204 "" &amp; L48 &amp; ""!$A11:$A24""), NOT(ISBLANK(Indirect(""204 "" &amp; L48 &amp; ""!$A11:$A24"")))))"),"")</f>
        <v/>
      </c>
      <c r="M50" s="1791"/>
    </row>
    <row r="51">
      <c r="B51" s="1804"/>
      <c r="C51" s="1802"/>
      <c r="D51" s="1804"/>
      <c r="E51" s="1802"/>
      <c r="F51" s="1804"/>
      <c r="G51" s="1802"/>
      <c r="H51" s="1804"/>
      <c r="I51" s="1802"/>
      <c r="J51" s="1804"/>
      <c r="K51" s="1802"/>
      <c r="L51" s="1804"/>
      <c r="M51" s="1791"/>
    </row>
    <row r="52">
      <c r="B52" s="1804"/>
      <c r="C52" s="1802"/>
      <c r="D52" s="1804"/>
      <c r="E52" s="1802"/>
      <c r="F52" s="1804"/>
      <c r="G52" s="1802"/>
      <c r="H52" s="1804"/>
      <c r="I52" s="1802"/>
      <c r="J52" s="1804"/>
      <c r="K52" s="1802"/>
      <c r="L52" s="1804"/>
      <c r="M52" s="1791"/>
    </row>
    <row r="53">
      <c r="B53" s="1804"/>
      <c r="C53" s="1802"/>
      <c r="D53" s="1804"/>
      <c r="E53" s="1802"/>
      <c r="F53" s="1804"/>
      <c r="G53" s="1802"/>
      <c r="H53" s="1804"/>
      <c r="I53" s="1802"/>
      <c r="J53" s="1804"/>
      <c r="K53" s="1802"/>
      <c r="L53" s="1804"/>
      <c r="M53" s="1791"/>
    </row>
    <row r="54">
      <c r="B54" s="1804"/>
      <c r="C54" s="1802"/>
      <c r="D54" s="1804"/>
      <c r="E54" s="1802"/>
      <c r="F54" s="1804"/>
      <c r="G54" s="1802"/>
      <c r="H54" s="1804"/>
      <c r="I54" s="1802"/>
      <c r="J54" s="1804"/>
      <c r="K54" s="1802"/>
      <c r="L54" s="1804"/>
      <c r="M54" s="1791"/>
    </row>
    <row r="55">
      <c r="B55" s="1804"/>
      <c r="C55" s="1802"/>
      <c r="D55" s="1804"/>
      <c r="E55" s="1802"/>
      <c r="F55" s="1804"/>
      <c r="G55" s="1802"/>
      <c r="H55" s="1804"/>
      <c r="I55" s="1802"/>
      <c r="J55" s="1804"/>
      <c r="K55" s="1802"/>
      <c r="L55" s="1804"/>
      <c r="M55" s="1791"/>
    </row>
    <row r="56">
      <c r="B56" s="1804"/>
      <c r="C56" s="1802"/>
      <c r="D56" s="1804"/>
      <c r="E56" s="1802"/>
      <c r="F56" s="1804"/>
      <c r="G56" s="1802"/>
      <c r="H56" s="1804"/>
      <c r="I56" s="1802"/>
      <c r="J56" s="1804"/>
      <c r="K56" s="1802"/>
      <c r="L56" s="1804"/>
      <c r="M56" s="1791"/>
    </row>
    <row r="57">
      <c r="B57" s="1804"/>
      <c r="C57" s="1802"/>
      <c r="D57" s="1804"/>
      <c r="E57" s="1802"/>
      <c r="F57" s="1804"/>
      <c r="G57" s="1802"/>
      <c r="H57" s="1804"/>
      <c r="I57" s="1802"/>
      <c r="J57" s="1804"/>
      <c r="K57" s="1802"/>
      <c r="L57" s="1804"/>
      <c r="M57" s="1791"/>
    </row>
    <row r="58">
      <c r="B58" s="1804"/>
      <c r="C58" s="1802"/>
      <c r="D58" s="1804"/>
      <c r="E58" s="1802"/>
      <c r="F58" s="1804"/>
      <c r="G58" s="1802"/>
      <c r="H58" s="1804"/>
      <c r="I58" s="1802"/>
      <c r="J58" s="1804"/>
      <c r="K58" s="1802"/>
      <c r="L58" s="1804"/>
      <c r="M58" s="1791"/>
    </row>
    <row r="59">
      <c r="B59" s="1804"/>
      <c r="C59" s="1802"/>
      <c r="D59" s="1804"/>
      <c r="E59" s="1802"/>
      <c r="F59" s="1804"/>
      <c r="G59" s="1802"/>
      <c r="H59" s="1804"/>
      <c r="I59" s="1802"/>
      <c r="J59" s="1804"/>
      <c r="K59" s="1802"/>
      <c r="L59" s="1804"/>
      <c r="M59" s="1791"/>
    </row>
    <row r="60">
      <c r="B60" s="1804"/>
      <c r="C60" s="1802"/>
      <c r="D60" s="1804"/>
      <c r="E60" s="1802"/>
      <c r="F60" s="1804"/>
      <c r="G60" s="1802"/>
      <c r="H60" s="1804"/>
      <c r="I60" s="1802"/>
      <c r="J60" s="1804"/>
      <c r="K60" s="1802"/>
      <c r="L60" s="1804"/>
      <c r="M60" s="1791"/>
    </row>
    <row r="61">
      <c r="B61" s="1804"/>
      <c r="C61" s="1802"/>
      <c r="D61" s="1804"/>
      <c r="E61" s="1802"/>
      <c r="F61" s="1804"/>
      <c r="G61" s="1802"/>
      <c r="H61" s="1804"/>
      <c r="I61" s="1802"/>
      <c r="J61" s="1804"/>
      <c r="K61" s="1802"/>
      <c r="L61" s="1804"/>
      <c r="M61" s="1791"/>
    </row>
    <row r="62">
      <c r="B62" s="1804"/>
      <c r="C62" s="1802"/>
      <c r="D62" s="1804"/>
      <c r="E62" s="1802"/>
      <c r="F62" s="1804"/>
      <c r="G62" s="1802"/>
      <c r="H62" s="1804"/>
      <c r="I62" s="1802"/>
      <c r="J62" s="1804"/>
      <c r="K62" s="1802"/>
      <c r="L62" s="1804"/>
      <c r="M62" s="1791"/>
    </row>
    <row r="63">
      <c r="B63" s="1804"/>
      <c r="C63" s="1802"/>
      <c r="D63" s="1804"/>
      <c r="E63" s="1802"/>
      <c r="F63" s="1804"/>
      <c r="G63" s="1802"/>
      <c r="H63" s="1804"/>
      <c r="I63" s="1802"/>
      <c r="J63" s="1804"/>
      <c r="K63" s="1802"/>
      <c r="L63" s="1804"/>
      <c r="M63" s="1791"/>
    </row>
    <row r="64">
      <c r="B64" s="1804"/>
      <c r="C64" s="1802"/>
      <c r="D64" s="1804"/>
      <c r="E64" s="1802"/>
      <c r="F64" s="1804"/>
      <c r="G64" s="1802"/>
      <c r="H64" s="1804"/>
      <c r="I64" s="1802"/>
      <c r="J64" s="1804"/>
      <c r="K64" s="1802"/>
      <c r="L64" s="1804"/>
      <c r="M64" s="1791"/>
    </row>
    <row r="65">
      <c r="B65" s="1804"/>
      <c r="C65" s="1802"/>
      <c r="D65" s="1804"/>
      <c r="E65" s="1802"/>
      <c r="F65" s="1804"/>
      <c r="G65" s="1802"/>
      <c r="H65" s="1804"/>
      <c r="I65" s="1802"/>
      <c r="J65" s="1804"/>
      <c r="K65" s="1802"/>
      <c r="L65" s="1804"/>
      <c r="M65" s="1791"/>
    </row>
    <row r="66">
      <c r="B66" s="1804"/>
      <c r="C66" s="1802"/>
      <c r="D66" s="1804"/>
      <c r="E66" s="1802"/>
      <c r="F66" s="1804"/>
      <c r="G66" s="1802"/>
      <c r="H66" s="1804"/>
      <c r="I66" s="1802"/>
      <c r="J66" s="1804"/>
      <c r="K66" s="1802"/>
      <c r="L66" s="1804"/>
      <c r="M66" s="1791"/>
    </row>
    <row r="67">
      <c r="B67" s="1804"/>
      <c r="C67" s="1802"/>
      <c r="D67" s="1804"/>
      <c r="E67" s="1802"/>
      <c r="F67" s="1804"/>
      <c r="G67" s="1802"/>
      <c r="H67" s="1804"/>
      <c r="I67" s="1802"/>
      <c r="J67" s="1804"/>
      <c r="K67" s="1802"/>
      <c r="L67" s="1804"/>
      <c r="M67" s="1791"/>
    </row>
    <row r="68">
      <c r="B68" s="1802"/>
      <c r="C68" s="1802"/>
      <c r="D68" s="1802"/>
      <c r="E68" s="1802"/>
      <c r="F68" s="1802"/>
      <c r="G68" s="1802"/>
      <c r="H68" s="1802"/>
      <c r="I68" s="1802"/>
      <c r="J68" s="1802"/>
      <c r="K68" s="1802"/>
      <c r="L68" s="1802"/>
      <c r="M68" s="1791"/>
    </row>
    <row r="69">
      <c r="B69" s="1789" t="str">
        <f> IF(B70 = "","",concatenate("BRANCH: ",Indirect("204 " &amp; B70 &amp; "!$C$7")))</f>
        <v/>
      </c>
      <c r="C69" s="1790"/>
      <c r="D69" s="1789" t="str">
        <f> IF(left(D70,5) = left(B70,5),"",IF(D70 = "","",concatenate("BRANCH: ",Indirect("204 " &amp; D70 &amp; "!$C$7"))))</f>
        <v/>
      </c>
      <c r="E69" s="1790"/>
      <c r="F69" s="1789" t="str">
        <f> IF(left(F70,5) = left(D70,5),"",IF(F70 = "","",concatenate("BRANCH: ",Indirect("204 " &amp; F70 &amp; "!$C$7"))))</f>
        <v/>
      </c>
      <c r="G69" s="1802"/>
      <c r="H69" s="1789" t="str">
        <f> IF(left(H70,5) = left(F70,5),"",IF(H70 = "","",concatenate("BRANCH: ",Indirect("204 " &amp; H70 &amp; "!$C$7"))))</f>
        <v/>
      </c>
      <c r="I69" s="1802"/>
      <c r="J69" s="1789" t="str">
        <f> IF(left(J70,5) = left(H70,5),"",IF(J70 = "","",concatenate("BRANCH: ",Indirect("204 " &amp; J70 &amp; "!$C$7"))))</f>
        <v/>
      </c>
      <c r="K69" s="1802"/>
      <c r="L69" s="1789" t="str">
        <f> IF(left(L70,5) = left(J70,5),"",IF(L70 = "","",concatenate("BRANCH: ",Indirect("204 " &amp; L70 &amp; "!$C$7"))))</f>
        <v/>
      </c>
      <c r="M69" s="1791"/>
    </row>
    <row r="70">
      <c r="B70" s="1806"/>
      <c r="C70" s="1802"/>
      <c r="D70" s="1806"/>
      <c r="E70" s="1802"/>
      <c r="F70" s="1806"/>
      <c r="G70" s="1802"/>
      <c r="H70" s="1806"/>
      <c r="I70" s="1802"/>
      <c r="J70" s="1806"/>
      <c r="K70" s="1802"/>
      <c r="L70" s="1806"/>
      <c r="M70" s="1791"/>
    </row>
    <row r="71">
      <c r="B71" s="1789" t="str">
        <f> IF(B70 = "","",concatenate("DIVS: ",Indirect("204 " &amp; B70 &amp; "!$C$8"),Indirect("204 " &amp; B70 &amp; "!$B$8")))</f>
        <v/>
      </c>
      <c r="C71" s="1802"/>
      <c r="D71" s="1789" t="str">
        <f> IF(D70 = "","",concatenate("DIVS: ",Indirect("204 " &amp; D70 &amp; "!$C$8"),Indirect("204 " &amp; D70 &amp; "!$B$8")))</f>
        <v/>
      </c>
      <c r="E71" s="1802"/>
      <c r="F71" s="1789" t="str">
        <f> IF(F70 = "","",concatenate("DIVS: ",Indirect("204 " &amp; F70 &amp; "!$C$8"),Indirect("204 " &amp; F70 &amp; "!$B$8")))</f>
        <v/>
      </c>
      <c r="G71" s="1802"/>
      <c r="H71" s="1789" t="str">
        <f> IF(H70 = "","",concatenate("DIVS: ",Indirect("204 " &amp; H70 &amp; "!$C$8"),Indirect("204 " &amp; H70 &amp; "!$B$8")))</f>
        <v/>
      </c>
      <c r="I71" s="1802"/>
      <c r="J71" s="1789" t="str">
        <f> IF(J70 = "","",concatenate("DIVS: ",Indirect("204 " &amp; J70 &amp; "!$C$8"),Indirect("204 " &amp; J70 &amp; "!$B$8")))</f>
        <v/>
      </c>
      <c r="K71" s="1802"/>
      <c r="L71" s="1789" t="str">
        <f> IF(L70 = "","",concatenate("DIVS: ",Indirect("204 " &amp; L70 &amp; "!$C$8"),Indirect("204 " &amp; L70 &amp; "!$B$8")))</f>
        <v/>
      </c>
      <c r="M71" s="1791"/>
    </row>
    <row r="72">
      <c r="B72" s="1804" t="str">
        <f>IFERROR(__xludf.DUMMYFUNCTION(" IF (B70 = """","""",filter(Indirect(""204 "" &amp; B70 &amp; ""!$A11:$A24""), NOT(ISBLANK(Indirect(""204 "" &amp; B70 &amp; ""!$A11:$A24"")))))"),"")</f>
        <v/>
      </c>
      <c r="C72" s="1802"/>
      <c r="D72" s="1804" t="str">
        <f>IFERROR(__xludf.DUMMYFUNCTION(" IF (D70 = """","""",filter(Indirect(""204 "" &amp; D70 &amp; ""!$A11:$A24""), NOT(ISBLANK(Indirect(""204 "" &amp; D70 &amp; ""!$A11:$A24"")))))"),"")</f>
        <v/>
      </c>
      <c r="E72" s="1802"/>
      <c r="F72" s="1804" t="str">
        <f>IFERROR(__xludf.DUMMYFUNCTION(" IF (F70 = """","""",filter(Indirect(""204 "" &amp; F70 &amp; ""!$A11:$A24""), NOT(ISBLANK(Indirect(""204 "" &amp; F70 &amp; ""!$A11:$A24"")))))"),"")</f>
        <v/>
      </c>
      <c r="G72" s="1802"/>
      <c r="H72" s="1804" t="str">
        <f>IFERROR(__xludf.DUMMYFUNCTION(" IF (H70 = """","""",filter(Indirect(""204 "" &amp; H70 &amp; ""!$A11:$A24""), NOT(ISBLANK(Indirect(""204 "" &amp; H70 &amp; ""!$A11:$A24"")))))"),"")</f>
        <v/>
      </c>
      <c r="I72" s="1802"/>
      <c r="J72" s="1804" t="str">
        <f>IFERROR(__xludf.DUMMYFUNCTION(" IF (J70 = """","""",filter(Indirect(""204 "" &amp; J70 &amp; ""!$A11:$A24""), NOT(ISBLANK(Indirect(""204 "" &amp; J70 &amp; ""!$A11:$A24"")))))"),"")</f>
        <v/>
      </c>
      <c r="K72" s="1802"/>
      <c r="L72" s="1804" t="str">
        <f>IFERROR(__xludf.DUMMYFUNCTION(" IF (L70 = """","""",filter(Indirect(""204 "" &amp; L70 &amp; ""!$A11:$A24""), NOT(ISBLANK(Indirect(""204 "" &amp; L70 &amp; ""!$A11:$A24"")))))"),"")</f>
        <v/>
      </c>
      <c r="M72" s="1791"/>
    </row>
    <row r="73">
      <c r="B73" s="1804"/>
      <c r="C73" s="1802"/>
      <c r="D73" s="1804"/>
      <c r="E73" s="1802"/>
      <c r="F73" s="1804"/>
      <c r="G73" s="1802"/>
      <c r="H73" s="1804"/>
      <c r="I73" s="1802"/>
      <c r="J73" s="1804"/>
      <c r="K73" s="1802"/>
      <c r="L73" s="1804"/>
      <c r="M73" s="1791"/>
    </row>
    <row r="74">
      <c r="B74" s="1804"/>
      <c r="C74" s="1802"/>
      <c r="D74" s="1804"/>
      <c r="E74" s="1802"/>
      <c r="F74" s="1804"/>
      <c r="G74" s="1802"/>
      <c r="H74" s="1804"/>
      <c r="I74" s="1802"/>
      <c r="J74" s="1804"/>
      <c r="K74" s="1802"/>
      <c r="L74" s="1804"/>
      <c r="M74" s="1791"/>
    </row>
    <row r="75">
      <c r="B75" s="1804"/>
      <c r="C75" s="1802"/>
      <c r="D75" s="1804"/>
      <c r="E75" s="1802"/>
      <c r="F75" s="1804"/>
      <c r="G75" s="1802"/>
      <c r="H75" s="1804"/>
      <c r="I75" s="1802"/>
      <c r="J75" s="1804"/>
      <c r="K75" s="1802"/>
      <c r="L75" s="1804"/>
      <c r="M75" s="1791"/>
    </row>
    <row r="76">
      <c r="B76" s="1804"/>
      <c r="C76" s="1802"/>
      <c r="D76" s="1804"/>
      <c r="E76" s="1802"/>
      <c r="F76" s="1804"/>
      <c r="G76" s="1802"/>
      <c r="H76" s="1804"/>
      <c r="I76" s="1802"/>
      <c r="J76" s="1804"/>
      <c r="K76" s="1802"/>
      <c r="L76" s="1804"/>
      <c r="M76" s="1791"/>
    </row>
    <row r="77">
      <c r="B77" s="1804"/>
      <c r="C77" s="1802"/>
      <c r="D77" s="1804"/>
      <c r="E77" s="1802"/>
      <c r="F77" s="1804"/>
      <c r="G77" s="1802"/>
      <c r="H77" s="1804"/>
      <c r="I77" s="1802"/>
      <c r="J77" s="1804"/>
      <c r="K77" s="1802"/>
      <c r="L77" s="1804"/>
      <c r="M77" s="1791"/>
    </row>
    <row r="78">
      <c r="B78" s="1804"/>
      <c r="C78" s="1802"/>
      <c r="D78" s="1804"/>
      <c r="E78" s="1802"/>
      <c r="F78" s="1804"/>
      <c r="G78" s="1802"/>
      <c r="H78" s="1804"/>
      <c r="I78" s="1802"/>
      <c r="J78" s="1804"/>
      <c r="K78" s="1802"/>
      <c r="L78" s="1804"/>
      <c r="M78" s="1791"/>
    </row>
    <row r="79">
      <c r="B79" s="1804"/>
      <c r="C79" s="1802"/>
      <c r="D79" s="1804"/>
      <c r="E79" s="1802"/>
      <c r="F79" s="1804"/>
      <c r="G79" s="1802"/>
      <c r="H79" s="1804"/>
      <c r="I79" s="1802"/>
      <c r="J79" s="1804"/>
      <c r="K79" s="1802"/>
      <c r="L79" s="1804"/>
      <c r="M79" s="1791"/>
    </row>
    <row r="80">
      <c r="B80" s="1804"/>
      <c r="C80" s="1802"/>
      <c r="D80" s="1804"/>
      <c r="E80" s="1802"/>
      <c r="F80" s="1804"/>
      <c r="G80" s="1802"/>
      <c r="H80" s="1804"/>
      <c r="I80" s="1802"/>
      <c r="J80" s="1804"/>
      <c r="K80" s="1802"/>
      <c r="L80" s="1804"/>
      <c r="M80" s="1791"/>
    </row>
    <row r="81">
      <c r="B81" s="1804"/>
      <c r="C81" s="1802"/>
      <c r="D81" s="1804"/>
      <c r="E81" s="1802"/>
      <c r="F81" s="1804"/>
      <c r="G81" s="1802"/>
      <c r="H81" s="1804"/>
      <c r="I81" s="1802"/>
      <c r="J81" s="1804"/>
      <c r="K81" s="1802"/>
      <c r="L81" s="1804"/>
      <c r="M81" s="1791"/>
    </row>
    <row r="82">
      <c r="B82" s="1804"/>
      <c r="C82" s="1802"/>
      <c r="D82" s="1804"/>
      <c r="E82" s="1802"/>
      <c r="F82" s="1804"/>
      <c r="G82" s="1802"/>
      <c r="H82" s="1804"/>
      <c r="I82" s="1802"/>
      <c r="J82" s="1804"/>
      <c r="K82" s="1802"/>
      <c r="L82" s="1804"/>
      <c r="M82" s="1791"/>
    </row>
    <row r="83">
      <c r="B83" s="1804"/>
      <c r="C83" s="1802"/>
      <c r="D83" s="1804"/>
      <c r="E83" s="1802"/>
      <c r="F83" s="1804"/>
      <c r="G83" s="1802"/>
      <c r="H83" s="1804"/>
      <c r="I83" s="1802"/>
      <c r="J83" s="1804"/>
      <c r="K83" s="1802"/>
      <c r="L83" s="1804"/>
      <c r="M83" s="1791"/>
    </row>
    <row r="84">
      <c r="B84" s="1804"/>
      <c r="C84" s="1802"/>
      <c r="D84" s="1804"/>
      <c r="E84" s="1802"/>
      <c r="F84" s="1804"/>
      <c r="G84" s="1802"/>
      <c r="H84" s="1804"/>
      <c r="I84" s="1802"/>
      <c r="J84" s="1804"/>
      <c r="K84" s="1802"/>
      <c r="L84" s="1804"/>
      <c r="M84" s="1791"/>
    </row>
    <row r="85">
      <c r="B85" s="1804"/>
      <c r="C85" s="1802"/>
      <c r="D85" s="1804"/>
      <c r="E85" s="1802"/>
      <c r="F85" s="1804"/>
      <c r="G85" s="1802"/>
      <c r="H85" s="1804"/>
      <c r="I85" s="1802"/>
      <c r="J85" s="1804"/>
      <c r="K85" s="1802"/>
      <c r="L85" s="1804"/>
      <c r="M85" s="1791"/>
    </row>
    <row r="86">
      <c r="B86" s="1804"/>
      <c r="C86" s="1802"/>
      <c r="D86" s="1804"/>
      <c r="E86" s="1802"/>
      <c r="F86" s="1804"/>
      <c r="G86" s="1802"/>
      <c r="H86" s="1804"/>
      <c r="I86" s="1802"/>
      <c r="J86" s="1804"/>
      <c r="K86" s="1802"/>
      <c r="L86" s="1804"/>
      <c r="M86" s="1791"/>
    </row>
    <row r="87">
      <c r="B87" s="1804"/>
      <c r="C87" s="1802"/>
      <c r="D87" s="1804"/>
      <c r="E87" s="1802"/>
      <c r="F87" s="1804"/>
      <c r="G87" s="1802"/>
      <c r="H87" s="1804"/>
      <c r="I87" s="1802"/>
      <c r="J87" s="1804"/>
      <c r="K87" s="1802"/>
      <c r="L87" s="1804"/>
      <c r="M87" s="1791"/>
    </row>
    <row r="88">
      <c r="B88" s="1804"/>
      <c r="C88" s="1802"/>
      <c r="D88" s="1804"/>
      <c r="E88" s="1802"/>
      <c r="F88" s="1804"/>
      <c r="G88" s="1802"/>
      <c r="H88" s="1804"/>
      <c r="I88" s="1802"/>
      <c r="J88" s="1804"/>
      <c r="K88" s="1802"/>
      <c r="L88" s="1804"/>
      <c r="M88" s="1791"/>
    </row>
    <row r="89">
      <c r="B89" s="1804"/>
      <c r="C89" s="1802"/>
      <c r="D89" s="1804"/>
      <c r="E89" s="1802"/>
      <c r="F89" s="1804"/>
      <c r="G89" s="1802"/>
      <c r="H89" s="1804"/>
      <c r="I89" s="1802"/>
      <c r="J89" s="1804"/>
      <c r="K89" s="1802"/>
      <c r="L89" s="1804"/>
      <c r="M89" s="1791"/>
    </row>
    <row r="90">
      <c r="B90" s="1802"/>
      <c r="C90" s="1802"/>
      <c r="D90" s="1802"/>
      <c r="E90" s="1802"/>
      <c r="F90" s="1802"/>
      <c r="G90" s="1802"/>
      <c r="H90" s="1802"/>
      <c r="I90" s="1802"/>
      <c r="J90" s="1802"/>
      <c r="K90" s="1802"/>
      <c r="L90" s="1802"/>
      <c r="M90" s="1791"/>
    </row>
    <row r="91">
      <c r="B91" s="1789" t="str">
        <f> IF(B92 = "","",concatenate("BRANCH: ",Indirect("204 " &amp; B92 &amp; "!$C$7")))</f>
        <v/>
      </c>
      <c r="C91" s="1790"/>
      <c r="D91" s="1789" t="str">
        <f> IF(left(D92,5) = left(B92,5),"",IF(D92 = "","",concatenate("BRANCH: ",Indirect("204 " &amp; D92 &amp; "!$C$7"))))</f>
        <v/>
      </c>
      <c r="E91" s="1790"/>
      <c r="F91" s="1789" t="str">
        <f> IF(left(F92,5) = left(D92,5),"",IF(F92 = "","",concatenate("BRANCH: ",Indirect("204 " &amp; F92 &amp; "!$C$7"))))</f>
        <v/>
      </c>
      <c r="G91" s="1802"/>
      <c r="H91" s="1789" t="str">
        <f> IF(left(H92,5) = left(F92,5),"",IF(H92 = "","",concatenate("BRANCH: ",Indirect("204 " &amp; H92 &amp; "!$C$7"))))</f>
        <v/>
      </c>
      <c r="I91" s="1802"/>
      <c r="J91" s="1789" t="str">
        <f> IF(left(J92,5) = left(H92,5),"",IF(J92 = "","",concatenate("BRANCH: ",Indirect("204 " &amp; J92 &amp; "!$C$7"))))</f>
        <v/>
      </c>
      <c r="K91" s="1802"/>
      <c r="L91" s="1789" t="str">
        <f> IF(left(L92,5) = left(J92,5),"",IF(L92 = "","",concatenate("BRANCH: ",Indirect("204 " &amp; L92 &amp; "!$C$7"))))</f>
        <v/>
      </c>
      <c r="M91" s="1791"/>
    </row>
    <row r="92">
      <c r="B92" s="1806"/>
      <c r="C92" s="1802"/>
      <c r="D92" s="1806"/>
      <c r="E92" s="1802"/>
      <c r="F92" s="1806"/>
      <c r="G92" s="1802"/>
      <c r="H92" s="1806"/>
      <c r="I92" s="1802"/>
      <c r="J92" s="1806"/>
      <c r="K92" s="1802"/>
      <c r="L92" s="1806"/>
      <c r="M92" s="1791"/>
    </row>
    <row r="93">
      <c r="B93" s="1789" t="str">
        <f> IF(B92 = "","",concatenate("DIVS: ",Indirect("204 " &amp; B92 &amp; "!$C$8"),Indirect("204 " &amp; B92 &amp; "!$B$8")))</f>
        <v/>
      </c>
      <c r="C93" s="1802"/>
      <c r="D93" s="1789" t="str">
        <f> IF(D92 = "","",concatenate("DIVS: ",Indirect("204 " &amp; D92 &amp; "!$C$8"),Indirect("204 " &amp; D92 &amp; "!$B$8")))</f>
        <v/>
      </c>
      <c r="E93" s="1802"/>
      <c r="F93" s="1789" t="str">
        <f> IF(F92 = "","",concatenate("DIVS: ",Indirect("204 " &amp; F92 &amp; "!$C$8"),Indirect("204 " &amp; F92 &amp; "!$B$8")))</f>
        <v/>
      </c>
      <c r="G93" s="1802"/>
      <c r="H93" s="1789" t="str">
        <f> IF(H92 = "","",concatenate("DIVS: ",Indirect("204 " &amp; H92 &amp; "!$C$8"),Indirect("204 " &amp; H92 &amp; "!$B$8")))</f>
        <v/>
      </c>
      <c r="I93" s="1802"/>
      <c r="J93" s="1789" t="str">
        <f> IF(J92 = "","",concatenate("DIVS: ",Indirect("204 " &amp; J92 &amp; "!$C$8"),Indirect("204 " &amp; J92 &amp; "!$B$8")))</f>
        <v/>
      </c>
      <c r="K93" s="1802"/>
      <c r="L93" s="1789" t="str">
        <f> IF(L92 = "","",concatenate("DIVS: ",Indirect("204 " &amp; L92 &amp; "!$C$8"),Indirect("204 " &amp; L92 &amp; "!$B$8")))</f>
        <v/>
      </c>
      <c r="M93" s="1791"/>
    </row>
    <row r="94">
      <c r="B94" s="1804" t="str">
        <f>IFERROR(__xludf.DUMMYFUNCTION(" IF (B92 = """","""",filter(Indirect(""204 "" &amp; B92 &amp; ""!$A11:$A24""), NOT(ISBLANK(Indirect(""204 "" &amp; B92 &amp; ""!$A11:$A24"")))))"),"")</f>
        <v/>
      </c>
      <c r="C94" s="1802"/>
      <c r="D94" s="1804" t="str">
        <f>IFERROR(__xludf.DUMMYFUNCTION(" IF (D92 = """","""",filter(Indirect(""204 "" &amp; D92 &amp; ""!$A11:$A24""), NOT(ISBLANK(Indirect(""204 "" &amp; D92 &amp; ""!$A11:$A24"")))))"),"")</f>
        <v/>
      </c>
      <c r="E94" s="1802"/>
      <c r="F94" s="1804" t="str">
        <f>IFERROR(__xludf.DUMMYFUNCTION(" IF (F92 = """","""",filter(Indirect(""204 "" &amp; F92 &amp; ""!$A11:$A24""), NOT(ISBLANK(Indirect(""204 "" &amp; F92 &amp; ""!$A11:$A24"")))))"),"")</f>
        <v/>
      </c>
      <c r="G94" s="1802"/>
      <c r="H94" s="1804" t="str">
        <f>IFERROR(__xludf.DUMMYFUNCTION(" IF (H92 = """","""",filter(Indirect(""204 "" &amp; H92 &amp; ""!$A11:$A24""), NOT(ISBLANK(Indirect(""204 "" &amp; H92 &amp; ""!$A11:$A24"")))))"),"")</f>
        <v/>
      </c>
      <c r="I94" s="1802"/>
      <c r="J94" s="1804" t="str">
        <f>IFERROR(__xludf.DUMMYFUNCTION(" IF (J92 = """","""",filter(Indirect(""204 "" &amp; J92 &amp; ""!$A11:$A24""), NOT(ISBLANK(Indirect(""204 "" &amp; J92 &amp; ""!$A11:$A24"")))))"),"")</f>
        <v/>
      </c>
      <c r="K94" s="1802"/>
      <c r="L94" s="1804" t="str">
        <f>IFERROR(__xludf.DUMMYFUNCTION(" IF (L92 = """","""",filter(Indirect(""204 "" &amp; L92 &amp; ""!$A11:$A24""), NOT(ISBLANK(Indirect(""204 "" &amp; L92 &amp; ""!$A11:$A24"")))))"),"")</f>
        <v/>
      </c>
      <c r="M94" s="1791"/>
    </row>
    <row r="95">
      <c r="B95" s="1804"/>
      <c r="C95" s="1802"/>
      <c r="D95" s="1804"/>
      <c r="E95" s="1802"/>
      <c r="F95" s="1804"/>
      <c r="G95" s="1802"/>
      <c r="H95" s="1804"/>
      <c r="I95" s="1802"/>
      <c r="J95" s="1804"/>
      <c r="K95" s="1802"/>
      <c r="L95" s="1804"/>
      <c r="M95" s="1791"/>
    </row>
    <row r="96">
      <c r="B96" s="1804"/>
      <c r="C96" s="1802"/>
      <c r="D96" s="1804"/>
      <c r="E96" s="1802"/>
      <c r="F96" s="1804"/>
      <c r="G96" s="1802"/>
      <c r="H96" s="1804"/>
      <c r="I96" s="1802"/>
      <c r="J96" s="1804"/>
      <c r="K96" s="1802"/>
      <c r="L96" s="1804"/>
      <c r="M96" s="1791"/>
    </row>
    <row r="97">
      <c r="B97" s="1804"/>
      <c r="C97" s="1802"/>
      <c r="D97" s="1804"/>
      <c r="E97" s="1802"/>
      <c r="F97" s="1804"/>
      <c r="G97" s="1802"/>
      <c r="H97" s="1804"/>
      <c r="I97" s="1802"/>
      <c r="J97" s="1804"/>
      <c r="K97" s="1802"/>
      <c r="L97" s="1804"/>
      <c r="M97" s="1791"/>
    </row>
    <row r="98">
      <c r="B98" s="1804"/>
      <c r="C98" s="1802"/>
      <c r="D98" s="1804"/>
      <c r="E98" s="1802"/>
      <c r="F98" s="1804"/>
      <c r="G98" s="1802"/>
      <c r="H98" s="1804"/>
      <c r="I98" s="1802"/>
      <c r="J98" s="1804"/>
      <c r="K98" s="1802"/>
      <c r="L98" s="1804"/>
      <c r="M98" s="1791"/>
    </row>
    <row r="99">
      <c r="B99" s="1804"/>
      <c r="C99" s="1802"/>
      <c r="D99" s="1804"/>
      <c r="E99" s="1802"/>
      <c r="F99" s="1804"/>
      <c r="G99" s="1802"/>
      <c r="H99" s="1804"/>
      <c r="I99" s="1802"/>
      <c r="J99" s="1804"/>
      <c r="K99" s="1802"/>
      <c r="L99" s="1804"/>
      <c r="M99" s="1791"/>
    </row>
    <row r="100">
      <c r="B100" s="1804"/>
      <c r="C100" s="1802"/>
      <c r="D100" s="1804"/>
      <c r="E100" s="1802"/>
      <c r="F100" s="1804"/>
      <c r="G100" s="1802"/>
      <c r="H100" s="1804"/>
      <c r="I100" s="1802"/>
      <c r="J100" s="1804"/>
      <c r="K100" s="1802"/>
      <c r="L100" s="1804"/>
      <c r="M100" s="1791"/>
    </row>
    <row r="101">
      <c r="B101" s="1804"/>
      <c r="C101" s="1802"/>
      <c r="D101" s="1804"/>
      <c r="E101" s="1802"/>
      <c r="F101" s="1804"/>
      <c r="G101" s="1802"/>
      <c r="H101" s="1804"/>
      <c r="I101" s="1802"/>
      <c r="J101" s="1804"/>
      <c r="K101" s="1802"/>
      <c r="L101" s="1804"/>
      <c r="M101" s="1791"/>
    </row>
    <row r="102">
      <c r="B102" s="1804"/>
      <c r="C102" s="1802"/>
      <c r="D102" s="1804"/>
      <c r="E102" s="1802"/>
      <c r="F102" s="1804"/>
      <c r="G102" s="1802"/>
      <c r="H102" s="1804"/>
      <c r="I102" s="1802"/>
      <c r="J102" s="1804"/>
      <c r="K102" s="1802"/>
      <c r="L102" s="1804"/>
      <c r="M102" s="1791"/>
    </row>
    <row r="103">
      <c r="B103" s="1804"/>
      <c r="C103" s="1802"/>
      <c r="D103" s="1804"/>
      <c r="E103" s="1802"/>
      <c r="F103" s="1804"/>
      <c r="G103" s="1802"/>
      <c r="H103" s="1804"/>
      <c r="I103" s="1802"/>
      <c r="J103" s="1804"/>
      <c r="K103" s="1802"/>
      <c r="L103" s="1804"/>
      <c r="M103" s="1791"/>
    </row>
    <row r="104">
      <c r="B104" s="1804"/>
      <c r="C104" s="1802"/>
      <c r="D104" s="1804"/>
      <c r="E104" s="1802"/>
      <c r="F104" s="1804"/>
      <c r="G104" s="1802"/>
      <c r="H104" s="1804"/>
      <c r="I104" s="1802"/>
      <c r="J104" s="1804"/>
      <c r="K104" s="1802"/>
      <c r="L104" s="1804"/>
      <c r="M104" s="1791"/>
    </row>
    <row r="105">
      <c r="B105" s="1804"/>
      <c r="C105" s="1802"/>
      <c r="D105" s="1804"/>
      <c r="E105" s="1802"/>
      <c r="F105" s="1804"/>
      <c r="G105" s="1802"/>
      <c r="H105" s="1804"/>
      <c r="I105" s="1802"/>
      <c r="J105" s="1804"/>
      <c r="K105" s="1802"/>
      <c r="L105" s="1804"/>
      <c r="M105" s="1791"/>
    </row>
    <row r="106">
      <c r="B106" s="1804"/>
      <c r="C106" s="1802"/>
      <c r="D106" s="1804"/>
      <c r="E106" s="1802"/>
      <c r="F106" s="1804"/>
      <c r="G106" s="1802"/>
      <c r="H106" s="1804"/>
      <c r="I106" s="1802"/>
      <c r="J106" s="1804"/>
      <c r="K106" s="1802"/>
      <c r="L106" s="1804"/>
      <c r="M106" s="1791"/>
    </row>
    <row r="107">
      <c r="B107" s="1804"/>
      <c r="C107" s="1802"/>
      <c r="D107" s="1804"/>
      <c r="E107" s="1802"/>
      <c r="F107" s="1804"/>
      <c r="G107" s="1802"/>
      <c r="H107" s="1804"/>
      <c r="I107" s="1802"/>
      <c r="J107" s="1804"/>
      <c r="K107" s="1802"/>
      <c r="L107" s="1804"/>
      <c r="M107" s="1791"/>
    </row>
    <row r="108">
      <c r="B108" s="1804"/>
      <c r="C108" s="1802"/>
      <c r="D108" s="1804"/>
      <c r="E108" s="1802"/>
      <c r="F108" s="1804"/>
      <c r="G108" s="1802"/>
      <c r="H108" s="1804"/>
      <c r="I108" s="1802"/>
      <c r="J108" s="1804"/>
      <c r="K108" s="1802"/>
      <c r="L108" s="1804"/>
      <c r="M108" s="1791"/>
    </row>
    <row r="109">
      <c r="B109" s="1804"/>
      <c r="C109" s="1802"/>
      <c r="D109" s="1804"/>
      <c r="E109" s="1802"/>
      <c r="F109" s="1804"/>
      <c r="G109" s="1802"/>
      <c r="H109" s="1804"/>
      <c r="I109" s="1802"/>
      <c r="J109" s="1804"/>
      <c r="K109" s="1802"/>
      <c r="L109" s="1804"/>
      <c r="M109" s="1791"/>
    </row>
    <row r="110">
      <c r="B110" s="1804"/>
      <c r="C110" s="1802"/>
      <c r="D110" s="1804"/>
      <c r="E110" s="1802"/>
      <c r="F110" s="1804"/>
      <c r="G110" s="1802"/>
      <c r="H110" s="1804"/>
      <c r="I110" s="1802"/>
      <c r="J110" s="1804"/>
      <c r="K110" s="1802"/>
      <c r="L110" s="1804"/>
      <c r="M110" s="1791"/>
    </row>
    <row r="111">
      <c r="B111" s="1804"/>
      <c r="C111" s="1802"/>
      <c r="D111" s="1804"/>
      <c r="E111" s="1802"/>
      <c r="F111" s="1804"/>
      <c r="G111" s="1802"/>
      <c r="H111" s="1804"/>
      <c r="I111" s="1802"/>
      <c r="J111" s="1804"/>
      <c r="K111" s="1802"/>
      <c r="L111" s="1804"/>
      <c r="M111" s="1791"/>
    </row>
    <row r="112">
      <c r="B112" s="1802"/>
      <c r="C112" s="1802"/>
      <c r="D112" s="1802"/>
      <c r="E112" s="1802"/>
      <c r="F112" s="1802"/>
      <c r="G112" s="1802"/>
      <c r="H112" s="1802"/>
      <c r="I112" s="1802"/>
      <c r="J112" s="1802"/>
      <c r="K112" s="1802"/>
      <c r="L112" s="1802"/>
      <c r="M112" s="1791"/>
    </row>
    <row r="113">
      <c r="B113" s="1789" t="str">
        <f> IF(B114 = "","",concatenate("BRANCH: ",Indirect("204 " &amp; B114 &amp; "!$C$7")))</f>
        <v/>
      </c>
      <c r="C113" s="1790"/>
      <c r="D113" s="1789" t="str">
        <f> IF(left(D114,5) = left(B114,5),"",IF(D114 = "","",concatenate("BRANCH: ",Indirect("204 " &amp; D114 &amp; "!$C$7"))))</f>
        <v/>
      </c>
      <c r="E113" s="1790"/>
      <c r="F113" s="1789" t="str">
        <f> IF(left(F114,5) = left(D114,5),"",IF(F114 = "","",concatenate("BRANCH: ",Indirect("204 " &amp; F114 &amp; "!$C$7"))))</f>
        <v/>
      </c>
      <c r="G113" s="1802"/>
      <c r="H113" s="1789" t="str">
        <f> IF(left(H114,5) = left(F114,5),"",IF(H114 = "","",concatenate("BRANCH: ",Indirect("204 " &amp; H114 &amp; "!$C$7"))))</f>
        <v/>
      </c>
      <c r="I113" s="1802"/>
      <c r="J113" s="1789" t="str">
        <f> IF(left(J114,5) = left(H114,5),"",IF(J114 = "","",concatenate("BRANCH: ",Indirect("204 " &amp; J114 &amp; "!$C$7"))))</f>
        <v/>
      </c>
      <c r="K113" s="1802"/>
      <c r="L113" s="1789" t="str">
        <f> IF(left(L114,5) = left(J114,5),"",IF(L114 = "","",concatenate("BRANCH: ",Indirect("204 " &amp; L114 &amp; "!$C$7"))))</f>
        <v/>
      </c>
      <c r="M113" s="1791"/>
    </row>
    <row r="114">
      <c r="B114" s="1806"/>
      <c r="C114" s="1802"/>
      <c r="D114" s="1806"/>
      <c r="E114" s="1802"/>
      <c r="F114" s="1806"/>
      <c r="G114" s="1802"/>
      <c r="H114" s="1806"/>
      <c r="I114" s="1802"/>
      <c r="J114" s="1806"/>
      <c r="K114" s="1802"/>
      <c r="L114" s="1806"/>
      <c r="M114" s="1791"/>
    </row>
    <row r="115">
      <c r="B115" s="1789" t="str">
        <f> IF(B114 = "","",concatenate("DIVS: ",Indirect("204 " &amp; B114 &amp; "!$C$8"),Indirect("204 " &amp; B114 &amp; "!$B$8")))</f>
        <v/>
      </c>
      <c r="C115" s="1802"/>
      <c r="D115" s="1789" t="str">
        <f> IF(D114 = "","",concatenate("DIVS: ",Indirect("204 " &amp; D114 &amp; "!$C$8"),Indirect("204 " &amp; D114 &amp; "!$B$8")))</f>
        <v/>
      </c>
      <c r="E115" s="1802"/>
      <c r="F115" s="1789" t="str">
        <f> IF(F114 = "","",concatenate("DIVS: ",Indirect("204 " &amp; F114 &amp; "!$C$8"),Indirect("204 " &amp; F114 &amp; "!$B$8")))</f>
        <v/>
      </c>
      <c r="G115" s="1802"/>
      <c r="H115" s="1789" t="str">
        <f> IF(H114 = "","",concatenate("DIVS: ",Indirect("204 " &amp; H114 &amp; "!$C$8"),Indirect("204 " &amp; H114 &amp; "!$B$8")))</f>
        <v/>
      </c>
      <c r="I115" s="1802"/>
      <c r="J115" s="1789" t="str">
        <f> IF(J114 = "","",concatenate("DIVS: ",Indirect("204 " &amp; J114 &amp; "!$C$8"),Indirect("204 " &amp; J114 &amp; "!$B$8")))</f>
        <v/>
      </c>
      <c r="K115" s="1802"/>
      <c r="L115" s="1789" t="str">
        <f> IF(L114 = "","",concatenate("DIVS: ",Indirect("204 " &amp; L114 &amp; "!$C$8"),Indirect("204 " &amp; L114 &amp; "!$B$8")))</f>
        <v/>
      </c>
      <c r="M115" s="1791"/>
    </row>
    <row r="116">
      <c r="B116" s="1804" t="str">
        <f>IFERROR(__xludf.DUMMYFUNCTION(" IF (B114 = """","""",filter(Indirect(""204 "" &amp; B114 &amp; ""!$A11:$A24""), NOT(ISBLANK(Indirect(""204 "" &amp; B114 &amp; ""!$A11:$A24"")))))"),"")</f>
        <v/>
      </c>
      <c r="C116" s="1802"/>
      <c r="D116" s="1804" t="str">
        <f>IFERROR(__xludf.DUMMYFUNCTION(" IF (D114 = """","""",filter(Indirect(""204 "" &amp; D114 &amp; ""!$A11:$A24""), NOT(ISBLANK(Indirect(""204 "" &amp; D114 &amp; ""!$A11:$A24"")))))"),"")</f>
        <v/>
      </c>
      <c r="E116" s="1802"/>
      <c r="F116" s="1804" t="str">
        <f>IFERROR(__xludf.DUMMYFUNCTION(" IF (F114 = """","""",filter(Indirect(""204 "" &amp; F114 &amp; ""!$A11:$A24""), NOT(ISBLANK(Indirect(""204 "" &amp; F114 &amp; ""!$A11:$A24"")))))"),"")</f>
        <v/>
      </c>
      <c r="G116" s="1802"/>
      <c r="H116" s="1804" t="str">
        <f>IFERROR(__xludf.DUMMYFUNCTION(" IF (H114 = """","""",filter(Indirect(""204 "" &amp; H114 &amp; ""!$A11:$A24""), NOT(ISBLANK(Indirect(""204 "" &amp; H114 &amp; ""!$A11:$A24"")))))"),"")</f>
        <v/>
      </c>
      <c r="I116" s="1802"/>
      <c r="J116" s="1804" t="str">
        <f>IFERROR(__xludf.DUMMYFUNCTION(" IF (J114 = """","""",filter(Indirect(""204 "" &amp; J114 &amp; ""!$A11:$A24""), NOT(ISBLANK(Indirect(""204 "" &amp; J114 &amp; ""!$A11:$A24"")))))"),"")</f>
        <v/>
      </c>
      <c r="K116" s="1802"/>
      <c r="L116" s="1804" t="str">
        <f>IFERROR(__xludf.DUMMYFUNCTION(" IF (L114 = """","""",filter(Indirect(""204 "" &amp; L114 &amp; ""!$A11:$A24""), NOT(ISBLANK(Indirect(""204 "" &amp; L114 &amp; ""!$A11:$A24"")))))"),"")</f>
        <v/>
      </c>
      <c r="M116" s="1791"/>
    </row>
    <row r="117">
      <c r="B117" s="1804"/>
      <c r="C117" s="1802"/>
      <c r="D117" s="1804"/>
      <c r="E117" s="1802"/>
      <c r="F117" s="1804"/>
      <c r="G117" s="1802"/>
      <c r="H117" s="1804"/>
      <c r="I117" s="1802"/>
      <c r="J117" s="1804"/>
      <c r="K117" s="1802"/>
      <c r="L117" s="1804"/>
      <c r="M117" s="1791"/>
    </row>
    <row r="118">
      <c r="B118" s="1804"/>
      <c r="C118" s="1802"/>
      <c r="D118" s="1804"/>
      <c r="E118" s="1802"/>
      <c r="F118" s="1804"/>
      <c r="G118" s="1802"/>
      <c r="H118" s="1804"/>
      <c r="I118" s="1802"/>
      <c r="J118" s="1804"/>
      <c r="K118" s="1802"/>
      <c r="L118" s="1804"/>
      <c r="M118" s="1791"/>
    </row>
    <row r="119">
      <c r="B119" s="1804"/>
      <c r="C119" s="1802"/>
      <c r="D119" s="1804"/>
      <c r="E119" s="1802"/>
      <c r="F119" s="1804"/>
      <c r="G119" s="1802"/>
      <c r="H119" s="1804"/>
      <c r="I119" s="1802"/>
      <c r="J119" s="1804"/>
      <c r="K119" s="1802"/>
      <c r="L119" s="1804"/>
      <c r="M119" s="1791"/>
    </row>
    <row r="120">
      <c r="B120" s="1804"/>
      <c r="C120" s="1802"/>
      <c r="D120" s="1804"/>
      <c r="E120" s="1802"/>
      <c r="F120" s="1804"/>
      <c r="G120" s="1802"/>
      <c r="H120" s="1804"/>
      <c r="I120" s="1802"/>
      <c r="J120" s="1804"/>
      <c r="K120" s="1802"/>
      <c r="L120" s="1804"/>
      <c r="M120" s="1791"/>
    </row>
    <row r="121">
      <c r="B121" s="1804"/>
      <c r="C121" s="1802"/>
      <c r="D121" s="1804"/>
      <c r="E121" s="1802"/>
      <c r="F121" s="1804"/>
      <c r="G121" s="1802"/>
      <c r="H121" s="1804"/>
      <c r="I121" s="1802"/>
      <c r="J121" s="1804"/>
      <c r="K121" s="1802"/>
      <c r="L121" s="1804"/>
      <c r="M121" s="1791"/>
    </row>
    <row r="122">
      <c r="B122" s="1804"/>
      <c r="C122" s="1802"/>
      <c r="D122" s="1804"/>
      <c r="E122" s="1802"/>
      <c r="F122" s="1804"/>
      <c r="G122" s="1802"/>
      <c r="H122" s="1804"/>
      <c r="I122" s="1802"/>
      <c r="J122" s="1804"/>
      <c r="K122" s="1802"/>
      <c r="L122" s="1804"/>
      <c r="M122" s="1791"/>
    </row>
    <row r="123">
      <c r="B123" s="1804"/>
      <c r="C123" s="1802"/>
      <c r="D123" s="1804"/>
      <c r="E123" s="1802"/>
      <c r="F123" s="1804"/>
      <c r="G123" s="1802"/>
      <c r="H123" s="1804"/>
      <c r="I123" s="1802"/>
      <c r="J123" s="1804"/>
      <c r="K123" s="1802"/>
      <c r="L123" s="1804"/>
      <c r="M123" s="1791"/>
    </row>
    <row r="124">
      <c r="B124" s="1804"/>
      <c r="C124" s="1802"/>
      <c r="D124" s="1804"/>
      <c r="E124" s="1802"/>
      <c r="F124" s="1804"/>
      <c r="G124" s="1802"/>
      <c r="H124" s="1804"/>
      <c r="I124" s="1802"/>
      <c r="J124" s="1804"/>
      <c r="K124" s="1802"/>
      <c r="L124" s="1804"/>
      <c r="M124" s="1791"/>
    </row>
    <row r="125">
      <c r="B125" s="1804"/>
      <c r="C125" s="1802"/>
      <c r="D125" s="1804"/>
      <c r="E125" s="1802"/>
      <c r="F125" s="1804"/>
      <c r="G125" s="1802"/>
      <c r="H125" s="1804"/>
      <c r="I125" s="1802"/>
      <c r="J125" s="1804"/>
      <c r="K125" s="1802"/>
      <c r="L125" s="1804"/>
      <c r="M125" s="1791"/>
    </row>
    <row r="126">
      <c r="B126" s="1804"/>
      <c r="C126" s="1802"/>
      <c r="D126" s="1804"/>
      <c r="E126" s="1802"/>
      <c r="F126" s="1804"/>
      <c r="G126" s="1802"/>
      <c r="H126" s="1804"/>
      <c r="I126" s="1802"/>
      <c r="J126" s="1804"/>
      <c r="K126" s="1802"/>
      <c r="L126" s="1804"/>
      <c r="M126" s="1791"/>
    </row>
    <row r="127">
      <c r="B127" s="1804"/>
      <c r="C127" s="1802"/>
      <c r="D127" s="1804"/>
      <c r="E127" s="1802"/>
      <c r="F127" s="1804"/>
      <c r="G127" s="1802"/>
      <c r="H127" s="1804"/>
      <c r="I127" s="1802"/>
      <c r="J127" s="1804"/>
      <c r="K127" s="1802"/>
      <c r="L127" s="1804"/>
      <c r="M127" s="1791"/>
    </row>
    <row r="128">
      <c r="B128" s="1804"/>
      <c r="C128" s="1802"/>
      <c r="D128" s="1804"/>
      <c r="E128" s="1802"/>
      <c r="F128" s="1804"/>
      <c r="G128" s="1802"/>
      <c r="H128" s="1804"/>
      <c r="I128" s="1802"/>
      <c r="J128" s="1804"/>
      <c r="K128" s="1802"/>
      <c r="L128" s="1804"/>
      <c r="M128" s="1791"/>
    </row>
    <row r="129">
      <c r="B129" s="1804"/>
      <c r="C129" s="1802"/>
      <c r="D129" s="1804"/>
      <c r="E129" s="1802"/>
      <c r="F129" s="1804"/>
      <c r="G129" s="1802"/>
      <c r="H129" s="1804"/>
      <c r="I129" s="1802"/>
      <c r="J129" s="1804"/>
      <c r="K129" s="1802"/>
      <c r="L129" s="1804"/>
      <c r="M129" s="1791"/>
    </row>
    <row r="130">
      <c r="B130" s="1804"/>
      <c r="C130" s="1802"/>
      <c r="D130" s="1804"/>
      <c r="E130" s="1802"/>
      <c r="F130" s="1804"/>
      <c r="G130" s="1802"/>
      <c r="H130" s="1804"/>
      <c r="I130" s="1802"/>
      <c r="J130" s="1804"/>
      <c r="K130" s="1802"/>
      <c r="L130" s="1804"/>
      <c r="M130" s="1791"/>
    </row>
    <row r="131">
      <c r="B131" s="1804"/>
      <c r="C131" s="1802"/>
      <c r="D131" s="1804"/>
      <c r="E131" s="1802"/>
      <c r="F131" s="1804"/>
      <c r="G131" s="1802"/>
      <c r="H131" s="1804"/>
      <c r="I131" s="1802"/>
      <c r="J131" s="1804"/>
      <c r="K131" s="1802"/>
      <c r="L131" s="1804"/>
      <c r="M131" s="1791"/>
    </row>
    <row r="132">
      <c r="B132" s="1804"/>
      <c r="C132" s="1802"/>
      <c r="D132" s="1804"/>
      <c r="E132" s="1802"/>
      <c r="F132" s="1804"/>
      <c r="G132" s="1802"/>
      <c r="H132" s="1804"/>
      <c r="I132" s="1802"/>
      <c r="J132" s="1804"/>
      <c r="K132" s="1802"/>
      <c r="L132" s="1804"/>
      <c r="M132" s="1791"/>
    </row>
    <row r="133">
      <c r="B133" s="1804"/>
      <c r="C133" s="1802"/>
      <c r="D133" s="1804"/>
      <c r="E133" s="1802"/>
      <c r="F133" s="1804"/>
      <c r="G133" s="1802"/>
      <c r="H133" s="1804"/>
      <c r="I133" s="1802"/>
      <c r="J133" s="1804"/>
      <c r="K133" s="1802"/>
      <c r="L133" s="1804"/>
      <c r="M133" s="1791"/>
    </row>
    <row r="134">
      <c r="B134" s="1802"/>
      <c r="C134" s="1802"/>
      <c r="D134" s="1802"/>
      <c r="E134" s="1802"/>
      <c r="F134" s="1802"/>
      <c r="G134" s="1802"/>
      <c r="H134" s="1802"/>
      <c r="I134" s="1802"/>
      <c r="J134" s="1802"/>
      <c r="K134" s="1802"/>
      <c r="L134" s="1802"/>
      <c r="M134" s="1791"/>
    </row>
    <row r="135">
      <c r="B135" s="1802"/>
      <c r="C135" s="1802"/>
      <c r="D135" s="1802"/>
      <c r="E135" s="1802"/>
      <c r="F135" s="1802"/>
      <c r="G135" s="1802"/>
      <c r="H135" s="1802"/>
      <c r="I135" s="1802"/>
      <c r="J135" s="1802"/>
      <c r="K135" s="1802"/>
      <c r="L135" s="1802"/>
      <c r="M135" s="1791"/>
    </row>
    <row r="136">
      <c r="B136" s="1802"/>
      <c r="C136" s="1802"/>
      <c r="D136" s="1802"/>
      <c r="E136" s="1802"/>
      <c r="F136" s="1802"/>
      <c r="G136" s="1802"/>
      <c r="H136" s="1802"/>
      <c r="I136" s="1802"/>
      <c r="J136" s="1802"/>
      <c r="K136" s="1802"/>
      <c r="L136" s="1802"/>
      <c r="M136" s="1791"/>
    </row>
    <row r="137">
      <c r="B137" s="1802"/>
      <c r="C137" s="1802"/>
      <c r="D137" s="1802"/>
      <c r="E137" s="1802"/>
      <c r="F137" s="1802"/>
      <c r="G137" s="1802"/>
      <c r="H137" s="1802"/>
      <c r="I137" s="1802"/>
      <c r="J137" s="1802"/>
      <c r="K137" s="1802"/>
      <c r="L137" s="1802"/>
      <c r="M137" s="1791"/>
    </row>
    <row r="138">
      <c r="B138" s="1802"/>
      <c r="C138" s="1802"/>
      <c r="D138" s="1802"/>
      <c r="E138" s="1802"/>
      <c r="F138" s="1802"/>
      <c r="G138" s="1802"/>
      <c r="H138" s="1802"/>
      <c r="I138" s="1802"/>
      <c r="J138" s="1802"/>
      <c r="K138" s="1802"/>
      <c r="L138" s="1802"/>
      <c r="M138" s="1791"/>
    </row>
    <row r="139">
      <c r="B139" s="1802"/>
      <c r="C139" s="1802"/>
      <c r="D139" s="1802"/>
      <c r="E139" s="1802"/>
      <c r="F139" s="1802"/>
      <c r="G139" s="1802"/>
      <c r="H139" s="1802"/>
      <c r="I139" s="1802"/>
      <c r="J139" s="1802"/>
      <c r="K139" s="1802"/>
      <c r="L139" s="1802"/>
      <c r="M139" s="1791"/>
    </row>
    <row r="140">
      <c r="B140" s="1802"/>
      <c r="C140" s="1802"/>
      <c r="D140" s="1802"/>
      <c r="E140" s="1802"/>
      <c r="F140" s="1802"/>
      <c r="G140" s="1802"/>
      <c r="H140" s="1802"/>
      <c r="I140" s="1802"/>
      <c r="J140" s="1802"/>
      <c r="K140" s="1802"/>
      <c r="L140" s="1802"/>
      <c r="M140" s="1791"/>
    </row>
    <row r="141">
      <c r="B141" s="1802"/>
      <c r="C141" s="1802"/>
      <c r="D141" s="1802"/>
      <c r="E141" s="1802"/>
      <c r="F141" s="1802"/>
      <c r="G141" s="1802"/>
      <c r="H141" s="1802"/>
      <c r="I141" s="1802"/>
      <c r="J141" s="1802"/>
      <c r="K141" s="1802"/>
      <c r="L141" s="1802"/>
      <c r="M141" s="1791"/>
    </row>
    <row r="142">
      <c r="B142" s="1802"/>
      <c r="C142" s="1802"/>
      <c r="D142" s="1802"/>
      <c r="E142" s="1802"/>
      <c r="F142" s="1802"/>
      <c r="G142" s="1802"/>
      <c r="H142" s="1802"/>
      <c r="I142" s="1802"/>
      <c r="J142" s="1802"/>
      <c r="K142" s="1802"/>
      <c r="L142" s="1802"/>
      <c r="M142" s="1791"/>
    </row>
    <row r="143">
      <c r="B143" s="1802"/>
      <c r="C143" s="1802"/>
      <c r="D143" s="1802"/>
      <c r="E143" s="1802"/>
      <c r="F143" s="1802"/>
      <c r="G143" s="1802"/>
      <c r="H143" s="1802"/>
      <c r="I143" s="1802"/>
      <c r="J143" s="1802"/>
      <c r="K143" s="1802"/>
      <c r="L143" s="1802"/>
      <c r="M143" s="1791"/>
    </row>
    <row r="144">
      <c r="B144" s="1802"/>
      <c r="C144" s="1802"/>
      <c r="D144" s="1802"/>
      <c r="E144" s="1802"/>
      <c r="F144" s="1802"/>
      <c r="G144" s="1802"/>
      <c r="H144" s="1802"/>
      <c r="I144" s="1802"/>
      <c r="J144" s="1802"/>
      <c r="K144" s="1802"/>
      <c r="L144" s="1802"/>
      <c r="M144" s="1791"/>
    </row>
    <row r="145">
      <c r="B145" s="1802"/>
      <c r="C145" s="1802"/>
      <c r="D145" s="1802"/>
      <c r="E145" s="1802"/>
      <c r="F145" s="1802"/>
      <c r="G145" s="1802"/>
      <c r="H145" s="1802"/>
      <c r="I145" s="1802"/>
      <c r="J145" s="1802"/>
      <c r="K145" s="1802"/>
      <c r="L145" s="1802"/>
      <c r="M145" s="1791"/>
    </row>
    <row r="146">
      <c r="B146" s="1802"/>
      <c r="C146" s="1802"/>
      <c r="D146" s="1802"/>
      <c r="E146" s="1802"/>
      <c r="F146" s="1802"/>
      <c r="G146" s="1802"/>
      <c r="H146" s="1802"/>
      <c r="I146" s="1802"/>
      <c r="J146" s="1802"/>
      <c r="K146" s="1802"/>
      <c r="L146" s="1802"/>
      <c r="M146" s="1791"/>
    </row>
    <row r="147">
      <c r="B147" s="1802"/>
      <c r="C147" s="1802"/>
      <c r="D147" s="1802"/>
      <c r="E147" s="1802"/>
      <c r="F147" s="1802"/>
      <c r="G147" s="1802"/>
      <c r="H147" s="1802"/>
      <c r="I147" s="1802"/>
      <c r="J147" s="1802"/>
      <c r="K147" s="1802"/>
      <c r="L147" s="1802"/>
      <c r="M147" s="1791"/>
    </row>
    <row r="148">
      <c r="B148" s="1802"/>
      <c r="C148" s="1802"/>
      <c r="D148" s="1802"/>
      <c r="E148" s="1802"/>
      <c r="F148" s="1802"/>
      <c r="G148" s="1802"/>
      <c r="H148" s="1802"/>
      <c r="I148" s="1802"/>
      <c r="J148" s="1802"/>
      <c r="K148" s="1802"/>
      <c r="L148" s="1802"/>
      <c r="M148" s="1791"/>
    </row>
    <row r="149">
      <c r="B149" s="1802"/>
      <c r="C149" s="1802"/>
      <c r="D149" s="1802"/>
      <c r="E149" s="1802"/>
      <c r="F149" s="1802"/>
      <c r="G149" s="1802"/>
      <c r="H149" s="1802"/>
      <c r="I149" s="1802"/>
      <c r="J149" s="1802"/>
      <c r="K149" s="1802"/>
      <c r="L149" s="1802"/>
      <c r="M149" s="1791"/>
    </row>
    <row r="150">
      <c r="B150" s="1802"/>
      <c r="C150" s="1802"/>
      <c r="D150" s="1802"/>
      <c r="E150" s="1802"/>
      <c r="F150" s="1802"/>
      <c r="G150" s="1802"/>
      <c r="H150" s="1802"/>
      <c r="I150" s="1802"/>
      <c r="J150" s="1802"/>
      <c r="K150" s="1802"/>
      <c r="L150" s="1802"/>
      <c r="M150" s="1791"/>
    </row>
    <row r="151">
      <c r="B151" s="1802"/>
      <c r="C151" s="1802"/>
      <c r="D151" s="1802"/>
      <c r="E151" s="1802"/>
      <c r="F151" s="1802"/>
      <c r="G151" s="1802"/>
      <c r="H151" s="1802"/>
      <c r="I151" s="1802"/>
      <c r="J151" s="1802"/>
      <c r="K151" s="1802"/>
      <c r="L151" s="1802"/>
      <c r="M151" s="1791"/>
    </row>
    <row r="152">
      <c r="B152" s="1802"/>
      <c r="C152" s="1802"/>
      <c r="D152" s="1802"/>
      <c r="E152" s="1802"/>
      <c r="F152" s="1802"/>
      <c r="G152" s="1802"/>
      <c r="H152" s="1802"/>
      <c r="I152" s="1802"/>
      <c r="J152" s="1802"/>
      <c r="K152" s="1802"/>
      <c r="L152" s="1802"/>
      <c r="M152" s="1791"/>
    </row>
    <row r="153">
      <c r="B153" s="1802"/>
      <c r="C153" s="1802"/>
      <c r="D153" s="1802"/>
      <c r="E153" s="1802"/>
      <c r="F153" s="1802"/>
      <c r="G153" s="1802"/>
      <c r="H153" s="1802"/>
      <c r="I153" s="1802"/>
      <c r="J153" s="1802"/>
      <c r="K153" s="1802"/>
      <c r="L153" s="1802"/>
      <c r="M153" s="1791"/>
    </row>
    <row r="154">
      <c r="B154" s="1802"/>
      <c r="C154" s="1802"/>
      <c r="D154" s="1802"/>
      <c r="E154" s="1802"/>
      <c r="F154" s="1802"/>
      <c r="G154" s="1802"/>
      <c r="H154" s="1802"/>
      <c r="I154" s="1802"/>
      <c r="J154" s="1802"/>
      <c r="K154" s="1802"/>
      <c r="L154" s="1802"/>
      <c r="M154" s="1791"/>
    </row>
    <row r="155">
      <c r="B155" s="1802"/>
      <c r="C155" s="1802"/>
      <c r="D155" s="1802"/>
      <c r="E155" s="1802"/>
      <c r="F155" s="1802"/>
      <c r="G155" s="1802"/>
      <c r="H155" s="1802"/>
      <c r="I155" s="1802"/>
      <c r="J155" s="1802"/>
      <c r="K155" s="1802"/>
      <c r="L155" s="1802"/>
      <c r="M155" s="1791"/>
    </row>
    <row r="156">
      <c r="B156" s="1802"/>
      <c r="C156" s="1802"/>
      <c r="D156" s="1802"/>
      <c r="E156" s="1802"/>
      <c r="F156" s="1802"/>
      <c r="G156" s="1802"/>
      <c r="H156" s="1802"/>
      <c r="I156" s="1802"/>
      <c r="J156" s="1802"/>
      <c r="K156" s="1802"/>
      <c r="L156" s="1802"/>
      <c r="M156" s="1791"/>
    </row>
    <row r="157">
      <c r="B157" s="1807"/>
      <c r="C157" s="1807"/>
      <c r="D157" s="1807"/>
      <c r="E157" s="1807"/>
      <c r="F157" s="1807"/>
      <c r="G157" s="1807"/>
      <c r="H157" s="1807"/>
      <c r="I157" s="1807"/>
      <c r="J157" s="1807"/>
      <c r="K157" s="1807"/>
      <c r="L157" s="1807"/>
    </row>
    <row r="158">
      <c r="B158" s="1807"/>
      <c r="C158" s="1807"/>
      <c r="D158" s="1807"/>
      <c r="E158" s="1807"/>
      <c r="F158" s="1807"/>
      <c r="G158" s="1807"/>
      <c r="H158" s="1807"/>
      <c r="I158" s="1807"/>
      <c r="J158" s="1807"/>
      <c r="K158" s="1807"/>
      <c r="L158" s="1807"/>
    </row>
    <row r="159">
      <c r="B159" s="1807"/>
      <c r="C159" s="1807"/>
      <c r="D159" s="1807"/>
      <c r="E159" s="1807"/>
      <c r="F159" s="1807"/>
      <c r="G159" s="1807"/>
      <c r="H159" s="1807"/>
      <c r="I159" s="1807"/>
      <c r="J159" s="1807"/>
      <c r="K159" s="1807"/>
      <c r="L159" s="1807"/>
    </row>
    <row r="160">
      <c r="B160" s="1807"/>
      <c r="C160" s="1807"/>
      <c r="D160" s="1807"/>
      <c r="E160" s="1807"/>
      <c r="F160" s="1807"/>
      <c r="G160" s="1807"/>
      <c r="H160" s="1807"/>
      <c r="I160" s="1807"/>
      <c r="J160" s="1807"/>
      <c r="K160" s="1807"/>
      <c r="L160" s="1807"/>
    </row>
    <row r="161">
      <c r="B161" s="1807"/>
      <c r="C161" s="1807"/>
      <c r="D161" s="1807"/>
      <c r="E161" s="1807"/>
      <c r="F161" s="1807"/>
      <c r="G161" s="1807"/>
      <c r="H161" s="1807"/>
      <c r="I161" s="1807"/>
      <c r="J161" s="1807"/>
      <c r="K161" s="1807"/>
      <c r="L161" s="1807"/>
    </row>
    <row r="162">
      <c r="B162" s="1807"/>
      <c r="C162" s="1807"/>
      <c r="D162" s="1807"/>
      <c r="E162" s="1807"/>
      <c r="F162" s="1807"/>
      <c r="G162" s="1807"/>
      <c r="H162" s="1807"/>
      <c r="I162" s="1807"/>
      <c r="J162" s="1807"/>
      <c r="K162" s="1807"/>
      <c r="L162" s="1807"/>
    </row>
    <row r="163">
      <c r="B163" s="1807"/>
      <c r="C163" s="1807"/>
      <c r="D163" s="1807"/>
      <c r="E163" s="1807"/>
      <c r="F163" s="1807"/>
      <c r="G163" s="1807"/>
      <c r="H163" s="1807"/>
      <c r="I163" s="1807"/>
      <c r="J163" s="1807"/>
      <c r="K163" s="1807"/>
      <c r="L163" s="1807"/>
    </row>
    <row r="164">
      <c r="B164" s="1807"/>
      <c r="C164" s="1807"/>
      <c r="D164" s="1807"/>
      <c r="E164" s="1807"/>
      <c r="F164" s="1807"/>
      <c r="G164" s="1807"/>
      <c r="H164" s="1807"/>
      <c r="I164" s="1807"/>
      <c r="J164" s="1807"/>
      <c r="K164" s="1807"/>
      <c r="L164" s="1807"/>
    </row>
    <row r="165">
      <c r="B165" s="1807"/>
      <c r="C165" s="1807"/>
      <c r="D165" s="1807"/>
      <c r="E165" s="1807"/>
      <c r="F165" s="1807"/>
      <c r="G165" s="1807"/>
      <c r="H165" s="1807"/>
      <c r="I165" s="1807"/>
      <c r="J165" s="1807"/>
      <c r="K165" s="1807"/>
      <c r="L165" s="1807"/>
    </row>
    <row r="166">
      <c r="B166" s="1807"/>
      <c r="C166" s="1807"/>
      <c r="D166" s="1807"/>
      <c r="E166" s="1807"/>
      <c r="F166" s="1807"/>
      <c r="G166" s="1807"/>
      <c r="H166" s="1807"/>
      <c r="I166" s="1807"/>
      <c r="J166" s="1807"/>
      <c r="K166" s="1807"/>
      <c r="L166" s="1807"/>
    </row>
    <row r="167">
      <c r="B167" s="1807"/>
      <c r="C167" s="1807"/>
      <c r="D167" s="1807"/>
      <c r="E167" s="1807"/>
      <c r="F167" s="1807"/>
      <c r="G167" s="1807"/>
      <c r="H167" s="1807"/>
      <c r="I167" s="1807"/>
      <c r="J167" s="1807"/>
      <c r="K167" s="1807"/>
      <c r="L167" s="1807"/>
    </row>
    <row r="168">
      <c r="B168" s="1807"/>
      <c r="C168" s="1807"/>
      <c r="D168" s="1807"/>
      <c r="E168" s="1807"/>
      <c r="F168" s="1807"/>
      <c r="G168" s="1807"/>
      <c r="H168" s="1807"/>
      <c r="I168" s="1807"/>
      <c r="J168" s="1807"/>
      <c r="K168" s="1807"/>
      <c r="L168" s="1807"/>
    </row>
    <row r="169">
      <c r="B169" s="1807"/>
      <c r="C169" s="1807"/>
      <c r="D169" s="1807"/>
      <c r="E169" s="1807"/>
      <c r="F169" s="1807"/>
      <c r="G169" s="1807"/>
      <c r="H169" s="1807"/>
      <c r="I169" s="1807"/>
      <c r="J169" s="1807"/>
      <c r="K169" s="1807"/>
      <c r="L169" s="1807"/>
    </row>
    <row r="170">
      <c r="B170" s="1807"/>
      <c r="C170" s="1807"/>
      <c r="D170" s="1807"/>
      <c r="E170" s="1807"/>
      <c r="F170" s="1807"/>
      <c r="G170" s="1807"/>
      <c r="H170" s="1807"/>
      <c r="I170" s="1807"/>
      <c r="J170" s="1807"/>
      <c r="K170" s="1807"/>
      <c r="L170" s="1807"/>
    </row>
    <row r="171">
      <c r="B171" s="1807"/>
      <c r="C171" s="1807"/>
      <c r="D171" s="1807"/>
      <c r="E171" s="1807"/>
      <c r="F171" s="1807"/>
      <c r="G171" s="1807"/>
      <c r="H171" s="1807"/>
      <c r="I171" s="1807"/>
      <c r="J171" s="1807"/>
      <c r="K171" s="1807"/>
      <c r="L171" s="1807"/>
    </row>
    <row r="172">
      <c r="B172" s="1807"/>
      <c r="C172" s="1807"/>
      <c r="D172" s="1807"/>
      <c r="E172" s="1807"/>
      <c r="F172" s="1807"/>
      <c r="G172" s="1807"/>
      <c r="H172" s="1807"/>
      <c r="I172" s="1807"/>
      <c r="J172" s="1807"/>
      <c r="K172" s="1807"/>
      <c r="L172" s="1807"/>
    </row>
    <row r="173">
      <c r="B173" s="1807"/>
      <c r="C173" s="1807"/>
      <c r="D173" s="1807"/>
      <c r="E173" s="1807"/>
      <c r="F173" s="1807"/>
      <c r="G173" s="1807"/>
      <c r="H173" s="1807"/>
      <c r="I173" s="1807"/>
      <c r="J173" s="1807"/>
      <c r="K173" s="1807"/>
      <c r="L173" s="1807"/>
    </row>
    <row r="174">
      <c r="B174" s="1807"/>
      <c r="C174" s="1807"/>
      <c r="D174" s="1807"/>
      <c r="E174" s="1807"/>
      <c r="F174" s="1807"/>
      <c r="G174" s="1807"/>
      <c r="H174" s="1807"/>
      <c r="I174" s="1807"/>
      <c r="J174" s="1807"/>
      <c r="K174" s="1807"/>
      <c r="L174" s="1807"/>
    </row>
    <row r="175">
      <c r="B175" s="1807"/>
      <c r="C175" s="1807"/>
      <c r="D175" s="1807"/>
      <c r="E175" s="1807"/>
      <c r="F175" s="1807"/>
      <c r="G175" s="1807"/>
      <c r="H175" s="1807"/>
      <c r="I175" s="1807"/>
      <c r="J175" s="1807"/>
      <c r="K175" s="1807"/>
      <c r="L175" s="1807"/>
    </row>
    <row r="176">
      <c r="B176" s="1807"/>
      <c r="C176" s="1807"/>
      <c r="D176" s="1807"/>
      <c r="E176" s="1807"/>
      <c r="F176" s="1807"/>
      <c r="G176" s="1807"/>
      <c r="H176" s="1807"/>
      <c r="I176" s="1807"/>
      <c r="J176" s="1807"/>
      <c r="K176" s="1807"/>
      <c r="L176" s="1807"/>
    </row>
    <row r="177">
      <c r="B177" s="1807"/>
      <c r="C177" s="1807"/>
      <c r="D177" s="1807"/>
      <c r="E177" s="1807"/>
      <c r="F177" s="1807"/>
      <c r="G177" s="1807"/>
      <c r="H177" s="1807"/>
      <c r="I177" s="1807"/>
      <c r="J177" s="1807"/>
      <c r="K177" s="1807"/>
      <c r="L177" s="1807"/>
    </row>
    <row r="178">
      <c r="B178" s="1807"/>
      <c r="C178" s="1807"/>
      <c r="D178" s="1807"/>
      <c r="E178" s="1807"/>
      <c r="F178" s="1807"/>
      <c r="G178" s="1807"/>
      <c r="H178" s="1807"/>
      <c r="I178" s="1807"/>
      <c r="J178" s="1807"/>
      <c r="K178" s="1807"/>
      <c r="L178" s="1807"/>
    </row>
    <row r="179">
      <c r="B179" s="1807"/>
      <c r="C179" s="1807"/>
      <c r="D179" s="1807"/>
      <c r="E179" s="1807"/>
      <c r="F179" s="1807"/>
      <c r="G179" s="1807"/>
      <c r="H179" s="1807"/>
      <c r="I179" s="1807"/>
      <c r="J179" s="1807"/>
      <c r="K179" s="1807"/>
      <c r="L179" s="1807"/>
    </row>
    <row r="180">
      <c r="B180" s="1807"/>
      <c r="C180" s="1807"/>
      <c r="D180" s="1807"/>
      <c r="E180" s="1807"/>
      <c r="F180" s="1807"/>
      <c r="G180" s="1807"/>
      <c r="H180" s="1807"/>
      <c r="I180" s="1807"/>
      <c r="J180" s="1807"/>
      <c r="K180" s="1807"/>
      <c r="L180" s="1807"/>
    </row>
    <row r="181">
      <c r="B181" s="1807"/>
      <c r="C181" s="1807"/>
      <c r="D181" s="1807"/>
      <c r="E181" s="1807"/>
      <c r="F181" s="1807"/>
      <c r="G181" s="1807"/>
      <c r="H181" s="1807"/>
      <c r="I181" s="1807"/>
      <c r="J181" s="1807"/>
      <c r="K181" s="1807"/>
      <c r="L181" s="1807"/>
    </row>
    <row r="182">
      <c r="B182" s="1807"/>
      <c r="C182" s="1807"/>
      <c r="D182" s="1807"/>
      <c r="E182" s="1807"/>
      <c r="F182" s="1807"/>
      <c r="G182" s="1807"/>
      <c r="H182" s="1807"/>
      <c r="I182" s="1807"/>
      <c r="J182" s="1807"/>
      <c r="K182" s="1807"/>
      <c r="L182" s="1807"/>
    </row>
    <row r="183">
      <c r="B183" s="1807"/>
      <c r="C183" s="1807"/>
      <c r="D183" s="1807"/>
      <c r="E183" s="1807"/>
      <c r="F183" s="1807"/>
      <c r="G183" s="1807"/>
      <c r="H183" s="1807"/>
      <c r="I183" s="1807"/>
      <c r="J183" s="1807"/>
      <c r="K183" s="1807"/>
      <c r="L183" s="1807"/>
    </row>
    <row r="184">
      <c r="B184" s="1807"/>
      <c r="C184" s="1807"/>
      <c r="D184" s="1807"/>
      <c r="E184" s="1807"/>
      <c r="F184" s="1807"/>
      <c r="G184" s="1807"/>
      <c r="H184" s="1807"/>
      <c r="I184" s="1807"/>
      <c r="J184" s="1807"/>
      <c r="K184" s="1807"/>
      <c r="L184" s="1807"/>
    </row>
    <row r="185">
      <c r="B185" s="1807"/>
      <c r="C185" s="1807"/>
      <c r="D185" s="1807"/>
      <c r="E185" s="1807"/>
      <c r="F185" s="1807"/>
      <c r="G185" s="1807"/>
      <c r="H185" s="1807"/>
      <c r="I185" s="1807"/>
      <c r="J185" s="1807"/>
      <c r="K185" s="1807"/>
      <c r="L185" s="1807"/>
    </row>
    <row r="186">
      <c r="B186" s="1807"/>
      <c r="C186" s="1807"/>
      <c r="D186" s="1807"/>
      <c r="E186" s="1807"/>
      <c r="F186" s="1807"/>
      <c r="G186" s="1807"/>
      <c r="H186" s="1807"/>
      <c r="I186" s="1807"/>
      <c r="J186" s="1807"/>
      <c r="K186" s="1807"/>
      <c r="L186" s="1807"/>
    </row>
    <row r="187">
      <c r="B187" s="1807"/>
      <c r="C187" s="1807"/>
      <c r="D187" s="1807"/>
      <c r="E187" s="1807"/>
      <c r="F187" s="1807"/>
      <c r="G187" s="1807"/>
      <c r="H187" s="1807"/>
      <c r="I187" s="1807"/>
      <c r="J187" s="1807"/>
      <c r="K187" s="1807"/>
      <c r="L187" s="1807"/>
    </row>
    <row r="188">
      <c r="B188" s="1807"/>
      <c r="C188" s="1807"/>
      <c r="D188" s="1807"/>
      <c r="E188" s="1807"/>
      <c r="F188" s="1807"/>
      <c r="G188" s="1807"/>
      <c r="H188" s="1807"/>
      <c r="I188" s="1807"/>
      <c r="J188" s="1807"/>
      <c r="K188" s="1807"/>
      <c r="L188" s="1807"/>
    </row>
    <row r="189">
      <c r="B189" s="1807"/>
      <c r="C189" s="1807"/>
      <c r="D189" s="1807"/>
      <c r="E189" s="1807"/>
      <c r="F189" s="1807"/>
      <c r="G189" s="1807"/>
      <c r="H189" s="1807"/>
      <c r="I189" s="1807"/>
      <c r="J189" s="1807"/>
      <c r="K189" s="1807"/>
      <c r="L189" s="1807"/>
    </row>
    <row r="190">
      <c r="B190" s="1807"/>
      <c r="C190" s="1807"/>
      <c r="D190" s="1807"/>
      <c r="E190" s="1807"/>
      <c r="F190" s="1807"/>
      <c r="G190" s="1807"/>
      <c r="H190" s="1807"/>
      <c r="I190" s="1807"/>
      <c r="J190" s="1807"/>
      <c r="K190" s="1807"/>
      <c r="L190" s="1807"/>
    </row>
    <row r="191">
      <c r="B191" s="1807"/>
      <c r="C191" s="1807"/>
      <c r="D191" s="1807"/>
      <c r="E191" s="1807"/>
      <c r="F191" s="1807"/>
      <c r="G191" s="1807"/>
      <c r="H191" s="1807"/>
      <c r="I191" s="1807"/>
      <c r="J191" s="1807"/>
      <c r="K191" s="1807"/>
      <c r="L191" s="1807"/>
    </row>
    <row r="192">
      <c r="B192" s="1807"/>
      <c r="C192" s="1807"/>
      <c r="D192" s="1807"/>
      <c r="E192" s="1807"/>
      <c r="F192" s="1807"/>
      <c r="G192" s="1807"/>
      <c r="H192" s="1807"/>
      <c r="I192" s="1807"/>
      <c r="J192" s="1807"/>
      <c r="K192" s="1807"/>
      <c r="L192" s="1807"/>
    </row>
    <row r="193">
      <c r="B193" s="1807"/>
      <c r="C193" s="1807"/>
      <c r="D193" s="1807"/>
      <c r="E193" s="1807"/>
      <c r="F193" s="1807"/>
      <c r="G193" s="1807"/>
      <c r="H193" s="1807"/>
      <c r="I193" s="1807"/>
      <c r="J193" s="1807"/>
      <c r="K193" s="1807"/>
      <c r="L193" s="1807"/>
    </row>
    <row r="194">
      <c r="B194" s="1807"/>
      <c r="C194" s="1807"/>
      <c r="D194" s="1807"/>
      <c r="E194" s="1807"/>
      <c r="F194" s="1807"/>
      <c r="G194" s="1807"/>
      <c r="H194" s="1807"/>
      <c r="I194" s="1807"/>
      <c r="J194" s="1807"/>
      <c r="K194" s="1807"/>
      <c r="L194" s="1807"/>
    </row>
  </sheetData>
  <mergeCells count="198">
    <mergeCell ref="B1:L1"/>
    <mergeCell ref="N4:O4"/>
    <mergeCell ref="N5:O5"/>
    <mergeCell ref="N6:O6"/>
    <mergeCell ref="N7:O7"/>
    <mergeCell ref="N8:O8"/>
    <mergeCell ref="N9:O9"/>
    <mergeCell ref="N10:O10"/>
    <mergeCell ref="N11:O11"/>
    <mergeCell ref="N12:O12"/>
    <mergeCell ref="N13:O13"/>
    <mergeCell ref="N14:O14"/>
    <mergeCell ref="N15:O15"/>
    <mergeCell ref="N16:O16"/>
    <mergeCell ref="N17:O17"/>
    <mergeCell ref="N18:O18"/>
    <mergeCell ref="N19:O19"/>
    <mergeCell ref="N20:O20"/>
    <mergeCell ref="N21:O21"/>
    <mergeCell ref="N22:O22"/>
    <mergeCell ref="N23:O23"/>
    <mergeCell ref="N24:O24"/>
    <mergeCell ref="N25:O25"/>
    <mergeCell ref="N26:O26"/>
    <mergeCell ref="N27:O27"/>
    <mergeCell ref="N28:O28"/>
    <mergeCell ref="N29:O29"/>
    <mergeCell ref="N30:O30"/>
    <mergeCell ref="N31:O31"/>
    <mergeCell ref="N32:O32"/>
    <mergeCell ref="N33:O33"/>
    <mergeCell ref="N34:O34"/>
    <mergeCell ref="N35:O35"/>
    <mergeCell ref="N36:O36"/>
    <mergeCell ref="N37:O37"/>
    <mergeCell ref="N38:O38"/>
    <mergeCell ref="N39:O39"/>
    <mergeCell ref="N40:O40"/>
    <mergeCell ref="N41:O41"/>
    <mergeCell ref="N42:O42"/>
    <mergeCell ref="N43:O43"/>
    <mergeCell ref="N44:O44"/>
    <mergeCell ref="N45:O45"/>
    <mergeCell ref="N46:O46"/>
    <mergeCell ref="N47:O47"/>
    <mergeCell ref="N48:O48"/>
    <mergeCell ref="N49:O49"/>
    <mergeCell ref="N50:O50"/>
    <mergeCell ref="N51:O51"/>
    <mergeCell ref="N52:O52"/>
    <mergeCell ref="N53:O53"/>
    <mergeCell ref="N54:O54"/>
    <mergeCell ref="N55:O55"/>
    <mergeCell ref="N56:O56"/>
    <mergeCell ref="N57:O57"/>
    <mergeCell ref="N58:O58"/>
    <mergeCell ref="N59:O59"/>
    <mergeCell ref="N60:O60"/>
    <mergeCell ref="N61:O61"/>
    <mergeCell ref="N62:O62"/>
    <mergeCell ref="N63:O63"/>
    <mergeCell ref="N64:O64"/>
    <mergeCell ref="N65:O65"/>
    <mergeCell ref="N66:O66"/>
    <mergeCell ref="N67:O67"/>
    <mergeCell ref="N68:O68"/>
    <mergeCell ref="N69:O69"/>
    <mergeCell ref="N70:O70"/>
    <mergeCell ref="N71:O71"/>
    <mergeCell ref="N72:O72"/>
    <mergeCell ref="N73:O73"/>
    <mergeCell ref="N74:O74"/>
    <mergeCell ref="N75:O75"/>
    <mergeCell ref="N76:O76"/>
    <mergeCell ref="N77:O77"/>
    <mergeCell ref="N78:O78"/>
    <mergeCell ref="N79:O79"/>
    <mergeCell ref="N80:O80"/>
    <mergeCell ref="N81:O81"/>
    <mergeCell ref="N82:O82"/>
    <mergeCell ref="N83:O83"/>
    <mergeCell ref="N84:O84"/>
    <mergeCell ref="N85:O85"/>
    <mergeCell ref="N86:O86"/>
    <mergeCell ref="N87:O87"/>
    <mergeCell ref="N88:O88"/>
    <mergeCell ref="N89:O89"/>
    <mergeCell ref="N90:O90"/>
    <mergeCell ref="N91:O91"/>
    <mergeCell ref="N92:O92"/>
    <mergeCell ref="N93:O93"/>
    <mergeCell ref="N94:O94"/>
    <mergeCell ref="N95:O95"/>
    <mergeCell ref="N96:O96"/>
    <mergeCell ref="N97:O97"/>
    <mergeCell ref="N98:O98"/>
    <mergeCell ref="N99:O99"/>
    <mergeCell ref="N100:O100"/>
    <mergeCell ref="N150:O150"/>
    <mergeCell ref="N151:O151"/>
    <mergeCell ref="N152:O152"/>
    <mergeCell ref="N153:O153"/>
    <mergeCell ref="N154:O154"/>
    <mergeCell ref="N155:O155"/>
    <mergeCell ref="N156:O156"/>
    <mergeCell ref="N157:O157"/>
    <mergeCell ref="N158:O158"/>
    <mergeCell ref="N159:O159"/>
    <mergeCell ref="N160:O160"/>
    <mergeCell ref="N161:O161"/>
    <mergeCell ref="N162:O162"/>
    <mergeCell ref="N163:O163"/>
    <mergeCell ref="N164:O164"/>
    <mergeCell ref="N165:O165"/>
    <mergeCell ref="N166:O166"/>
    <mergeCell ref="N167:O167"/>
    <mergeCell ref="N168:O168"/>
    <mergeCell ref="N169:O169"/>
    <mergeCell ref="N170:O170"/>
    <mergeCell ref="N171:O171"/>
    <mergeCell ref="N172:O172"/>
    <mergeCell ref="N173:O173"/>
    <mergeCell ref="N174:O174"/>
    <mergeCell ref="N175:O175"/>
    <mergeCell ref="N176:O176"/>
    <mergeCell ref="N177:O177"/>
    <mergeCell ref="N178:O178"/>
    <mergeCell ref="N179:O179"/>
    <mergeCell ref="N180:O180"/>
    <mergeCell ref="N181:O181"/>
    <mergeCell ref="N182:O182"/>
    <mergeCell ref="N183:O183"/>
    <mergeCell ref="N184:O184"/>
    <mergeCell ref="N185:O185"/>
    <mergeCell ref="N186:O186"/>
    <mergeCell ref="N187:O187"/>
    <mergeCell ref="N188:O188"/>
    <mergeCell ref="N189:O189"/>
    <mergeCell ref="N190:O190"/>
    <mergeCell ref="N191:O191"/>
    <mergeCell ref="N199:O199"/>
    <mergeCell ref="N200:O200"/>
    <mergeCell ref="N192:O192"/>
    <mergeCell ref="N193:O193"/>
    <mergeCell ref="N194:O194"/>
    <mergeCell ref="N195:O195"/>
    <mergeCell ref="N196:O196"/>
    <mergeCell ref="N197:O197"/>
    <mergeCell ref="N198:O198"/>
    <mergeCell ref="N101:O101"/>
    <mergeCell ref="N102:O102"/>
    <mergeCell ref="N103:O103"/>
    <mergeCell ref="N104:O104"/>
    <mergeCell ref="N105:O105"/>
    <mergeCell ref="N106:O106"/>
    <mergeCell ref="N107:O107"/>
    <mergeCell ref="N108:O108"/>
    <mergeCell ref="N109:O109"/>
    <mergeCell ref="N110:O110"/>
    <mergeCell ref="N111:O111"/>
    <mergeCell ref="N112:O112"/>
    <mergeCell ref="N113:O113"/>
    <mergeCell ref="N114:O114"/>
    <mergeCell ref="N115:O115"/>
    <mergeCell ref="N116:O116"/>
    <mergeCell ref="N117:O117"/>
    <mergeCell ref="N118:O118"/>
    <mergeCell ref="N119:O119"/>
    <mergeCell ref="N120:O120"/>
    <mergeCell ref="N121:O121"/>
    <mergeCell ref="N122:O122"/>
    <mergeCell ref="N123:O123"/>
    <mergeCell ref="N124:O124"/>
    <mergeCell ref="N125:O125"/>
    <mergeCell ref="N126:O126"/>
    <mergeCell ref="N127:O127"/>
    <mergeCell ref="N128:O128"/>
    <mergeCell ref="N129:O129"/>
    <mergeCell ref="N130:O130"/>
    <mergeCell ref="N131:O131"/>
    <mergeCell ref="N132:O132"/>
    <mergeCell ref="N133:O133"/>
    <mergeCell ref="N134:O134"/>
    <mergeCell ref="N135:O135"/>
    <mergeCell ref="N136:O136"/>
    <mergeCell ref="N137:O137"/>
    <mergeCell ref="N138:O138"/>
    <mergeCell ref="N139:O139"/>
    <mergeCell ref="N140:O140"/>
    <mergeCell ref="N141:O141"/>
    <mergeCell ref="N142:O142"/>
    <mergeCell ref="N143:O143"/>
    <mergeCell ref="N144:O144"/>
    <mergeCell ref="N145:O145"/>
    <mergeCell ref="N146:O146"/>
    <mergeCell ref="N147:O147"/>
    <mergeCell ref="N148:O148"/>
    <mergeCell ref="N149:O149"/>
  </mergeCells>
  <conditionalFormatting sqref="B6:L24 M6:O156 B26 C26:C46 D26 E26:E46 F26 G26:G46 H26 I26:I46 J26 K26:K46 L26 B28:B46 D28:D46 F28:F46 H28:H46 J28:J46 L28:L46 B48 C48:C68 D48 E48:E68 F48 G48:G68 H48 I48:I68 J48 K48:K68 L48 B50:B68 D50:D68 F50:F68 H50:H68 J50:J68 L50:L68 B70 C70:C90 D70 E70:E90 F70 G70:G90 H70 I70:I90 J70 K70:K90 L70 B72:B90 D72:D90 F72:F90 H72:H90 J72:J90 L72:L90 B92 C92:C112 D92 E92:E112 F92 G92:G112 H92 I92:I112 J92 K92:K112 L92 B94:B112 D94:D112 F94:F112 H94:H112 J94:J112 L94:L112 B114 C114:C156 D114 E114:E156 F114 G114:G156 H114 I114:I156 J114 K114:K156 L114 B116:B156 D116:D156 F116:F156 H116:H156 J116:J156 L116:L156">
    <cfRule type="beginsWith" dxfId="17" priority="1" operator="beginsWith" text="STC">
      <formula>LEFT((B6),LEN("STC"))=("STC")</formula>
    </cfRule>
  </conditionalFormatting>
  <conditionalFormatting sqref="B6:L24 M6:O156 B26 C26:C46 D26 E26:E46 F26 G26:G46 H26 I26:I46 J26 K26:K46 L26 B28:B46 D28:D46 F28:F46 H28:H46 J28:J46 L28:L46 B48 C48:C68 D48 E48:E68 F48 G48:G68 H48 I48:I68 J48 K48:K68 L48 B50:B68 D50:D68 F50:F68 H50:H68 J50:J68 L50:L68 B70 C70:C90 D70 E70:E90 F70 G70:G90 H70 I70:I90 J70 K70:K90 L70 B72:B90 D72:D90 F72:F90 H72:H90 J72:J90 L72:L90 B92 C92:C112 D92 E92:E112 F92 G92:G112 H92 I92:I112 J92 K92:K112 L92 B94:B112 D94:D112 F94:F112 H94:H112 J94:J112 L94:L112 B114 C114:C156 D114 E114:E156 F114 G114:G156 H114 I114:I156 J114 K114:K156 L114 B116:B156 D116:D156 F116:F156 H116:H156 J116:J156 L116:L156">
    <cfRule type="beginsWith" dxfId="18" priority="2" operator="beginsWith" text="STG">
      <formula>LEFT((B6),LEN("STG"))=("STG")</formula>
    </cfRule>
  </conditionalFormatting>
  <conditionalFormatting sqref="B6:L24 M6:O156 B26 C26:C46 D26 E26:E46 F26 G26:G46 H26 I26:I46 J26 K26:K46 L26 B28:B46 D28:D46 F28:F46 H28:H46 J28:J46 L28:L46 B48 C48:C68 D48 E48:E68 F48 G48:G68 H48 I48:I68 J48 K48:K68 L48 B50:B68 D50:D68 F50:F68 H50:H68 J50:J68 L50:L68 B70 C70:C90 D70 E70:E90 F70 G70:G90 H70 I70:I90 J70 K70:K90 L70 B72:B90 D72:D90 F72:F90 H72:H90 J72:J90 L72:L90 B92 C92:C112 D92 E92:E112 F92 G92:G112 H92 I92:I112 J92 K92:K112 L92 B94:B112 D94:D112 F94:F112 H94:H112 J94:J112 L94:L112 B114 C114:C156 D114 E114:E156 F114 G114:G156 H114 I114:I156 J114 K114:K156 L114 B116:B156 D116:D156 F116:F156 H116:H156 J116:J156 L116:L156">
    <cfRule type="beginsWith" dxfId="18" priority="3" operator="beginsWith" text="CR">
      <formula>LEFT((B6),LEN("CR"))=("CR")</formula>
    </cfRule>
  </conditionalFormatting>
  <conditionalFormatting sqref="B6:L24 M6:O156 B26 C26:C46 D26 E26:E46 F26 G26:G46 H26 I26:I46 J26 K26:K46 L26 B28:B46 D28:D46 F28:F46 H28:H46 J28:J46 L28:L46 B48 C48:C68 D48 E48:E68 F48 G48:G68 H48 I48:I68 J48 K48:K68 L48 B50:B68 D50:D68 F50:F68 H50:H68 J50:J68 L50:L68 B70 C70:C90 D70 E70:E90 F70 G70:G90 H70 I70:I90 J70 K70:K90 L70 B72:B90 D72:D90 F72:F90 H72:H90 J72:J90 L72:L90 B92 C92:C112 D92 E92:E112 F92 G92:G112 H92 I92:I112 J92 K92:K112 L92 B94:B112 D94:D112 F94:F112 H94:H112 J94:J112 L94:L112 B114 C114:C156 D114 E114:E156 F114 G114:G156 H114 I114:I156 J114 K114:K156 L114 B116:B156 D116:D156 F116:F156 H116:H156 J116:J156 L116:L156">
    <cfRule type="beginsWith" dxfId="19" priority="4" operator="beginsWith" text="STL">
      <formula>LEFT((B6),LEN("STL"))=("STL")</formula>
    </cfRule>
  </conditionalFormatting>
  <conditionalFormatting sqref="B6:L24 M6:O156 B26 C26:C46 D26 E26:E46 F26 G26:G46 H26 I26:I46 J26 K26:K46 L26 B28:B46 D28:D46 F28:F46 H28:H46 J28:J46 L28:L46 B48 C48:C68 D48 E48:E68 F48 G48:G68 H48 I48:I68 J48 K48:K68 L48 B50:B68 D50:D68 F50:F68 H50:H68 J50:J68 L50:L68 B70 C70:C90 D70 E70:E90 F70 G70:G90 H70 I70:I90 J70 K70:K90 L70 B72:B90 D72:D90 F72:F90 H72:H90 J72:J90 L72:L90 B92 C92:C112 D92 E92:E112 F92 G92:G112 H92 I92:I112 J92 K92:K112 L92 B94:B112 D94:D112 F94:F112 H94:H112 J94:J112 L94:L112 B114 C114:C156 D114 E114:E156 F114 G114:G156 H114 I114:I156 J114 K114:K156 L114 B116:B156 D116:D156 F116:F156 H116:H156 J116:J156 L116:L156">
    <cfRule type="beginsWith" dxfId="19" priority="5" operator="beginsWith" text="DOZ">
      <formula>LEFT((B6),LEN("DOZ"))=("DOZ")</formula>
    </cfRule>
  </conditionalFormatting>
  <conditionalFormatting sqref="B6:L24 M6:O156 B26 C26:C46 D26 E26:E46 F26 G26:G46 H26 I26:I46 J26 K26:K46 L26 B28:B46 D28:D46 F28:F46 H28:H46 J28:J46 L28:L46 B48 C48:C68 D48 E48:E68 F48 G48:G68 H48 I48:I68 J48 K48:K68 L48 B50:B68 D50:D68 F50:F68 H50:H68 J50:J68 L50:L68 B70 C70:C90 D70 E70:E90 F70 G70:G90 H70 I70:I90 J70 K70:K90 L70 B72:B90 D72:D90 F72:F90 H72:H90 J72:J90 L72:L90 B92 C92:C112 D92 E92:E112 F92 G92:G112 H92 I92:I112 J92 K92:K112 L92 B94:B112 D94:D112 F94:F112 H94:H112 J94:J112 L94:L112 B114 C114:C156 D114 E114:E156 F114 G114:G156 H114 I114:I156 J114 K114:K156 L114 B116:B156 D116:D156 F116:F156 H116:H156 J116:J156 L116:L156">
    <cfRule type="beginsWith" dxfId="20" priority="6" operator="beginsWith" text="W/T">
      <formula>LEFT((B6),LEN("W/T"))=("W/T")</formula>
    </cfRule>
  </conditionalFormatting>
  <conditionalFormatting sqref="B6:L24 M6:O156 B26 C26:C46 D26 E26:E46 F26 G26:G46 H26 I26:I46 J26 K26:K46 L26 B28:B46 D28:D46 F28:F46 H28:H46 J28:J46 L28:L46 B48 C48:C68 D48 E48:E68 F48 G48:G68 H48 I48:I68 J48 K48:K68 L48 B50:B68 D50:D68 F50:F68 H50:H68 J50:J68 L50:L68 B70 C70:C90 D70 E70:E90 F70 G70:G90 H70 I70:I90 J70 K70:K90 L70 B72:B90 D72:D90 F72:F90 H72:H90 J72:J90 L72:L90 B92 C92:C112 D92 E92:E112 F92 G92:G112 H92 I92:I112 J92 K92:K112 L92 B94:B112 D94:D112 F94:F112 H94:H112 J94:J112 L94:L112 B114 C114:C156 D114 E114:E156 F114 G114:G156 H114 I114:I156 J114 K114:K156 L114 B116:B156 D116:D156 F116:F156 H116:H156 J116:J156 L116:L156">
    <cfRule type="beginsWith" dxfId="17" priority="7" operator="beginsWith" text="ENG">
      <formula>LEFT((B6),LEN("ENG"))=("ENG")</formula>
    </cfRule>
  </conditionalFormatting>
  <conditionalFormatting sqref="B6:L24 M6:O156 B26 C26:C46 D26 E26:E46 F26 G26:G46 H26 I26:I46 J26 K26:K46 L26 B28:B46 D28:D46 F28:F46 H28:H46 J28:J46 L28:L46 B48 C48:C68 D48 E48:E68 F48 G48:G68 H48 I48:I68 J48 K48:K68 L48 B50:B68 D50:D68 F50:F68 H50:H68 J50:J68 L50:L68 B70 C70:C90 D70 E70:E90 F70 G70:G90 H70 I70:I90 J70 K70:K90 L70 B72:B90 D72:D90 F72:F90 H72:H90 J72:J90 L72:L90 B92 C92:C112 D92 E92:E112 F92 G92:G112 H92 I92:I112 J92 K92:K112 L92 B94:B112 D94:D112 F94:F112 H94:H112 J94:J112 L94:L112 B114 C114:C156 D114 E114:E156 F114 G114:G156 H114 I114:I156 J114 K114:K156 L114 B116:B156 D116:D156 F116:F156 H116:H156 J116:J156 L116:L156">
    <cfRule type="beginsWith" dxfId="21" priority="8" operator="beginsWith" text="WATER">
      <formula>LEFT((B6),LEN("WATER"))=("WATER")</formula>
    </cfRule>
  </conditionalFormatting>
  <conditionalFormatting sqref="B6:L24 M6:O156 B26 C26:C46 D26 E26:E46 F26 G26:G46 H26 I26:I46 J26 K26:K46 L26 B28:B46 D28:D46 F28:F46 H28:H46 J28:J46 L28:L46 B48 C48:C68 D48 E48:E68 F48 G48:G68 H48 I48:I68 J48 K48:K68 L48 B50:B68 D50:D68 F50:F68 H50:H68 J50:J68 L50:L68 B70 C70:C90 D70 E70:E90 F70 G70:G90 H70 I70:I90 J70 K70:K90 L70 B72:B90 D72:D90 F72:F90 H72:H90 J72:J90 L72:L90 B92 C92:C112 D92 E92:E112 F92 G92:G112 H92 I92:I112 J92 K92:K112 L92 B94:B112 D94:D112 F94:F112 H94:H112 J94:J112 L94:L112 B114 C114:C156 D114 E114:E156 F114 G114:G156 H114 I114:I156 J114 K114:K156 L114 B116:B156 D116:D156 F116:F156 H116:H156 J116:J156 L116:L156">
    <cfRule type="beginsWith" dxfId="17" priority="9" operator="beginsWith" text="STA">
      <formula>LEFT((B6),LEN("STA"))=("STA")</formula>
    </cfRule>
  </conditionalFormatting>
  <conditionalFormatting sqref="B6:L24 M6:O156 B26 C26:C46 D26 E26:E46 F26 G26:G46 H26 I26:I46 J26 K26:K46 L26 B28:B46 D28:D46 F28:F46 H28:H46 J28:J46 L28:L46 B48 C48:C68 D48 E48:E68 F48 G48:G68 H48 I48:I68 J48 K48:K68 L48 B50:B68 D50:D68 F50:F68 H50:H68 J50:J68 L50:L68 B70 C70:C90 D70 E70:E90 F70 G70:G90 H70 I70:I90 J70 K70:K90 L70 B72:B90 D72:D90 F72:F90 H72:H90 J72:J90 L72:L90 B92 C92:C112 D92 E92:E112 F92 G92:G112 H92 I92:I112 J92 K92:K112 L92 B94:B112 D94:D112 F94:F112 H94:H112 J94:J112 L94:L112 B114 C114:C156 D114 E114:E156 F114 G114:G156 H114 I114:I156 J114 K114:K156 L114 B116:B156 D116:D156 F116:F156 H116:H156 J116:J156 L116:L156">
    <cfRule type="beginsWith" dxfId="17" priority="10" operator="beginsWith" text="STF">
      <formula>LEFT((B6),LEN("STF"))=("STF")</formula>
    </cfRule>
  </conditionalFormatting>
  <conditionalFormatting sqref="B6:L24 M6:O156 B26 C26:C46 D26 E26:E46 F26 G26:G46 H26 I26:I46 J26 K26:K46 L26 B28:B46 D28:D46 F28:F46 H28:H46 J28:J46 L28:L46 B48 C48:C68 D48 E48:E68 F48 G48:G68 H48 I48:I68 J48 K48:K68 L48 B50:B68 D50:D68 F50:F68 H50:H68 J50:J68 L50:L68 B70 C70:C90 D70 E70:E90 F70 G70:G90 H70 I70:I90 J70 K70:K90 L70 B72:B90 D72:D90 F72:F90 H72:H90 J72:J90 L72:L90 B92 C92:C112 D92 E92:E112 F92 G92:G112 H92 I92:I112 J92 K92:K112 L92 B94:B112 D94:D112 F94:F112 H94:H112 J94:J112 L94:L112 B114 C114:C156 D114 E114:E156 F114 G114:G156 H114 I114:I156 J114 K114:K156 L114 B116:B156 D116:D156 F116:F156 H116:H156 J116:J156 L116:L156">
    <cfRule type="beginsWith" dxfId="19" priority="11" operator="beginsWith" text="STL">
      <formula>LEFT((B6),LEN("STL"))=("STL")</formula>
    </cfRule>
  </conditionalFormatting>
  <conditionalFormatting sqref="B6:L24 M6:O156 B26 C26:C46 D26 E26:E46 F26 G26:G46 H26 I26:I46 J26 K26:K46 L26 B28:B46 D28:D46 F28:F46 H28:H46 J28:J46 L28:L46 B48 C48:C68 D48 E48:E68 F48 G48:G68 H48 I48:I68 J48 K48:K68 L48 B50:B68 D50:D68 F50:F68 H50:H68 J50:J68 L50:L68 B70 C70:C90 D70 E70:E90 F70 G70:G90 H70 I70:I90 J70 K70:K90 L70 B72:B90 D72:D90 F72:F90 H72:H90 J72:J90 L72:L90 B92 C92:C112 D92 E92:E112 F92 G92:G112 H92 I92:I112 J92 K92:K112 L92 B94:B112 D94:D112 F94:F112 H94:H112 J94:J112 L94:L112 B114 C114:C156 D114 E114:E156 F114 G114:G156 H114 I114:I156 J114 K114:K156 L114 B116:B156 D116:D156 F116:F156 H116:H156 J116:J156 L116:L156">
    <cfRule type="beginsWith" dxfId="18" priority="12" operator="beginsWith" text="HC">
      <formula>LEFT((B6),LEN("HC"))=("HC")</formula>
    </cfRule>
  </conditionalFormatting>
  <dataValidations>
    <dataValidation type="list" allowBlank="1" sqref="N7">
      <formula1>ResTypes</formula1>
    </dataValidation>
  </dataValidations>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63"/>
    <col customWidth="1" min="3" max="3" width="16.63"/>
    <col customWidth="1" min="4" max="4" width="12.5"/>
    <col customWidth="1" min="5" max="5" width="10.25"/>
    <col customWidth="1" min="6" max="6" width="7.25"/>
    <col customWidth="1" min="7" max="7" width="10.38"/>
    <col customWidth="1" min="8" max="8" width="3.25"/>
    <col customWidth="1" min="9" max="9" width="6.75"/>
  </cols>
  <sheetData>
    <row r="1">
      <c r="D1" s="1786"/>
      <c r="E1" s="1786"/>
      <c r="F1" s="1786"/>
      <c r="G1" s="1786"/>
    </row>
    <row r="2">
      <c r="B2" s="1048"/>
      <c r="C2" s="1808" t="s">
        <v>3197</v>
      </c>
      <c r="D2" s="165"/>
      <c r="E2" s="165"/>
      <c r="F2" s="165"/>
      <c r="G2" s="165"/>
      <c r="H2" s="210"/>
    </row>
    <row r="3">
      <c r="B3" s="166"/>
      <c r="C3" s="118"/>
      <c r="D3" s="1786" t="str">
        <f>'202'!I2</f>
        <v/>
      </c>
      <c r="E3" s="1786" t="str">
        <f>'202'!A3</f>
        <v>NO NAME</v>
      </c>
      <c r="F3" s="1786"/>
      <c r="G3" s="1786"/>
      <c r="H3" s="94"/>
    </row>
    <row r="4">
      <c r="B4" s="166"/>
      <c r="D4" s="1786"/>
      <c r="E4" s="1786"/>
      <c r="F4" s="1786"/>
      <c r="G4" s="1786"/>
      <c r="H4" s="94"/>
    </row>
    <row r="5">
      <c r="B5" s="166"/>
      <c r="C5" s="67"/>
      <c r="D5" s="409" t="s">
        <v>3198</v>
      </c>
      <c r="E5" s="45"/>
      <c r="F5" s="409" t="s">
        <v>3199</v>
      </c>
      <c r="G5" s="45"/>
      <c r="H5" s="94"/>
    </row>
    <row r="6">
      <c r="A6" s="41"/>
      <c r="B6" s="311"/>
      <c r="C6" s="185" t="s">
        <v>2234</v>
      </c>
      <c r="D6" s="450"/>
      <c r="E6" s="45"/>
      <c r="F6" s="450"/>
      <c r="G6" s="45"/>
      <c r="H6" s="94"/>
    </row>
    <row r="7">
      <c r="A7" s="41"/>
      <c r="B7" s="311"/>
      <c r="C7" s="185" t="s">
        <v>3200</v>
      </c>
      <c r="D7" s="450"/>
      <c r="E7" s="45"/>
      <c r="F7" s="450"/>
      <c r="G7" s="45"/>
      <c r="H7" s="94"/>
    </row>
    <row r="8">
      <c r="A8" s="41"/>
      <c r="B8" s="311"/>
      <c r="C8" s="185" t="s">
        <v>2235</v>
      </c>
      <c r="D8" s="450"/>
      <c r="E8" s="45"/>
      <c r="F8" s="450"/>
      <c r="G8" s="45"/>
      <c r="H8" s="94"/>
    </row>
    <row r="9">
      <c r="A9" s="41"/>
      <c r="B9" s="311"/>
      <c r="C9" s="185" t="s">
        <v>3201</v>
      </c>
      <c r="D9" s="450"/>
      <c r="E9" s="45"/>
      <c r="F9" s="450"/>
      <c r="G9" s="45"/>
      <c r="H9" s="94"/>
    </row>
    <row r="10">
      <c r="A10" s="41"/>
      <c r="B10" s="311"/>
      <c r="C10" s="185" t="s">
        <v>2237</v>
      </c>
      <c r="D10" s="1809"/>
      <c r="E10" s="45"/>
      <c r="F10" s="1809"/>
      <c r="G10" s="45"/>
      <c r="H10" s="94"/>
    </row>
    <row r="11">
      <c r="A11" s="41"/>
      <c r="B11" s="311"/>
      <c r="C11" s="185" t="s">
        <v>3202</v>
      </c>
      <c r="D11" s="450">
        <f>sum($D6:$E10)</f>
        <v>0</v>
      </c>
      <c r="E11" s="45"/>
      <c r="F11" s="450">
        <f>sum($F6:$G10)</f>
        <v>0</v>
      </c>
      <c r="G11" s="45"/>
      <c r="H11" s="94"/>
    </row>
    <row r="12">
      <c r="B12" s="104"/>
      <c r="C12" s="77"/>
      <c r="D12" s="77"/>
      <c r="E12" s="77"/>
      <c r="F12" s="77"/>
      <c r="G12" s="77"/>
      <c r="H12" s="55"/>
    </row>
  </sheetData>
  <mergeCells count="15">
    <mergeCell ref="D8:E8"/>
    <mergeCell ref="F8:G8"/>
    <mergeCell ref="D9:E9"/>
    <mergeCell ref="F9:G9"/>
    <mergeCell ref="D10:E10"/>
    <mergeCell ref="F10:G10"/>
    <mergeCell ref="D11:E11"/>
    <mergeCell ref="F11:G11"/>
    <mergeCell ref="C2:G2"/>
    <mergeCell ref="D5:E5"/>
    <mergeCell ref="F5:G5"/>
    <mergeCell ref="D6:E6"/>
    <mergeCell ref="F6:G6"/>
    <mergeCell ref="D7:E7"/>
    <mergeCell ref="F7:G7"/>
  </mergeCells>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5"/>
    <col customWidth="1" min="2" max="2" width="5.88"/>
    <col customWidth="1" min="3" max="3" width="6.88"/>
    <col customWidth="1" min="4" max="4" width="10.63"/>
    <col customWidth="1" min="6" max="6" width="13.13"/>
    <col customWidth="1" min="7" max="7" width="14.25"/>
    <col customWidth="1" min="8" max="8" width="12.38"/>
    <col customWidth="1" min="9" max="9" width="18.5"/>
  </cols>
  <sheetData>
    <row r="1">
      <c r="A1" s="1786"/>
      <c r="B1" s="1786" t="s">
        <v>3203</v>
      </c>
    </row>
    <row r="2">
      <c r="B2" s="213" t="s">
        <v>3204</v>
      </c>
      <c r="C2" s="74"/>
      <c r="D2" s="45"/>
      <c r="E2" s="1810" t="str">
        <f>IncName</f>
        <v>NO NAME</v>
      </c>
      <c r="F2" s="74"/>
      <c r="G2" s="1811" t="s">
        <v>3205</v>
      </c>
      <c r="H2" s="74"/>
      <c r="I2" s="1812" t="str">
        <f>IncNumber</f>
        <v/>
      </c>
    </row>
    <row r="3">
      <c r="B3" s="164" t="s">
        <v>3206</v>
      </c>
      <c r="C3" s="165"/>
      <c r="D3" s="210"/>
      <c r="E3" s="164" t="s">
        <v>3207</v>
      </c>
      <c r="F3" s="210"/>
      <c r="G3" s="1813" t="s">
        <v>3208</v>
      </c>
      <c r="H3" s="1814" t="s">
        <v>3209</v>
      </c>
      <c r="I3" s="94"/>
    </row>
    <row r="4">
      <c r="B4" s="311" t="b">
        <v>0</v>
      </c>
      <c r="C4" s="41" t="s">
        <v>3210</v>
      </c>
      <c r="D4" s="1815" t="s">
        <v>3211</v>
      </c>
      <c r="E4" s="1816"/>
      <c r="G4" s="807"/>
      <c r="H4" s="311" t="s">
        <v>473</v>
      </c>
      <c r="I4" s="1817">
        <f>IncStartDate</f>
        <v>43892</v>
      </c>
    </row>
    <row r="5">
      <c r="B5" s="311" t="b">
        <v>0</v>
      </c>
      <c r="C5" s="41" t="s">
        <v>3212</v>
      </c>
      <c r="D5" s="1818"/>
      <c r="G5" s="1819"/>
      <c r="H5" s="311" t="s">
        <v>476</v>
      </c>
      <c r="I5" s="1820">
        <f>'101 General Info'!D3</f>
        <v>900</v>
      </c>
    </row>
    <row r="6">
      <c r="B6" s="314" t="b">
        <v>0</v>
      </c>
      <c r="C6" s="316" t="s">
        <v>3213</v>
      </c>
      <c r="D6" s="55"/>
      <c r="E6" s="77"/>
      <c r="F6" s="77"/>
      <c r="G6" s="813"/>
      <c r="H6" s="314" t="s">
        <v>3214</v>
      </c>
      <c r="I6" s="1821" t="str">
        <f>Time!B13</f>
        <v>Pacific Daylight Time</v>
      </c>
    </row>
    <row r="7">
      <c r="B7" s="164" t="s">
        <v>3215</v>
      </c>
      <c r="C7" s="165"/>
      <c r="D7" s="165"/>
      <c r="E7" s="1813" t="s">
        <v>3216</v>
      </c>
      <c r="F7" s="1822" t="s">
        <v>3217</v>
      </c>
      <c r="G7" s="1813" t="s">
        <v>3218</v>
      </c>
      <c r="H7" s="1822" t="s">
        <v>3219</v>
      </c>
      <c r="I7" s="210"/>
    </row>
    <row r="8">
      <c r="B8" s="1823"/>
      <c r="E8" s="1819"/>
      <c r="F8" s="1816"/>
      <c r="G8" s="1819"/>
      <c r="H8" s="41" t="s">
        <v>389</v>
      </c>
      <c r="I8" s="1818"/>
    </row>
    <row r="9">
      <c r="B9" s="104"/>
      <c r="C9" s="77"/>
      <c r="D9" s="77"/>
      <c r="E9" s="1824"/>
      <c r="F9" s="77"/>
      <c r="G9" s="813"/>
      <c r="H9" s="316" t="s">
        <v>3220</v>
      </c>
      <c r="I9" s="1825"/>
    </row>
    <row r="10">
      <c r="B10" s="41" t="s">
        <v>3221</v>
      </c>
    </row>
    <row r="11">
      <c r="B11" s="1826" t="s">
        <v>3222</v>
      </c>
      <c r="C11" s="165"/>
      <c r="D11" s="165"/>
      <c r="E11" s="165"/>
      <c r="F11" s="165"/>
      <c r="G11" s="1826" t="s">
        <v>3223</v>
      </c>
      <c r="H11" s="165"/>
      <c r="I11" s="210"/>
    </row>
    <row r="12">
      <c r="B12" s="311" t="s">
        <v>2496</v>
      </c>
      <c r="C12" s="1816"/>
      <c r="E12" s="1827" t="s">
        <v>3224</v>
      </c>
      <c r="F12" s="1816"/>
      <c r="G12" s="166"/>
      <c r="H12" s="1816"/>
      <c r="I12" s="1818"/>
    </row>
    <row r="13">
      <c r="B13" s="314" t="s">
        <v>3225</v>
      </c>
      <c r="C13" s="77"/>
      <c r="D13" s="77"/>
      <c r="E13" s="1828"/>
      <c r="F13" s="1828"/>
      <c r="G13" s="754" t="s">
        <v>3214</v>
      </c>
      <c r="H13" s="1828"/>
      <c r="I13" s="55"/>
    </row>
    <row r="14">
      <c r="B14" s="41" t="s">
        <v>3226</v>
      </c>
    </row>
    <row r="15">
      <c r="B15" s="1826" t="s">
        <v>3227</v>
      </c>
      <c r="C15" s="165"/>
      <c r="D15" s="210"/>
      <c r="E15" s="1826" t="s">
        <v>3228</v>
      </c>
      <c r="F15" s="210"/>
      <c r="G15" s="1826" t="s">
        <v>3229</v>
      </c>
      <c r="H15" s="165"/>
      <c r="I15" s="210"/>
    </row>
    <row r="16">
      <c r="B16" s="1829"/>
      <c r="C16" s="77"/>
      <c r="D16" s="55"/>
      <c r="E16" s="1829"/>
      <c r="F16" s="55"/>
      <c r="G16" s="1829"/>
      <c r="H16" s="77"/>
      <c r="I16" s="55"/>
    </row>
    <row r="17">
      <c r="B17" s="1830" t="s">
        <v>3230</v>
      </c>
      <c r="C17" s="1831"/>
      <c r="D17" s="1831"/>
      <c r="E17" s="1830" t="s">
        <v>3231</v>
      </c>
      <c r="F17" s="1831"/>
      <c r="G17" s="1151" t="s">
        <v>3232</v>
      </c>
      <c r="H17" s="165"/>
      <c r="I17" s="210"/>
    </row>
    <row r="18">
      <c r="B18" s="1829"/>
      <c r="C18" s="77"/>
      <c r="D18" s="55"/>
      <c r="E18" s="1829"/>
      <c r="F18" s="55"/>
      <c r="G18" s="1829"/>
      <c r="H18" s="77"/>
      <c r="I18" s="55"/>
    </row>
    <row r="19">
      <c r="B19" s="1826" t="s">
        <v>3233</v>
      </c>
      <c r="C19" s="165"/>
      <c r="D19" s="210"/>
      <c r="E19" s="1832" t="s">
        <v>3234</v>
      </c>
      <c r="F19" s="1833"/>
      <c r="G19" s="1151" t="s">
        <v>3235</v>
      </c>
      <c r="H19" s="165"/>
      <c r="I19" s="210"/>
    </row>
    <row r="20">
      <c r="B20" s="1834">
        <f>Longitude</f>
        <v>-122.645261</v>
      </c>
      <c r="D20" s="94"/>
      <c r="E20" s="1835"/>
      <c r="F20" s="94"/>
      <c r="G20" s="1835"/>
      <c r="I20" s="94"/>
    </row>
    <row r="21">
      <c r="B21" s="1836" t="s">
        <v>3236</v>
      </c>
      <c r="C21" s="807"/>
      <c r="D21" s="807"/>
      <c r="E21" s="166"/>
      <c r="F21" s="94"/>
      <c r="G21" s="166"/>
      <c r="I21" s="94"/>
    </row>
    <row r="22">
      <c r="B22" s="1834">
        <f>Latitude</f>
        <v>38.0127006</v>
      </c>
      <c r="D22" s="94"/>
      <c r="E22" s="104"/>
      <c r="F22" s="55"/>
      <c r="G22" s="104"/>
      <c r="H22" s="77"/>
      <c r="I22" s="55"/>
    </row>
    <row r="23">
      <c r="B23" s="1826" t="s">
        <v>3237</v>
      </c>
      <c r="C23" s="165"/>
      <c r="D23" s="165"/>
      <c r="E23" s="165"/>
      <c r="F23" s="165"/>
      <c r="G23" s="210"/>
      <c r="H23" s="1826" t="s">
        <v>3238</v>
      </c>
      <c r="I23" s="210"/>
    </row>
    <row r="24">
      <c r="B24" s="1835" t="str">
        <f>Location</f>
        <v>Woodacre, CA</v>
      </c>
      <c r="G24" s="94"/>
      <c r="H24" s="1835"/>
      <c r="I24" s="94"/>
    </row>
    <row r="25">
      <c r="B25" s="1114" t="s">
        <v>3239</v>
      </c>
      <c r="I25" s="94"/>
    </row>
    <row r="26">
      <c r="B26" s="1829"/>
      <c r="C26" s="77"/>
      <c r="D26" s="77"/>
      <c r="E26" s="77"/>
      <c r="F26" s="77"/>
      <c r="G26" s="77"/>
      <c r="H26" s="77"/>
      <c r="I26" s="55"/>
    </row>
    <row r="27">
      <c r="B27" s="41" t="s">
        <v>3240</v>
      </c>
    </row>
    <row r="28">
      <c r="B28" s="1151" t="s">
        <v>3241</v>
      </c>
      <c r="C28" s="165"/>
      <c r="D28" s="165"/>
      <c r="E28" s="165"/>
      <c r="F28" s="165"/>
      <c r="G28" s="165"/>
      <c r="H28" s="165"/>
      <c r="I28" s="210"/>
    </row>
    <row r="29">
      <c r="B29" s="1835"/>
      <c r="I29" s="94"/>
    </row>
    <row r="30">
      <c r="B30" s="1829"/>
      <c r="C30" s="77"/>
      <c r="D30" s="77"/>
      <c r="E30" s="77"/>
      <c r="F30" s="77"/>
      <c r="G30" s="77"/>
      <c r="H30" s="77"/>
      <c r="I30" s="55"/>
    </row>
    <row r="31">
      <c r="B31" s="1826" t="s">
        <v>3242</v>
      </c>
      <c r="C31" s="165"/>
      <c r="D31" s="165"/>
      <c r="E31" s="165"/>
      <c r="F31" s="165"/>
      <c r="G31" s="165"/>
      <c r="H31" s="165"/>
      <c r="I31" s="210"/>
    </row>
    <row r="32">
      <c r="B32" s="1835"/>
      <c r="I32" s="94"/>
    </row>
    <row r="33">
      <c r="B33" s="1829"/>
      <c r="C33" s="77"/>
      <c r="D33" s="77"/>
      <c r="E33" s="77"/>
      <c r="F33" s="77"/>
      <c r="G33" s="77"/>
      <c r="H33" s="77"/>
      <c r="I33" s="55"/>
    </row>
    <row r="34">
      <c r="B34" s="164" t="s">
        <v>3243</v>
      </c>
      <c r="C34" s="165"/>
      <c r="D34" s="165"/>
      <c r="E34" s="210"/>
      <c r="F34" s="1456" t="s">
        <v>3244</v>
      </c>
      <c r="G34" s="1456" t="s">
        <v>3245</v>
      </c>
      <c r="H34" s="1456" t="s">
        <v>3246</v>
      </c>
      <c r="I34" s="1456" t="s">
        <v>3247</v>
      </c>
    </row>
    <row r="35">
      <c r="B35" s="166"/>
      <c r="E35" s="94"/>
      <c r="F35" s="1456" t="s">
        <v>3248</v>
      </c>
      <c r="G35" s="1837"/>
      <c r="H35" s="1837"/>
      <c r="I35" s="1837"/>
    </row>
    <row r="36">
      <c r="B36" s="166"/>
      <c r="E36" s="94"/>
      <c r="F36" s="1456" t="s">
        <v>3249</v>
      </c>
      <c r="G36" s="1837"/>
      <c r="H36" s="1837"/>
      <c r="I36" s="1837"/>
    </row>
    <row r="37">
      <c r="B37" s="166"/>
      <c r="E37" s="94"/>
      <c r="F37" s="1456" t="s">
        <v>3250</v>
      </c>
      <c r="G37" s="1837"/>
      <c r="H37" s="1837"/>
      <c r="I37" s="1837"/>
    </row>
    <row r="38">
      <c r="B38" s="104"/>
      <c r="C38" s="77"/>
      <c r="D38" s="77"/>
      <c r="E38" s="55"/>
      <c r="F38" s="1456" t="s">
        <v>2671</v>
      </c>
      <c r="G38" s="1837"/>
      <c r="H38" s="1837"/>
      <c r="I38" s="1837"/>
    </row>
    <row r="39">
      <c r="B39" s="41" t="s">
        <v>3251</v>
      </c>
    </row>
  </sheetData>
  <mergeCells count="53">
    <mergeCell ref="E3:F3"/>
    <mergeCell ref="E4:F6"/>
    <mergeCell ref="B3:D3"/>
    <mergeCell ref="B7:D7"/>
    <mergeCell ref="B2:D2"/>
    <mergeCell ref="B8:D9"/>
    <mergeCell ref="F8:F9"/>
    <mergeCell ref="G8:G9"/>
    <mergeCell ref="B10:I10"/>
    <mergeCell ref="B11:F11"/>
    <mergeCell ref="G11:I11"/>
    <mergeCell ref="B15:D15"/>
    <mergeCell ref="E15:F15"/>
    <mergeCell ref="G15:I15"/>
    <mergeCell ref="B16:D16"/>
    <mergeCell ref="C12:D12"/>
    <mergeCell ref="B14:I14"/>
    <mergeCell ref="H23:I23"/>
    <mergeCell ref="B24:G24"/>
    <mergeCell ref="H24:I24"/>
    <mergeCell ref="B25:I25"/>
    <mergeCell ref="B26:I26"/>
    <mergeCell ref="B27:I27"/>
    <mergeCell ref="B28:I28"/>
    <mergeCell ref="B29:I29"/>
    <mergeCell ref="B30:I30"/>
    <mergeCell ref="B31:I31"/>
    <mergeCell ref="B32:I32"/>
    <mergeCell ref="B33:I33"/>
    <mergeCell ref="B34:E38"/>
    <mergeCell ref="A1:A39"/>
    <mergeCell ref="B1:I1"/>
    <mergeCell ref="E2:F2"/>
    <mergeCell ref="G3:G4"/>
    <mergeCell ref="H3:I3"/>
    <mergeCell ref="G5:G6"/>
    <mergeCell ref="H7:I7"/>
    <mergeCell ref="E16:F16"/>
    <mergeCell ref="G16:I16"/>
    <mergeCell ref="G17:I17"/>
    <mergeCell ref="B18:D18"/>
    <mergeCell ref="E18:F18"/>
    <mergeCell ref="G18:I18"/>
    <mergeCell ref="B19:D19"/>
    <mergeCell ref="G19:I19"/>
    <mergeCell ref="B20:D20"/>
    <mergeCell ref="E20:F20"/>
    <mergeCell ref="G20:I21"/>
    <mergeCell ref="E21:F21"/>
    <mergeCell ref="B22:D22"/>
    <mergeCell ref="E22:F22"/>
    <mergeCell ref="G22:I22"/>
    <mergeCell ref="B23:G23"/>
  </mergeCells>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5"/>
    <col customWidth="1" min="2" max="2" width="13.88"/>
    <col customWidth="1" min="3" max="3" width="12.25"/>
    <col customWidth="1" min="4" max="4" width="9.25"/>
    <col customWidth="1" min="6" max="6" width="9.5"/>
    <col customWidth="1" min="7" max="7" width="31.5"/>
    <col customWidth="1" min="8" max="8" width="11.88"/>
    <col customWidth="1" min="9" max="9" width="15.88"/>
  </cols>
  <sheetData>
    <row r="1">
      <c r="A1" s="1786"/>
      <c r="B1" s="1786" t="s">
        <v>3203</v>
      </c>
    </row>
    <row r="2">
      <c r="B2" s="66" t="s">
        <v>3204</v>
      </c>
      <c r="C2" s="74"/>
      <c r="D2" s="45"/>
      <c r="E2" s="1810" t="str">
        <f>IncName</f>
        <v>NO NAME</v>
      </c>
      <c r="F2" s="74"/>
      <c r="G2" s="1838" t="s">
        <v>3205</v>
      </c>
      <c r="H2" s="1839" t="str">
        <f>IncNumber</f>
        <v/>
      </c>
      <c r="I2" s="45"/>
    </row>
    <row r="3">
      <c r="B3" s="1840" t="s">
        <v>3252</v>
      </c>
    </row>
    <row r="4">
      <c r="B4" s="1841" t="s">
        <v>3253</v>
      </c>
      <c r="C4" s="135"/>
      <c r="D4" s="136"/>
      <c r="E4" s="1842" t="s">
        <v>3254</v>
      </c>
      <c r="F4" s="1843" t="s">
        <v>3255</v>
      </c>
      <c r="G4" s="1844"/>
      <c r="H4" s="1842" t="s">
        <v>3254</v>
      </c>
      <c r="I4" s="1845" t="s">
        <v>3255</v>
      </c>
    </row>
    <row r="5">
      <c r="B5" s="119" t="s">
        <v>3256</v>
      </c>
      <c r="E5" s="41"/>
      <c r="F5" s="41"/>
      <c r="G5" s="1846" t="s">
        <v>3257</v>
      </c>
      <c r="H5" s="41"/>
      <c r="I5" s="108"/>
    </row>
    <row r="6">
      <c r="B6" s="1847" t="s">
        <v>3258</v>
      </c>
      <c r="C6" s="1848"/>
      <c r="D6" s="1848"/>
      <c r="E6" s="1849"/>
      <c r="F6" s="1849"/>
      <c r="G6" s="1850" t="s">
        <v>3259</v>
      </c>
      <c r="H6" s="1849"/>
      <c r="I6" s="1851"/>
    </row>
    <row r="7">
      <c r="B7" s="1852" t="s">
        <v>3260</v>
      </c>
      <c r="C7" s="1848"/>
      <c r="D7" s="1848"/>
      <c r="E7" s="1853"/>
      <c r="F7" s="1853"/>
      <c r="G7" s="1850" t="s">
        <v>3261</v>
      </c>
      <c r="H7" s="1853"/>
      <c r="I7" s="1854"/>
    </row>
    <row r="8">
      <c r="B8" s="1852" t="s">
        <v>3262</v>
      </c>
      <c r="C8" s="1848"/>
      <c r="D8" s="1848"/>
      <c r="E8" s="1853"/>
      <c r="F8" s="1853"/>
      <c r="G8" s="1850" t="s">
        <v>3263</v>
      </c>
      <c r="H8" s="1855"/>
      <c r="I8" s="1851"/>
    </row>
    <row r="9">
      <c r="B9" s="1852" t="s">
        <v>3264</v>
      </c>
      <c r="C9" s="1848"/>
      <c r="D9" s="1848"/>
      <c r="E9" s="1853"/>
      <c r="F9" s="1853"/>
      <c r="G9" s="1850" t="s">
        <v>3265</v>
      </c>
      <c r="H9" s="1849"/>
      <c r="I9" s="1851"/>
    </row>
    <row r="10">
      <c r="B10" s="1847" t="s">
        <v>3266</v>
      </c>
      <c r="C10" s="1848"/>
      <c r="D10" s="1848"/>
      <c r="E10" s="1849"/>
      <c r="F10" s="1849"/>
      <c r="G10" s="1850" t="s">
        <v>3267</v>
      </c>
      <c r="H10" s="1855"/>
      <c r="I10" s="1851"/>
    </row>
    <row r="11">
      <c r="B11" s="1847" t="s">
        <v>3268</v>
      </c>
      <c r="C11" s="1848"/>
      <c r="D11" s="1848"/>
      <c r="E11" s="1849"/>
      <c r="F11" s="1849"/>
      <c r="G11" s="1850" t="s">
        <v>3269</v>
      </c>
      <c r="H11" s="1849"/>
      <c r="I11" s="1856"/>
    </row>
    <row r="12">
      <c r="B12" s="1847" t="s">
        <v>3270</v>
      </c>
      <c r="C12" s="1848"/>
      <c r="D12" s="1848"/>
      <c r="E12" s="1849"/>
      <c r="F12" s="1849"/>
      <c r="G12" s="1850" t="s">
        <v>3271</v>
      </c>
      <c r="H12" s="1855"/>
      <c r="I12" s="1851"/>
    </row>
    <row r="13">
      <c r="B13" s="1847" t="s">
        <v>3272</v>
      </c>
      <c r="C13" s="1848"/>
      <c r="D13" s="1848"/>
      <c r="E13" s="1849"/>
      <c r="F13" s="1849"/>
      <c r="G13" s="1850" t="s">
        <v>3273</v>
      </c>
      <c r="H13" s="1855"/>
      <c r="I13" s="1851"/>
    </row>
    <row r="14">
      <c r="B14" s="1847" t="s">
        <v>3274</v>
      </c>
      <c r="C14" s="1848"/>
      <c r="D14" s="1848"/>
      <c r="E14" s="1849"/>
      <c r="F14" s="1849"/>
      <c r="G14" s="1857"/>
      <c r="H14" s="1855"/>
      <c r="I14" s="1851"/>
    </row>
    <row r="15">
      <c r="B15" s="1847" t="s">
        <v>3275</v>
      </c>
      <c r="C15" s="1848"/>
      <c r="D15" s="1848"/>
      <c r="E15" s="1849"/>
      <c r="F15" s="1849"/>
      <c r="G15" s="1847"/>
      <c r="H15" s="1849"/>
      <c r="I15" s="1856"/>
    </row>
    <row r="16">
      <c r="B16" s="1858" t="s">
        <v>3276</v>
      </c>
      <c r="C16" s="113"/>
      <c r="D16" s="113"/>
      <c r="E16" s="1859"/>
      <c r="F16" s="1859"/>
      <c r="G16" s="1860" t="s">
        <v>3277</v>
      </c>
      <c r="H16" s="1859"/>
      <c r="I16" s="1861"/>
    </row>
    <row r="17">
      <c r="B17" s="1862" t="s">
        <v>3278</v>
      </c>
      <c r="C17" s="84"/>
      <c r="D17" s="84"/>
      <c r="E17" s="84"/>
      <c r="F17" s="86"/>
      <c r="G17" s="1863" t="s">
        <v>3279</v>
      </c>
      <c r="H17" s="1864"/>
      <c r="I17" s="1865" t="s">
        <v>3280</v>
      </c>
    </row>
    <row r="18">
      <c r="B18" s="1866"/>
      <c r="F18" s="108"/>
      <c r="G18" s="1847" t="s">
        <v>3281</v>
      </c>
      <c r="H18" s="1848"/>
      <c r="I18" s="1851" t="b">
        <v>0</v>
      </c>
    </row>
    <row r="19">
      <c r="B19" s="107"/>
      <c r="F19" s="108"/>
      <c r="G19" s="1867" t="s">
        <v>3282</v>
      </c>
      <c r="H19" s="1868"/>
      <c r="I19" s="1851" t="b">
        <v>0</v>
      </c>
    </row>
    <row r="20">
      <c r="B20" s="107"/>
      <c r="F20" s="108"/>
      <c r="G20" s="1847" t="s">
        <v>3283</v>
      </c>
      <c r="H20" s="1848"/>
      <c r="I20" s="1851" t="b">
        <v>0</v>
      </c>
    </row>
    <row r="21">
      <c r="B21" s="107"/>
      <c r="F21" s="108"/>
      <c r="G21" s="1847" t="s">
        <v>3284</v>
      </c>
      <c r="H21" s="1848"/>
      <c r="I21" s="1851" t="b">
        <v>0</v>
      </c>
    </row>
    <row r="22">
      <c r="B22" s="107"/>
      <c r="F22" s="108"/>
      <c r="G22" s="1847" t="s">
        <v>3285</v>
      </c>
      <c r="H22" s="1848"/>
      <c r="I22" s="1851" t="b">
        <v>0</v>
      </c>
    </row>
    <row r="23">
      <c r="B23" s="107"/>
      <c r="F23" s="108"/>
      <c r="G23" s="1847" t="s">
        <v>3286</v>
      </c>
      <c r="H23" s="1869"/>
      <c r="I23" s="1851" t="b">
        <v>0</v>
      </c>
    </row>
    <row r="24">
      <c r="B24" s="107"/>
      <c r="F24" s="108"/>
      <c r="G24" s="1847" t="s">
        <v>3287</v>
      </c>
      <c r="H24" s="1848"/>
      <c r="I24" s="1851" t="b">
        <v>0</v>
      </c>
    </row>
    <row r="25">
      <c r="B25" s="79"/>
      <c r="C25" s="113"/>
      <c r="D25" s="113"/>
      <c r="E25" s="113"/>
      <c r="F25" s="115"/>
      <c r="G25" s="1867" t="s">
        <v>3288</v>
      </c>
      <c r="H25" s="1868"/>
      <c r="I25" s="1851" t="b">
        <v>0</v>
      </c>
    </row>
    <row r="26">
      <c r="B26" s="75" t="s">
        <v>3289</v>
      </c>
      <c r="C26" s="84"/>
      <c r="D26" s="84"/>
      <c r="E26" s="84"/>
      <c r="F26" s="86"/>
      <c r="G26" s="1847" t="s">
        <v>3290</v>
      </c>
      <c r="H26" s="1848"/>
      <c r="I26" s="1851" t="b">
        <v>0</v>
      </c>
    </row>
    <row r="27">
      <c r="B27" s="1870" t="s">
        <v>3291</v>
      </c>
      <c r="F27" s="108"/>
      <c r="G27" s="1847" t="s">
        <v>3292</v>
      </c>
      <c r="H27" s="1848"/>
      <c r="I27" s="1851" t="b">
        <v>0</v>
      </c>
    </row>
    <row r="28">
      <c r="B28" s="1871"/>
      <c r="F28" s="108"/>
      <c r="G28" s="1847" t="s">
        <v>3293</v>
      </c>
      <c r="H28" s="1868"/>
      <c r="I28" s="1851" t="b">
        <v>0</v>
      </c>
    </row>
    <row r="29">
      <c r="B29" s="107"/>
      <c r="F29" s="108"/>
      <c r="G29" s="1847" t="s">
        <v>3294</v>
      </c>
      <c r="H29" s="1848"/>
      <c r="I29" s="1851" t="b">
        <v>0</v>
      </c>
    </row>
    <row r="30">
      <c r="B30" s="107"/>
      <c r="F30" s="108"/>
      <c r="G30" s="1847" t="s">
        <v>3295</v>
      </c>
      <c r="H30" s="1848"/>
      <c r="I30" s="1851" t="b">
        <v>0</v>
      </c>
    </row>
    <row r="31">
      <c r="B31" s="107"/>
      <c r="F31" s="108"/>
      <c r="G31" s="1867" t="s">
        <v>3296</v>
      </c>
      <c r="H31" s="1869"/>
      <c r="I31" s="1851" t="b">
        <v>0</v>
      </c>
    </row>
    <row r="32">
      <c r="B32" s="107"/>
      <c r="F32" s="108"/>
      <c r="G32" s="1857"/>
      <c r="H32" s="1848"/>
      <c r="I32" s="1851" t="b">
        <v>0</v>
      </c>
    </row>
    <row r="33">
      <c r="B33" s="107"/>
      <c r="F33" s="108"/>
      <c r="G33" s="1857"/>
      <c r="H33" s="1848"/>
      <c r="I33" s="1851" t="b">
        <v>0</v>
      </c>
    </row>
    <row r="34">
      <c r="B34" s="107"/>
      <c r="F34" s="108"/>
      <c r="G34" s="1857"/>
      <c r="H34" s="1868"/>
      <c r="I34" s="1851" t="b">
        <v>0</v>
      </c>
    </row>
    <row r="35">
      <c r="B35" s="79"/>
      <c r="C35" s="113"/>
      <c r="D35" s="113"/>
      <c r="E35" s="113"/>
      <c r="F35" s="115"/>
      <c r="G35" s="1872"/>
      <c r="H35" s="1873"/>
      <c r="I35" s="1874" t="b">
        <v>0</v>
      </c>
    </row>
    <row r="36">
      <c r="B36" s="1875" t="s">
        <v>3297</v>
      </c>
      <c r="C36" s="84"/>
      <c r="D36" s="84"/>
      <c r="E36" s="84"/>
      <c r="F36" s="84"/>
      <c r="G36" s="84"/>
      <c r="H36" s="84"/>
      <c r="I36" s="86"/>
    </row>
    <row r="37">
      <c r="B37" s="107"/>
      <c r="I37" s="108"/>
    </row>
    <row r="38">
      <c r="B38" s="1876" t="s">
        <v>3298</v>
      </c>
      <c r="C38" s="1877"/>
      <c r="I38" s="108"/>
    </row>
    <row r="39">
      <c r="B39" s="107"/>
      <c r="I39" s="108"/>
    </row>
    <row r="40">
      <c r="B40" s="1876" t="s">
        <v>3299</v>
      </c>
      <c r="C40" s="1877"/>
      <c r="I40" s="108"/>
    </row>
    <row r="41">
      <c r="B41" s="107"/>
      <c r="I41" s="108"/>
    </row>
    <row r="42">
      <c r="B42" s="1876" t="s">
        <v>3300</v>
      </c>
      <c r="C42" s="1877"/>
      <c r="I42" s="108"/>
    </row>
    <row r="43">
      <c r="B43" s="107"/>
      <c r="I43" s="108"/>
    </row>
    <row r="44">
      <c r="B44" s="1876" t="s">
        <v>3301</v>
      </c>
      <c r="C44" s="1877"/>
      <c r="I44" s="108"/>
    </row>
    <row r="45">
      <c r="B45" s="107"/>
      <c r="I45" s="108"/>
    </row>
    <row r="46">
      <c r="B46" s="1876" t="s">
        <v>3302</v>
      </c>
      <c r="C46" s="1877"/>
      <c r="I46" s="108"/>
    </row>
    <row r="47">
      <c r="B47" s="79"/>
      <c r="C47" s="113"/>
      <c r="D47" s="113"/>
      <c r="E47" s="113"/>
      <c r="F47" s="113"/>
      <c r="G47" s="113"/>
      <c r="H47" s="113"/>
      <c r="I47" s="115"/>
    </row>
    <row r="48">
      <c r="B48" s="75" t="s">
        <v>3303</v>
      </c>
      <c r="C48" s="84"/>
      <c r="D48" s="84"/>
      <c r="E48" s="84"/>
      <c r="F48" s="84"/>
      <c r="G48" s="84"/>
      <c r="H48" s="84"/>
      <c r="I48" s="86"/>
    </row>
    <row r="49">
      <c r="B49" s="1871"/>
      <c r="I49" s="108"/>
    </row>
    <row r="50">
      <c r="B50" s="107"/>
      <c r="I50" s="108"/>
    </row>
    <row r="51">
      <c r="B51" s="107"/>
      <c r="I51" s="108"/>
    </row>
    <row r="52">
      <c r="B52" s="79"/>
      <c r="C52" s="113"/>
      <c r="D52" s="113"/>
      <c r="E52" s="113"/>
      <c r="F52" s="113"/>
      <c r="G52" s="113"/>
      <c r="H52" s="113"/>
      <c r="I52" s="115"/>
    </row>
    <row r="53">
      <c r="B53" s="41" t="s">
        <v>3304</v>
      </c>
    </row>
  </sheetData>
  <mergeCells count="37">
    <mergeCell ref="B5:D5"/>
    <mergeCell ref="B6:D6"/>
    <mergeCell ref="B7:D7"/>
    <mergeCell ref="B8:D8"/>
    <mergeCell ref="B9:D9"/>
    <mergeCell ref="B10:D10"/>
    <mergeCell ref="B11:D11"/>
    <mergeCell ref="B12:D12"/>
    <mergeCell ref="B13:D13"/>
    <mergeCell ref="B14:D14"/>
    <mergeCell ref="B15:D15"/>
    <mergeCell ref="B16:D16"/>
    <mergeCell ref="B26:F26"/>
    <mergeCell ref="B27:F27"/>
    <mergeCell ref="B28:F35"/>
    <mergeCell ref="B36:I37"/>
    <mergeCell ref="A1:A53"/>
    <mergeCell ref="B1:I1"/>
    <mergeCell ref="B2:D2"/>
    <mergeCell ref="E2:F2"/>
    <mergeCell ref="H2:I2"/>
    <mergeCell ref="B3:I3"/>
    <mergeCell ref="B4:D4"/>
    <mergeCell ref="B17:F17"/>
    <mergeCell ref="B18:F25"/>
    <mergeCell ref="B38:B39"/>
    <mergeCell ref="C38:I39"/>
    <mergeCell ref="B40:B41"/>
    <mergeCell ref="C40:I41"/>
    <mergeCell ref="B42:B43"/>
    <mergeCell ref="C42:I43"/>
    <mergeCell ref="B44:B45"/>
    <mergeCell ref="C44:I45"/>
    <mergeCell ref="B46:B47"/>
    <mergeCell ref="C46:I47"/>
    <mergeCell ref="B48:I48"/>
    <mergeCell ref="B49:I52"/>
  </mergeCells>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24.25"/>
  </cols>
  <sheetData>
    <row r="1">
      <c r="A1" s="1878" t="s">
        <v>3305</v>
      </c>
      <c r="B1" s="45"/>
      <c r="C1" s="1879" t="s">
        <v>3306</v>
      </c>
      <c r="D1" s="1880"/>
      <c r="E1" s="45"/>
    </row>
    <row r="2">
      <c r="A2" s="1881" t="s">
        <v>2189</v>
      </c>
      <c r="B2" s="1882"/>
      <c r="C2" s="1883" t="s">
        <v>2191</v>
      </c>
      <c r="D2" s="1884" t="str">
        <f>Concatenate(text('101 General Info'!D8,"m/d/yyyy"), "   To   ")</f>
        <v>3/3/2020   To   </v>
      </c>
      <c r="E2" s="1885">
        <f>'101 General Info'!F8</f>
        <v>43894</v>
      </c>
    </row>
    <row r="3">
      <c r="A3" s="1886" t="str">
        <f>'101 General Info'!C2</f>
        <v>NO NAME</v>
      </c>
      <c r="B3" s="55"/>
      <c r="C3" s="1887"/>
      <c r="D3" s="1888" t="str">
        <f>Concatenate(text('101 General Info'!D9,"0000"), "   To   ")</f>
        <v>0700   To   </v>
      </c>
      <c r="E3" s="1889" t="str">
        <f>'101 General Info'!F9</f>
        <v>0700</v>
      </c>
    </row>
    <row r="4">
      <c r="A4" s="1890" t="s">
        <v>3307</v>
      </c>
      <c r="B4" s="74"/>
      <c r="C4" s="74"/>
      <c r="D4" s="74"/>
      <c r="E4" s="45"/>
    </row>
    <row r="5">
      <c r="A5" s="1891" t="s">
        <v>3308</v>
      </c>
      <c r="B5" s="1892" t="str">
        <f>'203'!E5</f>
        <v/>
      </c>
      <c r="C5" s="45"/>
      <c r="D5" s="1891" t="s">
        <v>3309</v>
      </c>
      <c r="E5" s="1893" t="str">
        <f>'203'!E7</f>
        <v/>
      </c>
    </row>
    <row r="6">
      <c r="A6" s="1894" t="s">
        <v>420</v>
      </c>
      <c r="B6" s="1892"/>
      <c r="C6" s="45"/>
      <c r="D6" s="1891" t="s">
        <v>3310</v>
      </c>
      <c r="E6" s="1895" t="str">
        <f>'203'!F41</f>
        <v/>
      </c>
    </row>
    <row r="7">
      <c r="A7" s="1896" t="s">
        <v>3311</v>
      </c>
      <c r="B7" s="74"/>
      <c r="C7" s="74"/>
      <c r="D7" s="74"/>
      <c r="E7" s="45"/>
    </row>
    <row r="8">
      <c r="A8" s="1897"/>
      <c r="B8" s="1897"/>
      <c r="C8" s="1897"/>
      <c r="D8" s="1897"/>
      <c r="E8" s="1897"/>
    </row>
    <row r="9">
      <c r="A9" s="67"/>
      <c r="B9" s="67"/>
      <c r="C9" s="67"/>
      <c r="D9" s="67"/>
      <c r="E9" s="67"/>
    </row>
    <row r="10">
      <c r="A10" s="67"/>
      <c r="B10" s="67"/>
      <c r="C10" s="67"/>
      <c r="D10" s="67"/>
      <c r="E10" s="67"/>
    </row>
    <row r="11">
      <c r="A11" s="67"/>
      <c r="B11" s="67"/>
      <c r="C11" s="67"/>
      <c r="D11" s="67"/>
      <c r="E11" s="67"/>
    </row>
    <row r="12">
      <c r="A12" s="67"/>
      <c r="B12" s="67"/>
      <c r="C12" s="67"/>
      <c r="D12" s="67"/>
      <c r="E12" s="67"/>
    </row>
    <row r="13">
      <c r="A13" s="67"/>
      <c r="B13" s="67"/>
      <c r="C13" s="67"/>
      <c r="D13" s="67"/>
      <c r="E13" s="67"/>
    </row>
    <row r="14">
      <c r="A14" s="67"/>
      <c r="B14" s="67"/>
      <c r="C14" s="67"/>
      <c r="D14" s="67"/>
      <c r="E14" s="67"/>
    </row>
    <row r="15">
      <c r="A15" s="67"/>
      <c r="B15" s="67"/>
      <c r="C15" s="67"/>
      <c r="D15" s="67"/>
      <c r="E15" s="67"/>
    </row>
    <row r="16">
      <c r="A16" s="67"/>
      <c r="B16" s="67"/>
      <c r="C16" s="67"/>
      <c r="D16" s="67"/>
      <c r="E16" s="67"/>
    </row>
    <row r="17">
      <c r="A17" s="67"/>
      <c r="B17" s="67"/>
      <c r="C17" s="67"/>
      <c r="D17" s="67"/>
      <c r="E17" s="67"/>
    </row>
    <row r="18">
      <c r="A18" s="67"/>
      <c r="B18" s="67"/>
      <c r="C18" s="67"/>
      <c r="D18" s="67"/>
      <c r="E18" s="67"/>
    </row>
    <row r="19">
      <c r="A19" s="67"/>
      <c r="B19" s="67"/>
      <c r="C19" s="67"/>
      <c r="D19" s="67"/>
      <c r="E19" s="67"/>
    </row>
    <row r="20">
      <c r="A20" s="67"/>
      <c r="B20" s="67"/>
      <c r="C20" s="67"/>
      <c r="D20" s="67"/>
      <c r="E20" s="67"/>
    </row>
    <row r="21">
      <c r="A21" s="67"/>
      <c r="B21" s="67"/>
      <c r="C21" s="67"/>
      <c r="D21" s="67"/>
      <c r="E21" s="67"/>
    </row>
    <row r="22">
      <c r="A22" s="67"/>
      <c r="B22" s="67"/>
      <c r="C22" s="67"/>
      <c r="D22" s="67"/>
      <c r="E22" s="67"/>
    </row>
    <row r="23">
      <c r="A23" s="67"/>
      <c r="B23" s="67"/>
      <c r="C23" s="67"/>
      <c r="D23" s="67"/>
      <c r="E23" s="67"/>
    </row>
    <row r="24">
      <c r="A24" s="67"/>
      <c r="B24" s="67"/>
      <c r="C24" s="67"/>
      <c r="D24" s="67"/>
      <c r="E24" s="67"/>
    </row>
    <row r="25">
      <c r="A25" s="67"/>
      <c r="B25" s="67"/>
      <c r="C25" s="67"/>
      <c r="D25" s="67"/>
      <c r="E25" s="67"/>
    </row>
    <row r="26">
      <c r="A26" s="67"/>
      <c r="B26" s="67"/>
      <c r="C26" s="67"/>
      <c r="D26" s="67"/>
      <c r="E26" s="67"/>
    </row>
    <row r="27">
      <c r="A27" s="67"/>
      <c r="B27" s="67"/>
      <c r="C27" s="67"/>
      <c r="D27" s="67"/>
      <c r="E27" s="67"/>
    </row>
    <row r="28">
      <c r="A28" s="67"/>
      <c r="B28" s="67"/>
      <c r="C28" s="67"/>
      <c r="D28" s="67"/>
      <c r="E28" s="67"/>
    </row>
    <row r="29">
      <c r="A29" s="67"/>
      <c r="B29" s="67"/>
      <c r="C29" s="67"/>
      <c r="D29" s="67"/>
      <c r="E29" s="67"/>
    </row>
    <row r="30">
      <c r="A30" s="67"/>
      <c r="B30" s="67"/>
      <c r="C30" s="67"/>
      <c r="D30" s="67"/>
      <c r="E30" s="67"/>
    </row>
    <row r="31">
      <c r="A31" s="67"/>
      <c r="B31" s="67"/>
      <c r="C31" s="67"/>
      <c r="D31" s="67"/>
      <c r="E31" s="67"/>
    </row>
    <row r="32">
      <c r="A32" s="67"/>
      <c r="B32" s="67"/>
      <c r="C32" s="67"/>
      <c r="D32" s="67"/>
      <c r="E32" s="67"/>
    </row>
    <row r="33">
      <c r="A33" s="67"/>
      <c r="B33" s="67"/>
      <c r="C33" s="67"/>
      <c r="D33" s="67"/>
      <c r="E33" s="67"/>
    </row>
    <row r="34">
      <c r="A34" s="67"/>
      <c r="B34" s="67"/>
      <c r="C34" s="67"/>
      <c r="D34" s="67"/>
      <c r="E34" s="67"/>
    </row>
    <row r="35">
      <c r="A35" s="67"/>
      <c r="B35" s="67"/>
      <c r="C35" s="67"/>
      <c r="D35" s="67"/>
      <c r="E35" s="67"/>
    </row>
    <row r="36">
      <c r="A36" s="67"/>
      <c r="B36" s="67"/>
      <c r="C36" s="67"/>
      <c r="D36" s="67"/>
      <c r="E36" s="67"/>
    </row>
    <row r="37">
      <c r="A37" s="67"/>
      <c r="B37" s="67"/>
      <c r="C37" s="67"/>
      <c r="D37" s="67"/>
      <c r="E37" s="67"/>
    </row>
    <row r="38">
      <c r="A38" s="67"/>
      <c r="B38" s="67"/>
      <c r="C38" s="67"/>
      <c r="D38" s="67"/>
      <c r="E38" s="67"/>
    </row>
    <row r="39">
      <c r="A39" s="67"/>
      <c r="B39" s="67"/>
      <c r="C39" s="67"/>
      <c r="D39" s="67"/>
      <c r="E39" s="67"/>
    </row>
    <row r="40">
      <c r="A40" s="67"/>
      <c r="B40" s="67"/>
      <c r="C40" s="67"/>
      <c r="D40" s="67"/>
      <c r="E40" s="67"/>
    </row>
    <row r="41">
      <c r="A41" s="67"/>
      <c r="B41" s="67"/>
      <c r="C41" s="67"/>
      <c r="D41" s="67"/>
      <c r="E41" s="67"/>
    </row>
    <row r="42">
      <c r="A42" s="67"/>
      <c r="B42" s="67"/>
      <c r="C42" s="67"/>
      <c r="D42" s="67"/>
      <c r="E42" s="67"/>
    </row>
    <row r="43">
      <c r="A43" s="67"/>
      <c r="B43" s="67"/>
      <c r="C43" s="67"/>
      <c r="D43" s="67"/>
      <c r="E43" s="67"/>
    </row>
    <row r="44">
      <c r="A44" s="67"/>
      <c r="B44" s="67"/>
      <c r="C44" s="67"/>
      <c r="D44" s="67"/>
      <c r="E44" s="67"/>
    </row>
    <row r="45">
      <c r="A45" s="67"/>
      <c r="B45" s="67"/>
      <c r="C45" s="67"/>
      <c r="D45" s="67"/>
      <c r="E45" s="67"/>
    </row>
    <row r="46">
      <c r="A46" s="67"/>
      <c r="B46" s="67"/>
      <c r="C46" s="67"/>
      <c r="D46" s="67"/>
      <c r="E46" s="67"/>
    </row>
    <row r="47">
      <c r="A47" s="1898" t="str">
        <f> "Name"</f>
        <v>Name</v>
      </c>
      <c r="B47" s="1899" t="str">
        <f> "Ch - Function"</f>
        <v>Ch - Function</v>
      </c>
      <c r="C47" s="1899" t="str">
        <f> "Rx Freq  / Rx Tone"</f>
        <v>Rx Freq  / Rx Tone</v>
      </c>
      <c r="D47" s="1899" t="str">
        <f> "Tx Freq  / Tx Tone"</f>
        <v>Tx Freq  / Tx Tone</v>
      </c>
      <c r="E47" s="1900" t="str">
        <f> "Notes"</f>
        <v>Notes</v>
      </c>
      <c r="F47" s="425"/>
      <c r="G47" s="425"/>
      <c r="H47" s="425"/>
      <c r="I47" s="425"/>
      <c r="J47" s="425"/>
    </row>
    <row r="48">
      <c r="A48" s="1901" t="str">
        <f>'205 Worksheet'!C8</f>
        <v>CDF C1</v>
      </c>
      <c r="B48" s="1902" t="str">
        <f>Concatenate('205 Worksheet'!B8, ".  ",'205 Worksheet'!E8)</f>
        <v>1.  COMMAND</v>
      </c>
      <c r="C48" s="1903" t="str">
        <f>concatenate(Text('205 Worksheet'!F8,"000.000"), "  /  ", '205 Worksheet'!G8)</f>
        <v>151.355  /  (T8)  103.5</v>
      </c>
      <c r="D48" s="1903" t="str">
        <f>concatenate(TEXT('205 Worksheet'!H8,"000.0000"), "  /  ", '205 Worksheet'!I8)</f>
        <v>159.3000  /  OST</v>
      </c>
      <c r="E48" s="1902" t="str">
        <f>'205 Worksheet'!K8</f>
        <v/>
      </c>
      <c r="F48" s="1904"/>
      <c r="G48" s="1905"/>
      <c r="H48" s="1904"/>
      <c r="I48" s="1904"/>
      <c r="J48" s="1906"/>
    </row>
    <row r="49">
      <c r="A49" s="1907" t="str">
        <f>'205 Worksheet'!C9</f>
        <v>A/G CMD</v>
      </c>
      <c r="B49" s="1908" t="str">
        <f>Concatenate('205 Worksheet'!B9, ".  ",'205 Worksheet'!E9)</f>
        <v>14.  A/G CMD</v>
      </c>
      <c r="C49" s="1909" t="str">
        <f>concatenate(Text('205 Worksheet'!F9,"000.000"), "  /  ", '205 Worksheet'!G9)</f>
        <v>166.613  /  </v>
      </c>
      <c r="D49" s="1909" t="str">
        <f>concatenate(TEXT('205 Worksheet'!H9,"000.0000"), "  /  ", '205 Worksheet'!I9)</f>
        <v>166.6125  /  0</v>
      </c>
      <c r="E49" s="1908" t="str">
        <f>'205 Worksheet'!K9</f>
        <v/>
      </c>
      <c r="F49" s="1904"/>
      <c r="G49" s="1905"/>
      <c r="H49" s="1904"/>
      <c r="I49" s="1904"/>
      <c r="J49" s="1906"/>
    </row>
    <row r="50">
      <c r="A50" s="1907" t="str">
        <f>'205 Worksheet'!C10</f>
        <v>CALCORD</v>
      </c>
      <c r="B50" s="1908" t="str">
        <f>Concatenate('205 Worksheet'!B10, ".  ",'205 Worksheet'!E10)</f>
        <v>15.  TACTICAL</v>
      </c>
      <c r="C50" s="1909" t="str">
        <f>concatenate(Text('205 Worksheet'!F10,"000.000"), "  /  ", '205 Worksheet'!G10)</f>
        <v>156.075  /  (T6)  156.7</v>
      </c>
      <c r="D50" s="1909" t="str">
        <f>concatenate(TEXT('205 Worksheet'!H10,"000.0000"), "  /  ", '205 Worksheet'!I10)</f>
        <v>156.0750  /  (T6)  156.7</v>
      </c>
      <c r="E50" s="1908" t="str">
        <f>'205 Worksheet'!K10</f>
        <v/>
      </c>
      <c r="F50" s="1904"/>
      <c r="G50" s="1905"/>
      <c r="H50" s="1904"/>
      <c r="I50" s="1904"/>
      <c r="J50" s="1906"/>
    </row>
    <row r="51">
      <c r="A51" s="1907" t="str">
        <f>'205 Worksheet'!C11</f>
        <v>A/G YNP</v>
      </c>
      <c r="B51" s="1908" t="str">
        <f>Concatenate('205 Worksheet'!B11, ".  ",'205 Worksheet'!E11)</f>
        <v>16.  A/G</v>
      </c>
      <c r="C51" s="1909" t="str">
        <f>concatenate(Text('205 Worksheet'!F11,"000.000"), "  /  ", '205 Worksheet'!G11)</f>
        <v>168.563  /  </v>
      </c>
      <c r="D51" s="1909" t="str">
        <f>concatenate(TEXT('205 Worksheet'!H11,"000.0000"), "  /  ", '205 Worksheet'!I11)</f>
        <v>168.5625  /  0</v>
      </c>
      <c r="E51" s="1908" t="str">
        <f>'205 Worksheet'!K11</f>
        <v/>
      </c>
      <c r="F51" s="1904"/>
      <c r="G51" s="1905"/>
      <c r="H51" s="1904"/>
      <c r="I51" s="1904"/>
      <c r="J51" s="1906"/>
    </row>
    <row r="52">
      <c r="A52" s="1910" t="str">
        <f>concatenate("Prepared By RESL: ",'101 General Info'!E25)</f>
        <v>Prepared By RESL: </v>
      </c>
      <c r="B52" s="94"/>
      <c r="C52" s="1911" t="str">
        <f>concatenate("Approved By PSC: ",'101 General Info'!E20)</f>
        <v>Approved By PSC: </v>
      </c>
      <c r="D52" s="94"/>
      <c r="E52" s="1912"/>
      <c r="F52" s="1904"/>
      <c r="G52" s="1905"/>
      <c r="H52" s="1904"/>
      <c r="I52" s="1904"/>
      <c r="J52" s="1906"/>
    </row>
    <row r="53">
      <c r="A53" s="1913"/>
      <c r="B53" s="675"/>
      <c r="C53" s="234"/>
      <c r="D53" s="234"/>
      <c r="E53" s="675"/>
    </row>
  </sheetData>
  <mergeCells count="9">
    <mergeCell ref="A52:B52"/>
    <mergeCell ref="C52:D52"/>
    <mergeCell ref="A1:B1"/>
    <mergeCell ref="D1:E1"/>
    <mergeCell ref="A3:B3"/>
    <mergeCell ref="A4:E4"/>
    <mergeCell ref="B5:C5"/>
    <mergeCell ref="B6:C6"/>
    <mergeCell ref="A7:E7"/>
  </mergeCells>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5"/>
    <col customWidth="1" min="2" max="2" width="13.88"/>
    <col customWidth="1" min="3" max="3" width="12.25"/>
    <col customWidth="1" min="4" max="4" width="9.25"/>
    <col customWidth="1" min="6" max="6" width="9.5"/>
    <col customWidth="1" min="7" max="7" width="31.5"/>
    <col customWidth="1" min="8" max="8" width="11.88"/>
    <col customWidth="1" min="9" max="9" width="15.88"/>
  </cols>
  <sheetData>
    <row r="1">
      <c r="A1" s="1786"/>
      <c r="B1" s="1786" t="s">
        <v>3203</v>
      </c>
    </row>
    <row r="2">
      <c r="B2" s="66" t="s">
        <v>3204</v>
      </c>
      <c r="C2" s="74"/>
      <c r="D2" s="45"/>
      <c r="E2" s="1810" t="str">
        <f>IncName</f>
        <v>NO NAME</v>
      </c>
      <c r="F2" s="74"/>
      <c r="G2" s="1838" t="s">
        <v>3205</v>
      </c>
      <c r="H2" s="1839" t="str">
        <f>IncNumber</f>
        <v/>
      </c>
      <c r="I2" s="45"/>
    </row>
    <row r="3">
      <c r="B3" s="1840" t="s">
        <v>3252</v>
      </c>
    </row>
    <row r="4">
      <c r="B4" s="1875" t="s">
        <v>3312</v>
      </c>
      <c r="C4" s="84"/>
      <c r="D4" s="84"/>
      <c r="E4" s="84"/>
      <c r="F4" s="84"/>
      <c r="G4" s="84"/>
      <c r="H4" s="84"/>
      <c r="I4" s="86"/>
    </row>
    <row r="5">
      <c r="B5" s="1876" t="s">
        <v>3298</v>
      </c>
      <c r="C5" s="1877"/>
      <c r="I5" s="108"/>
    </row>
    <row r="6">
      <c r="B6" s="107"/>
      <c r="I6" s="108"/>
    </row>
    <row r="7">
      <c r="B7" s="1876" t="s">
        <v>3299</v>
      </c>
      <c r="C7" s="1877"/>
      <c r="I7" s="108"/>
    </row>
    <row r="8">
      <c r="B8" s="107"/>
      <c r="I8" s="108"/>
    </row>
    <row r="9">
      <c r="B9" s="1876" t="s">
        <v>3300</v>
      </c>
      <c r="C9" s="1877"/>
      <c r="I9" s="108"/>
    </row>
    <row r="10">
      <c r="B10" s="107"/>
      <c r="I10" s="108"/>
    </row>
    <row r="11">
      <c r="B11" s="1876" t="s">
        <v>3301</v>
      </c>
      <c r="C11" s="1877"/>
      <c r="I11" s="108"/>
    </row>
    <row r="12">
      <c r="B12" s="107"/>
      <c r="I12" s="108"/>
    </row>
    <row r="13">
      <c r="B13" s="1876" t="s">
        <v>3302</v>
      </c>
      <c r="C13" s="1877"/>
      <c r="I13" s="108"/>
    </row>
    <row r="14">
      <c r="B14" s="79"/>
      <c r="C14" s="113"/>
      <c r="D14" s="113"/>
      <c r="E14" s="113"/>
      <c r="F14" s="113"/>
      <c r="G14" s="113"/>
      <c r="H14" s="113"/>
      <c r="I14" s="115"/>
    </row>
    <row r="15">
      <c r="B15" s="1875" t="s">
        <v>3313</v>
      </c>
      <c r="C15" s="84"/>
      <c r="D15" s="84"/>
      <c r="E15" s="84"/>
      <c r="F15" s="84"/>
      <c r="G15" s="84"/>
      <c r="H15" s="84"/>
      <c r="I15" s="86"/>
    </row>
    <row r="16">
      <c r="B16" s="1876" t="s">
        <v>3298</v>
      </c>
      <c r="C16" s="1877"/>
      <c r="I16" s="108"/>
    </row>
    <row r="17">
      <c r="B17" s="107"/>
      <c r="I17" s="108"/>
    </row>
    <row r="18">
      <c r="B18" s="1876" t="s">
        <v>3299</v>
      </c>
      <c r="C18" s="1877"/>
      <c r="I18" s="108"/>
    </row>
    <row r="19">
      <c r="B19" s="107"/>
      <c r="I19" s="108"/>
    </row>
    <row r="20">
      <c r="B20" s="1876" t="s">
        <v>3300</v>
      </c>
      <c r="C20" s="1877"/>
      <c r="I20" s="108"/>
    </row>
    <row r="21">
      <c r="B21" s="107"/>
      <c r="I21" s="108"/>
    </row>
    <row r="22">
      <c r="B22" s="1876" t="s">
        <v>3301</v>
      </c>
      <c r="C22" s="1877"/>
      <c r="I22" s="108"/>
    </row>
    <row r="23">
      <c r="B23" s="107"/>
      <c r="I23" s="108"/>
    </row>
    <row r="24">
      <c r="B24" s="1876" t="s">
        <v>3302</v>
      </c>
      <c r="C24" s="1877"/>
      <c r="I24" s="108"/>
    </row>
    <row r="25">
      <c r="B25" s="79"/>
      <c r="C25" s="113"/>
      <c r="D25" s="113"/>
      <c r="E25" s="113"/>
      <c r="F25" s="113"/>
      <c r="G25" s="113"/>
      <c r="H25" s="113"/>
      <c r="I25" s="115"/>
    </row>
    <row r="26">
      <c r="B26" s="75" t="s">
        <v>3314</v>
      </c>
      <c r="C26" s="84"/>
      <c r="D26" s="84"/>
      <c r="E26" s="84"/>
      <c r="F26" s="84"/>
      <c r="G26" s="84"/>
      <c r="H26" s="84"/>
      <c r="I26" s="86"/>
    </row>
    <row r="27">
      <c r="B27" s="1870" t="s">
        <v>3315</v>
      </c>
      <c r="I27" s="108"/>
    </row>
    <row r="28">
      <c r="B28" s="1870" t="s">
        <v>3316</v>
      </c>
      <c r="I28" s="108"/>
    </row>
    <row r="29">
      <c r="B29" s="1870" t="s">
        <v>3317</v>
      </c>
      <c r="I29" s="108"/>
    </row>
    <row r="30">
      <c r="B30" s="1914" t="s">
        <v>3318</v>
      </c>
      <c r="I30" s="108"/>
    </row>
    <row r="31">
      <c r="B31" s="1915"/>
      <c r="I31" s="108"/>
    </row>
    <row r="32">
      <c r="B32" s="107"/>
      <c r="I32" s="108"/>
    </row>
    <row r="33">
      <c r="B33" s="107"/>
      <c r="I33" s="108"/>
    </row>
    <row r="34">
      <c r="B34" s="107"/>
      <c r="I34" s="108"/>
    </row>
    <row r="35">
      <c r="B35" s="107"/>
      <c r="I35" s="108"/>
    </row>
    <row r="36">
      <c r="B36" s="107"/>
      <c r="I36" s="108"/>
    </row>
    <row r="37">
      <c r="B37" s="107"/>
      <c r="I37" s="108"/>
    </row>
    <row r="38">
      <c r="B38" s="79"/>
      <c r="C38" s="113"/>
      <c r="D38" s="113"/>
      <c r="E38" s="113"/>
      <c r="F38" s="113"/>
      <c r="G38" s="113"/>
      <c r="H38" s="113"/>
      <c r="I38" s="115"/>
    </row>
    <row r="39">
      <c r="B39" s="1870" t="s">
        <v>3319</v>
      </c>
      <c r="I39" s="108"/>
    </row>
    <row r="40">
      <c r="B40" s="1871"/>
      <c r="I40" s="108"/>
    </row>
    <row r="41">
      <c r="B41" s="107"/>
      <c r="I41" s="108"/>
    </row>
    <row r="42">
      <c r="B42" s="107"/>
      <c r="I42" s="108"/>
    </row>
    <row r="43">
      <c r="B43" s="79"/>
      <c r="C43" s="113"/>
      <c r="D43" s="113"/>
      <c r="E43" s="113"/>
      <c r="F43" s="113"/>
      <c r="G43" s="113"/>
      <c r="H43" s="113"/>
      <c r="I43" s="115"/>
    </row>
    <row r="44">
      <c r="B44" s="1916" t="s">
        <v>3320</v>
      </c>
      <c r="C44" s="135"/>
      <c r="D44" s="135"/>
      <c r="E44" s="135"/>
      <c r="F44" s="135"/>
      <c r="G44" s="1917"/>
      <c r="H44" s="135"/>
      <c r="I44" s="1189"/>
    </row>
    <row r="45">
      <c r="B45" s="1918" t="s">
        <v>3321</v>
      </c>
      <c r="C45" s="74"/>
      <c r="D45" s="74"/>
      <c r="E45" s="74"/>
      <c r="F45" s="74"/>
      <c r="G45" s="1919"/>
      <c r="H45" s="74"/>
      <c r="I45" s="149"/>
    </row>
    <row r="46">
      <c r="B46" s="1918" t="s">
        <v>3322</v>
      </c>
      <c r="C46" s="74"/>
      <c r="D46" s="74"/>
      <c r="E46" s="74"/>
      <c r="F46" s="74"/>
      <c r="G46" s="1919"/>
      <c r="H46" s="74"/>
      <c r="I46" s="149"/>
    </row>
    <row r="47">
      <c r="B47" s="1918" t="s">
        <v>3323</v>
      </c>
      <c r="C47" s="74"/>
      <c r="D47" s="74"/>
      <c r="E47" s="74"/>
      <c r="F47" s="74"/>
      <c r="G47" s="1919"/>
      <c r="H47" s="74"/>
      <c r="I47" s="149"/>
    </row>
    <row r="48">
      <c r="B48" s="1918" t="s">
        <v>3324</v>
      </c>
      <c r="C48" s="74"/>
      <c r="D48" s="74"/>
      <c r="E48" s="74"/>
      <c r="F48" s="74"/>
      <c r="G48" s="1919"/>
      <c r="H48" s="74"/>
      <c r="I48" s="149"/>
    </row>
    <row r="49">
      <c r="B49" s="1918" t="s">
        <v>3325</v>
      </c>
      <c r="C49" s="74"/>
      <c r="D49" s="74"/>
      <c r="E49" s="74"/>
      <c r="F49" s="74"/>
      <c r="G49" s="74"/>
      <c r="H49" s="74"/>
      <c r="I49" s="149"/>
    </row>
    <row r="50">
      <c r="B50" s="1920"/>
      <c r="C50" s="165"/>
      <c r="D50" s="165"/>
      <c r="E50" s="165"/>
      <c r="F50" s="165"/>
      <c r="G50" s="165"/>
      <c r="H50" s="165"/>
      <c r="I50" s="517"/>
    </row>
    <row r="51">
      <c r="B51" s="107"/>
      <c r="I51" s="108"/>
    </row>
    <row r="52">
      <c r="B52" s="79"/>
      <c r="C52" s="113"/>
      <c r="D52" s="113"/>
      <c r="E52" s="113"/>
      <c r="F52" s="113"/>
      <c r="G52" s="113"/>
      <c r="H52" s="113"/>
      <c r="I52" s="115"/>
    </row>
    <row r="53">
      <c r="B53" s="41" t="s">
        <v>3326</v>
      </c>
    </row>
  </sheetData>
  <mergeCells count="48">
    <mergeCell ref="B5:B6"/>
    <mergeCell ref="C5:I6"/>
    <mergeCell ref="B7:B8"/>
    <mergeCell ref="C7:I8"/>
    <mergeCell ref="B9:B10"/>
    <mergeCell ref="C9:I10"/>
    <mergeCell ref="B11:B12"/>
    <mergeCell ref="C11:I12"/>
    <mergeCell ref="B13:B14"/>
    <mergeCell ref="C13:I14"/>
    <mergeCell ref="B18:B19"/>
    <mergeCell ref="C18:I19"/>
    <mergeCell ref="B20:B21"/>
    <mergeCell ref="C20:I21"/>
    <mergeCell ref="B30:I30"/>
    <mergeCell ref="B31:I38"/>
    <mergeCell ref="B45:F45"/>
    <mergeCell ref="G45:I45"/>
    <mergeCell ref="B46:F46"/>
    <mergeCell ref="G46:I46"/>
    <mergeCell ref="B47:F47"/>
    <mergeCell ref="G47:I47"/>
    <mergeCell ref="B48:F48"/>
    <mergeCell ref="G48:I48"/>
    <mergeCell ref="B49:I49"/>
    <mergeCell ref="B50:I52"/>
    <mergeCell ref="A1:A53"/>
    <mergeCell ref="B1:I1"/>
    <mergeCell ref="B2:D2"/>
    <mergeCell ref="E2:F2"/>
    <mergeCell ref="H2:I2"/>
    <mergeCell ref="B3:I3"/>
    <mergeCell ref="B4:I4"/>
    <mergeCell ref="B15:I15"/>
    <mergeCell ref="B16:B17"/>
    <mergeCell ref="C16:I17"/>
    <mergeCell ref="B22:B23"/>
    <mergeCell ref="C22:I23"/>
    <mergeCell ref="B24:B25"/>
    <mergeCell ref="C24:I25"/>
    <mergeCell ref="B26:I26"/>
    <mergeCell ref="B27:I27"/>
    <mergeCell ref="B28:I28"/>
    <mergeCell ref="B29:I29"/>
    <mergeCell ref="B39:I39"/>
    <mergeCell ref="B40:I43"/>
    <mergeCell ref="B44:F44"/>
    <mergeCell ref="G44:I44"/>
  </mergeCells>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1.5"/>
    <col customWidth="1" min="2" max="2" width="17.38"/>
    <col customWidth="1" min="3" max="28" width="4.5"/>
    <col customWidth="1" min="29" max="29" width="4.88"/>
    <col customWidth="1" min="30" max="30" width="13.0"/>
  </cols>
  <sheetData>
    <row r="1">
      <c r="A1" s="1786"/>
      <c r="B1" s="1786" t="s">
        <v>3203</v>
      </c>
    </row>
    <row r="2">
      <c r="B2" s="1921" t="s">
        <v>3204</v>
      </c>
      <c r="C2" s="864"/>
      <c r="D2" s="864"/>
      <c r="E2" s="1922" t="str">
        <f>IncName</f>
        <v>NO NAME</v>
      </c>
      <c r="F2" s="864"/>
      <c r="G2" s="864"/>
      <c r="H2" s="864"/>
      <c r="I2" s="864"/>
      <c r="J2" s="864"/>
      <c r="K2" s="864"/>
      <c r="L2" s="864"/>
      <c r="M2" s="864"/>
      <c r="N2" s="864"/>
      <c r="O2" s="864"/>
      <c r="P2" s="864"/>
      <c r="Q2" s="864"/>
      <c r="R2" s="1923" t="s">
        <v>3205</v>
      </c>
      <c r="S2" s="864"/>
      <c r="T2" s="864"/>
      <c r="U2" s="864"/>
      <c r="V2" s="1922" t="str">
        <f>IncNumber</f>
        <v/>
      </c>
      <c r="W2" s="864"/>
      <c r="X2" s="864"/>
      <c r="Y2" s="864"/>
      <c r="Z2" s="864"/>
      <c r="AA2" s="864"/>
      <c r="AB2" s="864"/>
      <c r="AC2" s="864"/>
      <c r="AD2" s="874"/>
    </row>
    <row r="3">
      <c r="B3" s="1840" t="s">
        <v>3327</v>
      </c>
    </row>
    <row r="4">
      <c r="B4" s="1924" t="s">
        <v>3328</v>
      </c>
      <c r="C4" s="1925" t="s">
        <v>3329</v>
      </c>
      <c r="D4" s="864"/>
      <c r="E4" s="864"/>
      <c r="F4" s="864"/>
      <c r="G4" s="864"/>
      <c r="H4" s="864"/>
      <c r="I4" s="864"/>
      <c r="J4" s="864"/>
      <c r="K4" s="864"/>
      <c r="L4" s="864"/>
      <c r="M4" s="864"/>
      <c r="N4" s="864"/>
      <c r="O4" s="864"/>
      <c r="P4" s="864"/>
      <c r="Q4" s="864"/>
      <c r="R4" s="864"/>
      <c r="S4" s="864"/>
      <c r="T4" s="864"/>
      <c r="U4" s="864"/>
      <c r="V4" s="864"/>
      <c r="W4" s="864"/>
      <c r="X4" s="864"/>
      <c r="Y4" s="864"/>
      <c r="Z4" s="864"/>
      <c r="AA4" s="874"/>
      <c r="AB4" s="1926" t="s">
        <v>3330</v>
      </c>
      <c r="AC4" s="1927" t="s">
        <v>3331</v>
      </c>
      <c r="AD4" s="1928" t="s">
        <v>3332</v>
      </c>
    </row>
    <row r="5">
      <c r="B5" s="1678"/>
      <c r="C5" s="1929" t="s">
        <v>3333</v>
      </c>
      <c r="D5" s="1930" t="s">
        <v>3334</v>
      </c>
      <c r="E5" s="1930" t="s">
        <v>3335</v>
      </c>
      <c r="F5" s="1930"/>
      <c r="G5" s="1930"/>
      <c r="H5" s="1930"/>
      <c r="I5" s="1930"/>
      <c r="J5" s="1930"/>
      <c r="K5" s="1930"/>
      <c r="L5" s="1930"/>
      <c r="M5" s="1930"/>
      <c r="N5" s="1930"/>
      <c r="O5" s="1930"/>
      <c r="P5" s="1930"/>
      <c r="Q5" s="1930"/>
      <c r="R5" s="1930"/>
      <c r="S5" s="1930"/>
      <c r="T5" s="1930"/>
      <c r="U5" s="1930"/>
      <c r="V5" s="1930"/>
      <c r="W5" s="1930"/>
      <c r="X5" s="1930"/>
      <c r="Y5" s="1930"/>
      <c r="Z5" s="1930"/>
      <c r="AA5" s="1931"/>
      <c r="AB5" s="1569"/>
      <c r="AC5" s="807"/>
      <c r="AD5" s="1547"/>
    </row>
    <row r="6">
      <c r="B6" s="1678"/>
      <c r="C6" s="1569"/>
      <c r="D6" s="807"/>
      <c r="E6" s="807"/>
      <c r="F6" s="807"/>
      <c r="G6" s="807"/>
      <c r="H6" s="807"/>
      <c r="I6" s="807"/>
      <c r="J6" s="807"/>
      <c r="K6" s="807"/>
      <c r="L6" s="807"/>
      <c r="M6" s="807"/>
      <c r="N6" s="807"/>
      <c r="O6" s="807"/>
      <c r="P6" s="807"/>
      <c r="Q6" s="807"/>
      <c r="R6" s="807"/>
      <c r="S6" s="807"/>
      <c r="T6" s="807"/>
      <c r="U6" s="807"/>
      <c r="V6" s="807"/>
      <c r="W6" s="807"/>
      <c r="X6" s="807"/>
      <c r="Y6" s="807"/>
      <c r="Z6" s="807"/>
      <c r="AA6" s="1547"/>
      <c r="AB6" s="1569"/>
      <c r="AC6" s="807"/>
      <c r="AD6" s="1547"/>
    </row>
    <row r="7">
      <c r="B7" s="1678"/>
      <c r="C7" s="1569"/>
      <c r="D7" s="807"/>
      <c r="E7" s="807"/>
      <c r="F7" s="807"/>
      <c r="G7" s="807"/>
      <c r="H7" s="807"/>
      <c r="I7" s="807"/>
      <c r="J7" s="807"/>
      <c r="K7" s="807"/>
      <c r="L7" s="807"/>
      <c r="M7" s="807"/>
      <c r="N7" s="807"/>
      <c r="O7" s="807"/>
      <c r="P7" s="807"/>
      <c r="Q7" s="807"/>
      <c r="R7" s="807"/>
      <c r="S7" s="807"/>
      <c r="T7" s="807"/>
      <c r="U7" s="807"/>
      <c r="V7" s="807"/>
      <c r="W7" s="807"/>
      <c r="X7" s="807"/>
      <c r="Y7" s="807"/>
      <c r="Z7" s="807"/>
      <c r="AA7" s="1547"/>
      <c r="AB7" s="1569"/>
      <c r="AC7" s="807"/>
      <c r="AD7" s="1547"/>
    </row>
    <row r="8">
      <c r="B8" s="1678"/>
      <c r="C8" s="1569"/>
      <c r="D8" s="807"/>
      <c r="E8" s="807"/>
      <c r="F8" s="807"/>
      <c r="G8" s="807"/>
      <c r="H8" s="807"/>
      <c r="I8" s="807"/>
      <c r="J8" s="807"/>
      <c r="K8" s="807"/>
      <c r="L8" s="807"/>
      <c r="M8" s="807"/>
      <c r="N8" s="807"/>
      <c r="O8" s="807"/>
      <c r="P8" s="807"/>
      <c r="Q8" s="807"/>
      <c r="R8" s="807"/>
      <c r="S8" s="807"/>
      <c r="T8" s="807"/>
      <c r="U8" s="807"/>
      <c r="V8" s="807"/>
      <c r="W8" s="807"/>
      <c r="X8" s="807"/>
      <c r="Y8" s="807"/>
      <c r="Z8" s="807"/>
      <c r="AA8" s="1547"/>
      <c r="AB8" s="1569"/>
      <c r="AC8" s="807"/>
      <c r="AD8" s="1547"/>
    </row>
    <row r="9">
      <c r="B9" s="1684"/>
      <c r="C9" s="1599"/>
      <c r="D9" s="1932"/>
      <c r="E9" s="1932"/>
      <c r="F9" s="1932"/>
      <c r="G9" s="1932"/>
      <c r="H9" s="1932"/>
      <c r="I9" s="1932"/>
      <c r="J9" s="1932"/>
      <c r="K9" s="1932"/>
      <c r="L9" s="1932"/>
      <c r="M9" s="1932"/>
      <c r="N9" s="1932"/>
      <c r="O9" s="1932"/>
      <c r="P9" s="1932"/>
      <c r="Q9" s="1932"/>
      <c r="R9" s="1932"/>
      <c r="S9" s="1932"/>
      <c r="T9" s="1932"/>
      <c r="U9" s="1932"/>
      <c r="V9" s="1932"/>
      <c r="W9" s="1932"/>
      <c r="X9" s="1932"/>
      <c r="Y9" s="1932"/>
      <c r="Z9" s="1932"/>
      <c r="AA9" s="1607"/>
      <c r="AB9" s="1599"/>
      <c r="AC9" s="1932"/>
      <c r="AD9" s="1607"/>
    </row>
    <row r="10">
      <c r="B10" s="1933"/>
      <c r="C10" s="1934"/>
      <c r="D10" s="1935"/>
      <c r="E10" s="1935"/>
      <c r="F10" s="1935"/>
      <c r="G10" s="1935"/>
      <c r="H10" s="1935"/>
      <c r="I10" s="1935"/>
      <c r="J10" s="1935"/>
      <c r="K10" s="1935"/>
      <c r="L10" s="1935"/>
      <c r="M10" s="1935"/>
      <c r="N10" s="1935"/>
      <c r="O10" s="1935"/>
      <c r="P10" s="1935"/>
      <c r="Q10" s="1935"/>
      <c r="R10" s="1935"/>
      <c r="S10" s="1935"/>
      <c r="T10" s="1935"/>
      <c r="U10" s="1935"/>
      <c r="V10" s="1935"/>
      <c r="W10" s="1935"/>
      <c r="X10" s="1935"/>
      <c r="Y10" s="1935"/>
      <c r="Z10" s="1935"/>
      <c r="AA10" s="1935"/>
      <c r="AB10" s="1936">
        <f>sum(C10:AA10)</f>
        <v>0</v>
      </c>
      <c r="AC10" s="1937"/>
      <c r="AD10" s="1938"/>
    </row>
    <row r="11">
      <c r="B11" s="107"/>
      <c r="C11" s="1939"/>
      <c r="D11" s="1940"/>
      <c r="E11" s="1940"/>
      <c r="F11" s="1940"/>
      <c r="G11" s="1940"/>
      <c r="H11" s="1940"/>
      <c r="I11" s="1940"/>
      <c r="J11" s="1940"/>
      <c r="K11" s="1940"/>
      <c r="L11" s="1940"/>
      <c r="M11" s="1940"/>
      <c r="N11" s="1940"/>
      <c r="O11" s="1940"/>
      <c r="P11" s="1940"/>
      <c r="Q11" s="1940"/>
      <c r="R11" s="1940"/>
      <c r="S11" s="1940"/>
      <c r="T11" s="1940"/>
      <c r="U11" s="1940"/>
      <c r="V11" s="1940"/>
      <c r="W11" s="1940"/>
      <c r="X11" s="1940"/>
      <c r="Y11" s="1940"/>
      <c r="Z11" s="1940"/>
      <c r="AA11" s="1940"/>
      <c r="AB11" s="1941">
        <f>sum(C10:AA10)</f>
        <v>0</v>
      </c>
      <c r="AC11" s="1678"/>
      <c r="AD11" s="108"/>
    </row>
    <row r="12">
      <c r="B12" s="1933"/>
      <c r="C12" s="1942"/>
      <c r="D12" s="1943"/>
      <c r="E12" s="1943"/>
      <c r="F12" s="1943"/>
      <c r="G12" s="1943"/>
      <c r="H12" s="1943"/>
      <c r="I12" s="1943"/>
      <c r="J12" s="1943"/>
      <c r="K12" s="1943"/>
      <c r="L12" s="1943"/>
      <c r="M12" s="1943"/>
      <c r="N12" s="1943"/>
      <c r="O12" s="1943"/>
      <c r="P12" s="1943"/>
      <c r="Q12" s="1943"/>
      <c r="R12" s="1943"/>
      <c r="S12" s="1943"/>
      <c r="T12" s="1943"/>
      <c r="U12" s="1943"/>
      <c r="V12" s="1943"/>
      <c r="W12" s="1943"/>
      <c r="X12" s="1943"/>
      <c r="Y12" s="1943"/>
      <c r="Z12" s="1943"/>
      <c r="AA12" s="1943"/>
      <c r="AB12" s="1936">
        <f>sum(C12:AA12)</f>
        <v>0</v>
      </c>
      <c r="AC12" s="1937"/>
      <c r="AD12" s="1938"/>
    </row>
    <row r="13">
      <c r="B13" s="107"/>
      <c r="C13" s="1939"/>
      <c r="D13" s="1940"/>
      <c r="E13" s="1940"/>
      <c r="F13" s="1940"/>
      <c r="G13" s="1940"/>
      <c r="H13" s="1940"/>
      <c r="I13" s="1940"/>
      <c r="J13" s="1940"/>
      <c r="K13" s="1940"/>
      <c r="L13" s="1940"/>
      <c r="M13" s="1940"/>
      <c r="N13" s="1940"/>
      <c r="O13" s="1940"/>
      <c r="P13" s="1940"/>
      <c r="Q13" s="1940"/>
      <c r="R13" s="1940"/>
      <c r="S13" s="1940"/>
      <c r="T13" s="1940"/>
      <c r="U13" s="1940"/>
      <c r="V13" s="1940"/>
      <c r="W13" s="1940"/>
      <c r="X13" s="1940"/>
      <c r="Y13" s="1940"/>
      <c r="Z13" s="1940"/>
      <c r="AA13" s="1940"/>
      <c r="AB13" s="1941">
        <f>sum(C12:AA12)</f>
        <v>0</v>
      </c>
      <c r="AC13" s="1678"/>
      <c r="AD13" s="108"/>
    </row>
    <row r="14">
      <c r="B14" s="1933"/>
      <c r="C14" s="1942"/>
      <c r="D14" s="1943"/>
      <c r="E14" s="1943"/>
      <c r="F14" s="1943"/>
      <c r="G14" s="1943"/>
      <c r="H14" s="1943"/>
      <c r="I14" s="1943"/>
      <c r="J14" s="1943"/>
      <c r="K14" s="1943"/>
      <c r="L14" s="1943"/>
      <c r="M14" s="1943"/>
      <c r="N14" s="1943"/>
      <c r="O14" s="1943"/>
      <c r="P14" s="1943"/>
      <c r="Q14" s="1943"/>
      <c r="R14" s="1943"/>
      <c r="S14" s="1943"/>
      <c r="T14" s="1943"/>
      <c r="U14" s="1943"/>
      <c r="V14" s="1943"/>
      <c r="W14" s="1943"/>
      <c r="X14" s="1943"/>
      <c r="Y14" s="1943"/>
      <c r="Z14" s="1943"/>
      <c r="AA14" s="1943"/>
      <c r="AB14" s="1936">
        <f>sum(C14:AA14)</f>
        <v>0</v>
      </c>
      <c r="AC14" s="1937"/>
      <c r="AD14" s="1938"/>
    </row>
    <row r="15">
      <c r="B15" s="107"/>
      <c r="C15" s="1939"/>
      <c r="D15" s="1940"/>
      <c r="E15" s="1940"/>
      <c r="F15" s="1940"/>
      <c r="G15" s="1940"/>
      <c r="H15" s="1940"/>
      <c r="I15" s="1940"/>
      <c r="J15" s="1940"/>
      <c r="K15" s="1940"/>
      <c r="L15" s="1940"/>
      <c r="M15" s="1940"/>
      <c r="N15" s="1940"/>
      <c r="O15" s="1940"/>
      <c r="P15" s="1940"/>
      <c r="Q15" s="1940"/>
      <c r="R15" s="1940"/>
      <c r="S15" s="1940"/>
      <c r="T15" s="1940"/>
      <c r="U15" s="1940"/>
      <c r="V15" s="1940"/>
      <c r="W15" s="1940"/>
      <c r="X15" s="1940"/>
      <c r="Y15" s="1940"/>
      <c r="Z15" s="1940"/>
      <c r="AA15" s="1940"/>
      <c r="AB15" s="1941">
        <f>sum(C14:AA14)</f>
        <v>0</v>
      </c>
      <c r="AC15" s="1678"/>
      <c r="AD15" s="108"/>
    </row>
    <row r="16">
      <c r="B16" s="1933"/>
      <c r="C16" s="1942"/>
      <c r="D16" s="1943"/>
      <c r="E16" s="1943"/>
      <c r="F16" s="1943"/>
      <c r="G16" s="1943"/>
      <c r="H16" s="1943"/>
      <c r="I16" s="1943"/>
      <c r="J16" s="1943"/>
      <c r="K16" s="1943"/>
      <c r="L16" s="1943"/>
      <c r="M16" s="1943"/>
      <c r="N16" s="1943"/>
      <c r="O16" s="1943"/>
      <c r="P16" s="1943"/>
      <c r="Q16" s="1943"/>
      <c r="R16" s="1943"/>
      <c r="S16" s="1943"/>
      <c r="T16" s="1943"/>
      <c r="U16" s="1943"/>
      <c r="V16" s="1943"/>
      <c r="W16" s="1943"/>
      <c r="X16" s="1943"/>
      <c r="Y16" s="1943"/>
      <c r="Z16" s="1943"/>
      <c r="AA16" s="1943"/>
      <c r="AB16" s="1936">
        <f>sum(C16:AA16)</f>
        <v>0</v>
      </c>
      <c r="AC16" s="1937"/>
      <c r="AD16" s="1938"/>
    </row>
    <row r="17">
      <c r="B17" s="107"/>
      <c r="C17" s="1939"/>
      <c r="D17" s="1940"/>
      <c r="E17" s="1940"/>
      <c r="F17" s="1940"/>
      <c r="G17" s="1940"/>
      <c r="H17" s="1940"/>
      <c r="I17" s="1940"/>
      <c r="J17" s="1940"/>
      <c r="K17" s="1940"/>
      <c r="L17" s="1940"/>
      <c r="M17" s="1940"/>
      <c r="N17" s="1940"/>
      <c r="O17" s="1940"/>
      <c r="P17" s="1940"/>
      <c r="Q17" s="1940"/>
      <c r="R17" s="1940"/>
      <c r="S17" s="1940"/>
      <c r="T17" s="1940"/>
      <c r="U17" s="1940"/>
      <c r="V17" s="1940"/>
      <c r="W17" s="1940"/>
      <c r="X17" s="1940"/>
      <c r="Y17" s="1940"/>
      <c r="Z17" s="1940"/>
      <c r="AA17" s="1940"/>
      <c r="AB17" s="1941">
        <f>sum(C16:AA16)</f>
        <v>0</v>
      </c>
      <c r="AC17" s="1678"/>
      <c r="AD17" s="108"/>
    </row>
    <row r="18">
      <c r="B18" s="1933"/>
      <c r="C18" s="1942"/>
      <c r="D18" s="1943"/>
      <c r="E18" s="1943"/>
      <c r="F18" s="1943"/>
      <c r="G18" s="1943"/>
      <c r="H18" s="1943"/>
      <c r="I18" s="1943"/>
      <c r="J18" s="1943"/>
      <c r="K18" s="1943"/>
      <c r="L18" s="1943"/>
      <c r="M18" s="1943"/>
      <c r="N18" s="1943"/>
      <c r="O18" s="1943"/>
      <c r="P18" s="1943"/>
      <c r="Q18" s="1943"/>
      <c r="R18" s="1943"/>
      <c r="S18" s="1943"/>
      <c r="T18" s="1943"/>
      <c r="U18" s="1943"/>
      <c r="V18" s="1943"/>
      <c r="W18" s="1943"/>
      <c r="X18" s="1943"/>
      <c r="Y18" s="1943"/>
      <c r="Z18" s="1943"/>
      <c r="AA18" s="1943"/>
      <c r="AB18" s="1936">
        <f>sum(C18:AA18)</f>
        <v>0</v>
      </c>
      <c r="AC18" s="1937"/>
      <c r="AD18" s="1938"/>
    </row>
    <row r="19">
      <c r="B19" s="107"/>
      <c r="C19" s="1939"/>
      <c r="D19" s="1940"/>
      <c r="E19" s="1940"/>
      <c r="F19" s="1940"/>
      <c r="G19" s="1940"/>
      <c r="H19" s="1940"/>
      <c r="I19" s="1940"/>
      <c r="J19" s="1940"/>
      <c r="K19" s="1940"/>
      <c r="L19" s="1940"/>
      <c r="M19" s="1940"/>
      <c r="N19" s="1940"/>
      <c r="O19" s="1940"/>
      <c r="P19" s="1940"/>
      <c r="Q19" s="1940"/>
      <c r="R19" s="1940"/>
      <c r="S19" s="1940"/>
      <c r="T19" s="1940"/>
      <c r="U19" s="1940"/>
      <c r="V19" s="1940"/>
      <c r="W19" s="1940"/>
      <c r="X19" s="1940"/>
      <c r="Y19" s="1940"/>
      <c r="Z19" s="1940"/>
      <c r="AA19" s="1940"/>
      <c r="AB19" s="1941">
        <f>sum(C18:AA18)</f>
        <v>0</v>
      </c>
      <c r="AC19" s="1678"/>
      <c r="AD19" s="108"/>
    </row>
    <row r="20">
      <c r="B20" s="1933"/>
      <c r="C20" s="1942"/>
      <c r="D20" s="1943"/>
      <c r="E20" s="1943"/>
      <c r="F20" s="1943"/>
      <c r="G20" s="1943"/>
      <c r="H20" s="1943"/>
      <c r="I20" s="1943"/>
      <c r="J20" s="1943"/>
      <c r="K20" s="1943"/>
      <c r="L20" s="1943"/>
      <c r="M20" s="1943"/>
      <c r="N20" s="1943"/>
      <c r="O20" s="1943"/>
      <c r="P20" s="1943"/>
      <c r="Q20" s="1943"/>
      <c r="R20" s="1943"/>
      <c r="S20" s="1943"/>
      <c r="T20" s="1943"/>
      <c r="U20" s="1943"/>
      <c r="V20" s="1943"/>
      <c r="W20" s="1943"/>
      <c r="X20" s="1943"/>
      <c r="Y20" s="1943"/>
      <c r="Z20" s="1943"/>
      <c r="AA20" s="1943"/>
      <c r="AB20" s="1936">
        <f>sum(C20:AA20)</f>
        <v>0</v>
      </c>
      <c r="AC20" s="1937"/>
      <c r="AD20" s="1938"/>
    </row>
    <row r="21">
      <c r="B21" s="107"/>
      <c r="C21" s="1939"/>
      <c r="D21" s="1940"/>
      <c r="E21" s="1940"/>
      <c r="F21" s="1940"/>
      <c r="G21" s="1940"/>
      <c r="H21" s="1940"/>
      <c r="I21" s="1940"/>
      <c r="J21" s="1940"/>
      <c r="K21" s="1940"/>
      <c r="L21" s="1940"/>
      <c r="M21" s="1940"/>
      <c r="N21" s="1940"/>
      <c r="O21" s="1940"/>
      <c r="P21" s="1940"/>
      <c r="Q21" s="1940"/>
      <c r="R21" s="1940"/>
      <c r="S21" s="1940"/>
      <c r="T21" s="1940"/>
      <c r="U21" s="1940"/>
      <c r="V21" s="1940"/>
      <c r="W21" s="1940"/>
      <c r="X21" s="1940"/>
      <c r="Y21" s="1940"/>
      <c r="Z21" s="1940"/>
      <c r="AA21" s="1940"/>
      <c r="AB21" s="1941">
        <f>sum(C20:AA20)</f>
        <v>0</v>
      </c>
      <c r="AC21" s="1678"/>
      <c r="AD21" s="108"/>
    </row>
    <row r="22">
      <c r="B22" s="1933"/>
      <c r="C22" s="1942"/>
      <c r="D22" s="1943"/>
      <c r="E22" s="1943"/>
      <c r="F22" s="1943"/>
      <c r="G22" s="1943"/>
      <c r="H22" s="1943"/>
      <c r="I22" s="1943"/>
      <c r="J22" s="1943"/>
      <c r="K22" s="1943"/>
      <c r="L22" s="1943"/>
      <c r="M22" s="1943"/>
      <c r="N22" s="1943"/>
      <c r="O22" s="1943"/>
      <c r="P22" s="1943"/>
      <c r="Q22" s="1943"/>
      <c r="R22" s="1943"/>
      <c r="S22" s="1943"/>
      <c r="T22" s="1943"/>
      <c r="U22" s="1943"/>
      <c r="V22" s="1943"/>
      <c r="W22" s="1943"/>
      <c r="X22" s="1943"/>
      <c r="Y22" s="1943"/>
      <c r="Z22" s="1943"/>
      <c r="AA22" s="1943"/>
      <c r="AB22" s="1936">
        <f>sum(C22:AA22)</f>
        <v>0</v>
      </c>
      <c r="AC22" s="1937"/>
      <c r="AD22" s="1938"/>
    </row>
    <row r="23">
      <c r="B23" s="107"/>
      <c r="C23" s="1939"/>
      <c r="D23" s="1940"/>
      <c r="E23" s="1940"/>
      <c r="F23" s="1940"/>
      <c r="G23" s="1940"/>
      <c r="H23" s="1940"/>
      <c r="I23" s="1940"/>
      <c r="J23" s="1940"/>
      <c r="K23" s="1940"/>
      <c r="L23" s="1940"/>
      <c r="M23" s="1940"/>
      <c r="N23" s="1940"/>
      <c r="O23" s="1940"/>
      <c r="P23" s="1940"/>
      <c r="Q23" s="1940"/>
      <c r="R23" s="1940"/>
      <c r="S23" s="1940"/>
      <c r="T23" s="1940"/>
      <c r="U23" s="1940"/>
      <c r="V23" s="1940"/>
      <c r="W23" s="1940"/>
      <c r="X23" s="1940"/>
      <c r="Y23" s="1940"/>
      <c r="Z23" s="1940"/>
      <c r="AA23" s="1940"/>
      <c r="AB23" s="1941">
        <f>sum(C22:AA22)</f>
        <v>0</v>
      </c>
      <c r="AC23" s="1678"/>
      <c r="AD23" s="108"/>
    </row>
    <row r="24">
      <c r="B24" s="1933"/>
      <c r="C24" s="1942"/>
      <c r="D24" s="1943"/>
      <c r="E24" s="1943"/>
      <c r="F24" s="1943"/>
      <c r="G24" s="1943"/>
      <c r="H24" s="1943"/>
      <c r="I24" s="1943"/>
      <c r="J24" s="1943"/>
      <c r="K24" s="1943"/>
      <c r="L24" s="1943"/>
      <c r="M24" s="1943"/>
      <c r="N24" s="1943"/>
      <c r="O24" s="1943"/>
      <c r="P24" s="1943"/>
      <c r="Q24" s="1943"/>
      <c r="R24" s="1943"/>
      <c r="S24" s="1943"/>
      <c r="T24" s="1943"/>
      <c r="U24" s="1943"/>
      <c r="V24" s="1943"/>
      <c r="W24" s="1943"/>
      <c r="X24" s="1943"/>
      <c r="Y24" s="1943"/>
      <c r="Z24" s="1943"/>
      <c r="AA24" s="1943"/>
      <c r="AB24" s="1936">
        <f>sum(C24:AA24)</f>
        <v>0</v>
      </c>
      <c r="AC24" s="1937"/>
      <c r="AD24" s="1938"/>
    </row>
    <row r="25">
      <c r="B25" s="107"/>
      <c r="C25" s="1939"/>
      <c r="D25" s="1940"/>
      <c r="E25" s="1940"/>
      <c r="F25" s="1940"/>
      <c r="G25" s="1940"/>
      <c r="H25" s="1940"/>
      <c r="I25" s="1940"/>
      <c r="J25" s="1940"/>
      <c r="K25" s="1940"/>
      <c r="L25" s="1940"/>
      <c r="M25" s="1940"/>
      <c r="N25" s="1940"/>
      <c r="O25" s="1940"/>
      <c r="P25" s="1940"/>
      <c r="Q25" s="1940"/>
      <c r="R25" s="1940"/>
      <c r="S25" s="1940"/>
      <c r="T25" s="1940"/>
      <c r="U25" s="1940"/>
      <c r="V25" s="1940"/>
      <c r="W25" s="1940"/>
      <c r="X25" s="1940"/>
      <c r="Y25" s="1940"/>
      <c r="Z25" s="1940"/>
      <c r="AA25" s="1940"/>
      <c r="AB25" s="1941">
        <f>sum(C24:AA24)</f>
        <v>0</v>
      </c>
      <c r="AC25" s="1678"/>
      <c r="AD25" s="108"/>
    </row>
    <row r="26">
      <c r="B26" s="1933"/>
      <c r="C26" s="1942"/>
      <c r="D26" s="1943"/>
      <c r="E26" s="1943"/>
      <c r="F26" s="1943"/>
      <c r="G26" s="1943"/>
      <c r="H26" s="1943"/>
      <c r="I26" s="1943"/>
      <c r="J26" s="1943"/>
      <c r="K26" s="1943"/>
      <c r="L26" s="1943"/>
      <c r="M26" s="1943"/>
      <c r="N26" s="1943"/>
      <c r="O26" s="1943"/>
      <c r="P26" s="1943"/>
      <c r="Q26" s="1943"/>
      <c r="R26" s="1943"/>
      <c r="S26" s="1943"/>
      <c r="T26" s="1943"/>
      <c r="U26" s="1943"/>
      <c r="V26" s="1943"/>
      <c r="W26" s="1943"/>
      <c r="X26" s="1943"/>
      <c r="Y26" s="1943"/>
      <c r="Z26" s="1943"/>
      <c r="AA26" s="1943"/>
      <c r="AB26" s="1936">
        <f>sum(C26:AA26)</f>
        <v>0</v>
      </c>
      <c r="AC26" s="1937"/>
      <c r="AD26" s="1938"/>
    </row>
    <row r="27">
      <c r="B27" s="107"/>
      <c r="C27" s="1939"/>
      <c r="D27" s="1940"/>
      <c r="E27" s="1940"/>
      <c r="F27" s="1940"/>
      <c r="G27" s="1940"/>
      <c r="H27" s="1940"/>
      <c r="I27" s="1940"/>
      <c r="J27" s="1940"/>
      <c r="K27" s="1940"/>
      <c r="L27" s="1940"/>
      <c r="M27" s="1940"/>
      <c r="N27" s="1940"/>
      <c r="O27" s="1940"/>
      <c r="P27" s="1940"/>
      <c r="Q27" s="1940"/>
      <c r="R27" s="1940"/>
      <c r="S27" s="1940"/>
      <c r="T27" s="1940"/>
      <c r="U27" s="1940"/>
      <c r="V27" s="1940"/>
      <c r="W27" s="1940"/>
      <c r="X27" s="1940"/>
      <c r="Y27" s="1940"/>
      <c r="Z27" s="1940"/>
      <c r="AA27" s="1940"/>
      <c r="AB27" s="1941">
        <f>sum(C26:AA26)</f>
        <v>0</v>
      </c>
      <c r="AC27" s="1678"/>
      <c r="AD27" s="108"/>
    </row>
    <row r="28">
      <c r="B28" s="1933"/>
      <c r="C28" s="1942"/>
      <c r="D28" s="1943"/>
      <c r="E28" s="1943"/>
      <c r="F28" s="1943"/>
      <c r="G28" s="1943"/>
      <c r="H28" s="1943"/>
      <c r="I28" s="1943"/>
      <c r="J28" s="1943"/>
      <c r="K28" s="1943"/>
      <c r="L28" s="1943"/>
      <c r="M28" s="1943"/>
      <c r="N28" s="1943"/>
      <c r="O28" s="1943"/>
      <c r="P28" s="1943"/>
      <c r="Q28" s="1943"/>
      <c r="R28" s="1943"/>
      <c r="S28" s="1943"/>
      <c r="T28" s="1943"/>
      <c r="U28" s="1943"/>
      <c r="V28" s="1943"/>
      <c r="W28" s="1943"/>
      <c r="X28" s="1943"/>
      <c r="Y28" s="1943"/>
      <c r="Z28" s="1943"/>
      <c r="AA28" s="1943"/>
      <c r="AB28" s="1936">
        <f>sum(C28:AA28)</f>
        <v>0</v>
      </c>
      <c r="AC28" s="1937"/>
      <c r="AD28" s="1938"/>
    </row>
    <row r="29">
      <c r="B29" s="107"/>
      <c r="C29" s="1939"/>
      <c r="D29" s="1940"/>
      <c r="E29" s="1940"/>
      <c r="F29" s="1940"/>
      <c r="G29" s="1940"/>
      <c r="H29" s="1940"/>
      <c r="I29" s="1940"/>
      <c r="J29" s="1940"/>
      <c r="K29" s="1940"/>
      <c r="L29" s="1940"/>
      <c r="M29" s="1940"/>
      <c r="N29" s="1940"/>
      <c r="O29" s="1940"/>
      <c r="P29" s="1940"/>
      <c r="Q29" s="1940"/>
      <c r="R29" s="1940"/>
      <c r="S29" s="1940"/>
      <c r="T29" s="1940"/>
      <c r="U29" s="1940"/>
      <c r="V29" s="1940"/>
      <c r="W29" s="1940"/>
      <c r="X29" s="1940"/>
      <c r="Y29" s="1940"/>
      <c r="Z29" s="1940"/>
      <c r="AA29" s="1940"/>
      <c r="AB29" s="1941">
        <f>sum(C28:AA28)</f>
        <v>0</v>
      </c>
      <c r="AC29" s="1678"/>
      <c r="AD29" s="108"/>
    </row>
    <row r="30">
      <c r="B30" s="1933"/>
      <c r="C30" s="1942"/>
      <c r="D30" s="1943"/>
      <c r="E30" s="1943"/>
      <c r="F30" s="1943"/>
      <c r="G30" s="1943"/>
      <c r="H30" s="1943"/>
      <c r="I30" s="1943"/>
      <c r="J30" s="1943"/>
      <c r="K30" s="1943"/>
      <c r="L30" s="1943"/>
      <c r="M30" s="1943"/>
      <c r="N30" s="1943"/>
      <c r="O30" s="1943"/>
      <c r="P30" s="1943"/>
      <c r="Q30" s="1943"/>
      <c r="R30" s="1943"/>
      <c r="S30" s="1943"/>
      <c r="T30" s="1943"/>
      <c r="U30" s="1943"/>
      <c r="V30" s="1943"/>
      <c r="W30" s="1943"/>
      <c r="X30" s="1943"/>
      <c r="Y30" s="1943"/>
      <c r="Z30" s="1943"/>
      <c r="AA30" s="1943"/>
      <c r="AB30" s="1936">
        <f>sum(C30:AA30)</f>
        <v>0</v>
      </c>
      <c r="AC30" s="1937"/>
      <c r="AD30" s="1938"/>
    </row>
    <row r="31">
      <c r="B31" s="107"/>
      <c r="C31" s="1939"/>
      <c r="D31" s="1940"/>
      <c r="E31" s="1940"/>
      <c r="F31" s="1940"/>
      <c r="G31" s="1940"/>
      <c r="H31" s="1940"/>
      <c r="I31" s="1940"/>
      <c r="J31" s="1940"/>
      <c r="K31" s="1940"/>
      <c r="L31" s="1940"/>
      <c r="M31" s="1940"/>
      <c r="N31" s="1940"/>
      <c r="O31" s="1940"/>
      <c r="P31" s="1940"/>
      <c r="Q31" s="1940"/>
      <c r="R31" s="1940"/>
      <c r="S31" s="1940"/>
      <c r="T31" s="1940"/>
      <c r="U31" s="1940"/>
      <c r="V31" s="1940"/>
      <c r="W31" s="1940"/>
      <c r="X31" s="1940"/>
      <c r="Y31" s="1940"/>
      <c r="Z31" s="1940"/>
      <c r="AA31" s="1940"/>
      <c r="AB31" s="1941">
        <f>sum(C30:AA30)</f>
        <v>0</v>
      </c>
      <c r="AC31" s="1678"/>
      <c r="AD31" s="108"/>
    </row>
    <row r="32">
      <c r="B32" s="1933"/>
      <c r="C32" s="1942"/>
      <c r="D32" s="1943"/>
      <c r="E32" s="1943"/>
      <c r="F32" s="1943"/>
      <c r="G32" s="1943"/>
      <c r="H32" s="1943"/>
      <c r="I32" s="1943"/>
      <c r="J32" s="1943"/>
      <c r="K32" s="1943"/>
      <c r="L32" s="1943"/>
      <c r="M32" s="1943"/>
      <c r="N32" s="1943"/>
      <c r="O32" s="1943"/>
      <c r="P32" s="1943"/>
      <c r="Q32" s="1943"/>
      <c r="R32" s="1943"/>
      <c r="S32" s="1943"/>
      <c r="T32" s="1943"/>
      <c r="U32" s="1943"/>
      <c r="V32" s="1943"/>
      <c r="W32" s="1943"/>
      <c r="X32" s="1943"/>
      <c r="Y32" s="1943"/>
      <c r="Z32" s="1943"/>
      <c r="AA32" s="1943"/>
      <c r="AB32" s="1936">
        <f>sum(C32:AA32)</f>
        <v>0</v>
      </c>
      <c r="AC32" s="1937"/>
      <c r="AD32" s="1938"/>
    </row>
    <row r="33">
      <c r="B33" s="107"/>
      <c r="C33" s="1939"/>
      <c r="D33" s="1940"/>
      <c r="E33" s="1940"/>
      <c r="F33" s="1940"/>
      <c r="G33" s="1940"/>
      <c r="H33" s="1940"/>
      <c r="I33" s="1940"/>
      <c r="J33" s="1940"/>
      <c r="K33" s="1940"/>
      <c r="L33" s="1940"/>
      <c r="M33" s="1940"/>
      <c r="N33" s="1940"/>
      <c r="O33" s="1940"/>
      <c r="P33" s="1940"/>
      <c r="Q33" s="1940"/>
      <c r="R33" s="1940"/>
      <c r="S33" s="1940"/>
      <c r="T33" s="1940"/>
      <c r="U33" s="1940"/>
      <c r="V33" s="1940"/>
      <c r="W33" s="1940"/>
      <c r="X33" s="1940"/>
      <c r="Y33" s="1940"/>
      <c r="Z33" s="1940"/>
      <c r="AA33" s="1940"/>
      <c r="AB33" s="1941">
        <f>sum(C32:AA32)</f>
        <v>0</v>
      </c>
      <c r="AC33" s="1678"/>
      <c r="AD33" s="108"/>
    </row>
    <row r="34">
      <c r="B34" s="1933"/>
      <c r="C34" s="1942"/>
      <c r="D34" s="1943"/>
      <c r="E34" s="1943"/>
      <c r="F34" s="1943"/>
      <c r="G34" s="1943"/>
      <c r="H34" s="1943"/>
      <c r="I34" s="1943"/>
      <c r="J34" s="1943"/>
      <c r="K34" s="1943"/>
      <c r="L34" s="1943"/>
      <c r="M34" s="1943"/>
      <c r="N34" s="1943"/>
      <c r="O34" s="1943"/>
      <c r="P34" s="1943"/>
      <c r="Q34" s="1943"/>
      <c r="R34" s="1943"/>
      <c r="S34" s="1943"/>
      <c r="T34" s="1943"/>
      <c r="U34" s="1943"/>
      <c r="V34" s="1943"/>
      <c r="W34" s="1943"/>
      <c r="X34" s="1943"/>
      <c r="Y34" s="1943"/>
      <c r="Z34" s="1943"/>
      <c r="AA34" s="1943"/>
      <c r="AB34" s="1936">
        <f>sum(C34:AA34)</f>
        <v>0</v>
      </c>
      <c r="AC34" s="1937"/>
      <c r="AD34" s="1938"/>
    </row>
    <row r="35">
      <c r="B35" s="107"/>
      <c r="C35" s="1939"/>
      <c r="D35" s="1940"/>
      <c r="E35" s="1940"/>
      <c r="F35" s="1940"/>
      <c r="G35" s="1940"/>
      <c r="H35" s="1940"/>
      <c r="I35" s="1940"/>
      <c r="J35" s="1940"/>
      <c r="K35" s="1940"/>
      <c r="L35" s="1940"/>
      <c r="M35" s="1940"/>
      <c r="N35" s="1940"/>
      <c r="O35" s="1940"/>
      <c r="P35" s="1940"/>
      <c r="Q35" s="1940"/>
      <c r="R35" s="1940"/>
      <c r="S35" s="1940"/>
      <c r="T35" s="1940"/>
      <c r="U35" s="1940"/>
      <c r="V35" s="1940"/>
      <c r="W35" s="1940"/>
      <c r="X35" s="1940"/>
      <c r="Y35" s="1940"/>
      <c r="Z35" s="1940"/>
      <c r="AA35" s="1940"/>
      <c r="AB35" s="1941">
        <f>sum(C34:AA34)</f>
        <v>0</v>
      </c>
      <c r="AC35" s="1678"/>
      <c r="AD35" s="108"/>
    </row>
    <row r="36">
      <c r="B36" s="1933"/>
      <c r="C36" s="1942"/>
      <c r="D36" s="1943"/>
      <c r="E36" s="1943"/>
      <c r="F36" s="1943"/>
      <c r="G36" s="1943"/>
      <c r="H36" s="1943"/>
      <c r="I36" s="1943"/>
      <c r="J36" s="1943"/>
      <c r="K36" s="1943"/>
      <c r="L36" s="1943"/>
      <c r="M36" s="1943"/>
      <c r="N36" s="1943"/>
      <c r="O36" s="1943"/>
      <c r="P36" s="1943"/>
      <c r="Q36" s="1943"/>
      <c r="R36" s="1943"/>
      <c r="S36" s="1943"/>
      <c r="T36" s="1943"/>
      <c r="U36" s="1943"/>
      <c r="V36" s="1943"/>
      <c r="W36" s="1943"/>
      <c r="X36" s="1943"/>
      <c r="Y36" s="1943"/>
      <c r="Z36" s="1943"/>
      <c r="AA36" s="1943"/>
      <c r="AB36" s="1936">
        <f>sum(C36:AA36)</f>
        <v>0</v>
      </c>
      <c r="AC36" s="1937"/>
      <c r="AD36" s="1938"/>
    </row>
    <row r="37">
      <c r="B37" s="79"/>
      <c r="C37" s="1939"/>
      <c r="D37" s="1940"/>
      <c r="E37" s="1940"/>
      <c r="F37" s="1940"/>
      <c r="G37" s="1940"/>
      <c r="H37" s="1940"/>
      <c r="I37" s="1940"/>
      <c r="J37" s="1940"/>
      <c r="K37" s="1940"/>
      <c r="L37" s="1940"/>
      <c r="M37" s="1940"/>
      <c r="N37" s="1940"/>
      <c r="O37" s="1940"/>
      <c r="P37" s="1940"/>
      <c r="Q37" s="1940"/>
      <c r="R37" s="1940"/>
      <c r="S37" s="1940"/>
      <c r="T37" s="1940"/>
      <c r="U37" s="1940"/>
      <c r="V37" s="1940"/>
      <c r="W37" s="1940"/>
      <c r="X37" s="1940"/>
      <c r="Y37" s="1940"/>
      <c r="Z37" s="1940"/>
      <c r="AA37" s="1940"/>
      <c r="AB37" s="1941">
        <f>sum(C36:AA36)</f>
        <v>0</v>
      </c>
      <c r="AC37" s="1684"/>
      <c r="AD37" s="115"/>
    </row>
    <row r="38">
      <c r="B38" s="1944" t="s">
        <v>3336</v>
      </c>
      <c r="C38" s="1945">
        <f t="shared" ref="C38:AB38" si="1">C36+C34+C32+C30+C28+C26+C24+C22+C20+C18+C16+C14+C12+C10</f>
        <v>0</v>
      </c>
      <c r="D38" s="1945">
        <f t="shared" si="1"/>
        <v>0</v>
      </c>
      <c r="E38" s="1945">
        <f t="shared" si="1"/>
        <v>0</v>
      </c>
      <c r="F38" s="1945">
        <f t="shared" si="1"/>
        <v>0</v>
      </c>
      <c r="G38" s="1945">
        <f t="shared" si="1"/>
        <v>0</v>
      </c>
      <c r="H38" s="1945">
        <f t="shared" si="1"/>
        <v>0</v>
      </c>
      <c r="I38" s="1945">
        <f t="shared" si="1"/>
        <v>0</v>
      </c>
      <c r="J38" s="1945">
        <f t="shared" si="1"/>
        <v>0</v>
      </c>
      <c r="K38" s="1945">
        <f t="shared" si="1"/>
        <v>0</v>
      </c>
      <c r="L38" s="1945">
        <f t="shared" si="1"/>
        <v>0</v>
      </c>
      <c r="M38" s="1945">
        <f t="shared" si="1"/>
        <v>0</v>
      </c>
      <c r="N38" s="1945">
        <f t="shared" si="1"/>
        <v>0</v>
      </c>
      <c r="O38" s="1945">
        <f t="shared" si="1"/>
        <v>0</v>
      </c>
      <c r="P38" s="1945">
        <f t="shared" si="1"/>
        <v>0</v>
      </c>
      <c r="Q38" s="1945">
        <f t="shared" si="1"/>
        <v>0</v>
      </c>
      <c r="R38" s="1945">
        <f t="shared" si="1"/>
        <v>0</v>
      </c>
      <c r="S38" s="1945">
        <f t="shared" si="1"/>
        <v>0</v>
      </c>
      <c r="T38" s="1945">
        <f t="shared" si="1"/>
        <v>0</v>
      </c>
      <c r="U38" s="1945">
        <f t="shared" si="1"/>
        <v>0</v>
      </c>
      <c r="V38" s="1945">
        <f t="shared" si="1"/>
        <v>0</v>
      </c>
      <c r="W38" s="1945">
        <f t="shared" si="1"/>
        <v>0</v>
      </c>
      <c r="X38" s="1945">
        <f t="shared" si="1"/>
        <v>0</v>
      </c>
      <c r="Y38" s="1945">
        <f t="shared" si="1"/>
        <v>0</v>
      </c>
      <c r="Z38" s="1945">
        <f t="shared" si="1"/>
        <v>0</v>
      </c>
      <c r="AA38" s="1945">
        <f t="shared" si="1"/>
        <v>0</v>
      </c>
      <c r="AB38" s="1945">
        <f t="shared" si="1"/>
        <v>0</v>
      </c>
      <c r="AC38" s="1946">
        <f>sum(AC10:AC37)</f>
        <v>0</v>
      </c>
      <c r="AD38" s="1947"/>
    </row>
    <row r="39">
      <c r="B39" s="1948" t="s">
        <v>3337</v>
      </c>
      <c r="C39" s="77"/>
      <c r="D39" s="77"/>
      <c r="E39" s="77"/>
      <c r="F39" s="77"/>
      <c r="G39" s="77"/>
      <c r="H39" s="77"/>
      <c r="I39" s="77"/>
      <c r="J39" s="77"/>
      <c r="K39" s="77"/>
      <c r="L39" s="77"/>
      <c r="M39" s="77"/>
      <c r="N39" s="77"/>
      <c r="O39" s="77"/>
      <c r="P39" s="77"/>
      <c r="Q39" s="77"/>
      <c r="R39" s="77"/>
      <c r="S39" s="77"/>
      <c r="T39" s="77"/>
      <c r="U39" s="77"/>
      <c r="V39" s="77"/>
      <c r="W39" s="77"/>
      <c r="X39" s="77"/>
      <c r="Y39" s="77"/>
      <c r="Z39" s="77"/>
      <c r="AA39" s="77"/>
      <c r="AB39" s="77"/>
      <c r="AC39" s="77"/>
      <c r="AD39" s="78"/>
    </row>
    <row r="40">
      <c r="B40" s="1920"/>
      <c r="C40" s="165"/>
      <c r="D40" s="165"/>
      <c r="E40" s="165"/>
      <c r="F40" s="165"/>
      <c r="G40" s="165"/>
      <c r="H40" s="165"/>
      <c r="I40" s="165"/>
      <c r="J40" s="165"/>
      <c r="K40" s="165"/>
      <c r="L40" s="165"/>
      <c r="M40" s="165"/>
      <c r="N40" s="165"/>
      <c r="O40" s="165"/>
      <c r="P40" s="165"/>
      <c r="Q40" s="165"/>
      <c r="R40" s="165"/>
      <c r="S40" s="165"/>
      <c r="T40" s="165"/>
      <c r="U40" s="165"/>
      <c r="V40" s="165"/>
      <c r="W40" s="165"/>
      <c r="X40" s="165"/>
      <c r="Y40" s="165"/>
      <c r="Z40" s="165"/>
      <c r="AA40" s="165"/>
      <c r="AB40" s="165"/>
      <c r="AC40" s="165"/>
      <c r="AD40" s="517"/>
    </row>
    <row r="41">
      <c r="B41" s="107"/>
      <c r="AD41" s="108"/>
    </row>
    <row r="42">
      <c r="B42" s="79"/>
      <c r="C42" s="113"/>
      <c r="D42" s="113"/>
      <c r="E42" s="113"/>
      <c r="F42" s="113"/>
      <c r="G42" s="113"/>
      <c r="H42" s="113"/>
      <c r="I42" s="113"/>
      <c r="J42" s="113"/>
      <c r="K42" s="113"/>
      <c r="L42" s="113"/>
      <c r="M42" s="113"/>
      <c r="N42" s="113"/>
      <c r="O42" s="113"/>
      <c r="P42" s="113"/>
      <c r="Q42" s="113"/>
      <c r="R42" s="113"/>
      <c r="S42" s="113"/>
      <c r="T42" s="113"/>
      <c r="U42" s="113"/>
      <c r="V42" s="113"/>
      <c r="W42" s="113"/>
      <c r="X42" s="113"/>
      <c r="Y42" s="113"/>
      <c r="Z42" s="113"/>
      <c r="AA42" s="113"/>
      <c r="AB42" s="113"/>
      <c r="AC42" s="113"/>
      <c r="AD42" s="115"/>
    </row>
    <row r="43">
      <c r="B43" s="41" t="s">
        <v>3338</v>
      </c>
    </row>
  </sheetData>
  <mergeCells count="82">
    <mergeCell ref="B2:D2"/>
    <mergeCell ref="B4:B9"/>
    <mergeCell ref="C5:C9"/>
    <mergeCell ref="D5:D9"/>
    <mergeCell ref="E5:E9"/>
    <mergeCell ref="F5:F9"/>
    <mergeCell ref="G5:G9"/>
    <mergeCell ref="H5:H9"/>
    <mergeCell ref="I5:I9"/>
    <mergeCell ref="J5:J9"/>
    <mergeCell ref="K5:K9"/>
    <mergeCell ref="L5:L9"/>
    <mergeCell ref="M5:M9"/>
    <mergeCell ref="N5:N9"/>
    <mergeCell ref="O5:O9"/>
    <mergeCell ref="P5:P9"/>
    <mergeCell ref="AB2:AD2"/>
    <mergeCell ref="AB4:AB9"/>
    <mergeCell ref="AC4:AC9"/>
    <mergeCell ref="AD4:AD9"/>
    <mergeCell ref="AC10:AC11"/>
    <mergeCell ref="AD10:AD11"/>
    <mergeCell ref="AD12:AD13"/>
    <mergeCell ref="AC12:AC13"/>
    <mergeCell ref="AC14:AC15"/>
    <mergeCell ref="AD14:AD15"/>
    <mergeCell ref="AC24:AC25"/>
    <mergeCell ref="AD24:AD25"/>
    <mergeCell ref="AC26:AC27"/>
    <mergeCell ref="AD26:AD27"/>
    <mergeCell ref="AC34:AC35"/>
    <mergeCell ref="AC36:AC37"/>
    <mergeCell ref="AC28:AC29"/>
    <mergeCell ref="AD28:AD29"/>
    <mergeCell ref="AC30:AC31"/>
    <mergeCell ref="AD30:AD31"/>
    <mergeCell ref="AC32:AC33"/>
    <mergeCell ref="AD32:AD33"/>
    <mergeCell ref="AD34:AD35"/>
    <mergeCell ref="AD36:AD37"/>
    <mergeCell ref="B22:B23"/>
    <mergeCell ref="B24:B25"/>
    <mergeCell ref="B26:B27"/>
    <mergeCell ref="B28:B29"/>
    <mergeCell ref="B30:B31"/>
    <mergeCell ref="B32:B33"/>
    <mergeCell ref="B34:B35"/>
    <mergeCell ref="B36:B37"/>
    <mergeCell ref="A1:A43"/>
    <mergeCell ref="B10:B11"/>
    <mergeCell ref="B12:B13"/>
    <mergeCell ref="B14:B15"/>
    <mergeCell ref="B16:B17"/>
    <mergeCell ref="B18:B19"/>
    <mergeCell ref="B20:B21"/>
    <mergeCell ref="Q5:Q9"/>
    <mergeCell ref="R5:R9"/>
    <mergeCell ref="S5:S9"/>
    <mergeCell ref="T5:T9"/>
    <mergeCell ref="U5:U9"/>
    <mergeCell ref="V5:V9"/>
    <mergeCell ref="W5:W9"/>
    <mergeCell ref="X5:X9"/>
    <mergeCell ref="B1:AD1"/>
    <mergeCell ref="E2:J2"/>
    <mergeCell ref="K2:Q2"/>
    <mergeCell ref="V2:AA2"/>
    <mergeCell ref="B3:AD3"/>
    <mergeCell ref="C4:AA4"/>
    <mergeCell ref="AA5:AA9"/>
    <mergeCell ref="AC20:AC21"/>
    <mergeCell ref="AC22:AC23"/>
    <mergeCell ref="AD22:AD23"/>
    <mergeCell ref="B39:AD39"/>
    <mergeCell ref="B40:AD42"/>
    <mergeCell ref="Y5:Y9"/>
    <mergeCell ref="Z5:Z9"/>
    <mergeCell ref="AC16:AC17"/>
    <mergeCell ref="AD16:AD17"/>
    <mergeCell ref="AC18:AC19"/>
    <mergeCell ref="AD18:AD19"/>
    <mergeCell ref="AD20:AD21"/>
  </mergeCells>
  <printOptions horizontalCentered="1"/>
  <pageMargins bottom="0.75" footer="0.0" header="0.0" left="0.25" right="0.25" top="0.75"/>
  <pageSetup orientation="landscape" pageOrder="overThenDown"/>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5"/>
    <col customWidth="1" min="2" max="2" width="10.13"/>
  </cols>
  <sheetData>
    <row r="1">
      <c r="A1" s="1099" t="s">
        <v>3339</v>
      </c>
    </row>
    <row r="2">
      <c r="A2" s="1949" t="s">
        <v>3340</v>
      </c>
      <c r="B2" s="1949" t="s">
        <v>3341</v>
      </c>
    </row>
    <row r="3">
      <c r="A3" s="41" t="s">
        <v>3342</v>
      </c>
      <c r="B3" s="1029">
        <v>0.0</v>
      </c>
    </row>
    <row r="4">
      <c r="A4" s="41" t="s">
        <v>3343</v>
      </c>
      <c r="B4" s="41">
        <v>0.0</v>
      </c>
    </row>
    <row r="5">
      <c r="A5" s="41" t="s">
        <v>3344</v>
      </c>
      <c r="B5" s="41">
        <v>0.0</v>
      </c>
    </row>
    <row r="6">
      <c r="A6" s="41" t="s">
        <v>3345</v>
      </c>
      <c r="B6" s="41">
        <v>0.0</v>
      </c>
    </row>
    <row r="7">
      <c r="A7" s="41" t="s">
        <v>3346</v>
      </c>
      <c r="B7" s="41">
        <v>0.0</v>
      </c>
    </row>
    <row r="8">
      <c r="A8" s="41" t="s">
        <v>3347</v>
      </c>
      <c r="B8" s="41">
        <v>0.0</v>
      </c>
    </row>
    <row r="9">
      <c r="A9" s="41" t="s">
        <v>3348</v>
      </c>
      <c r="B9" s="1029">
        <v>3.0</v>
      </c>
    </row>
    <row r="10">
      <c r="A10" s="41" t="s">
        <v>3349</v>
      </c>
      <c r="B10" s="1029">
        <v>0.0</v>
      </c>
    </row>
    <row r="11">
      <c r="A11" s="41" t="s">
        <v>3350</v>
      </c>
      <c r="B11" s="1029">
        <v>0.0</v>
      </c>
    </row>
    <row r="12">
      <c r="A12" s="41" t="s">
        <v>3351</v>
      </c>
      <c r="B12" s="1029">
        <v>0.0</v>
      </c>
    </row>
    <row r="13">
      <c r="A13" s="41" t="s">
        <v>3201</v>
      </c>
      <c r="B13" s="1029">
        <v>0.0</v>
      </c>
    </row>
    <row r="14">
      <c r="A14" s="41" t="s">
        <v>3352</v>
      </c>
      <c r="B14" s="1029">
        <v>0.0</v>
      </c>
    </row>
    <row r="15">
      <c r="A15" s="41" t="s">
        <v>2238</v>
      </c>
      <c r="B15" s="1029">
        <v>5.0</v>
      </c>
    </row>
    <row r="18">
      <c r="A18" s="41" t="s">
        <v>3353</v>
      </c>
      <c r="B18">
        <f>sum(B3:B17)</f>
        <v>8</v>
      </c>
    </row>
    <row r="19">
      <c r="A19" s="41" t="s">
        <v>3354</v>
      </c>
    </row>
    <row r="20">
      <c r="A20" s="1950">
        <v>0.15</v>
      </c>
      <c r="B20">
        <f>roundup(B18 * A20)</f>
        <v>2</v>
      </c>
    </row>
    <row r="21">
      <c r="A21" s="41" t="s">
        <v>3355</v>
      </c>
      <c r="B21">
        <f>B18 + B20</f>
        <v>10</v>
      </c>
    </row>
  </sheetData>
  <mergeCells count="1">
    <mergeCell ref="A1:B1"/>
  </mergeCells>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8.5"/>
  </cols>
  <sheetData>
    <row r="1">
      <c r="A1" s="41" t="s">
        <v>517</v>
      </c>
      <c r="B1" s="41" t="s">
        <v>3356</v>
      </c>
    </row>
    <row r="2">
      <c r="A2" s="41" t="s">
        <v>2690</v>
      </c>
      <c r="B2" s="41" t="s">
        <v>3357</v>
      </c>
    </row>
    <row r="3">
      <c r="A3" s="41" t="s">
        <v>521</v>
      </c>
      <c r="B3" s="41" t="s">
        <v>3358</v>
      </c>
    </row>
    <row r="4">
      <c r="A4" s="41" t="s">
        <v>2691</v>
      </c>
      <c r="B4" s="41" t="s">
        <v>3359</v>
      </c>
    </row>
    <row r="5">
      <c r="A5" s="41" t="s">
        <v>2206</v>
      </c>
      <c r="B5" s="41" t="s">
        <v>3360</v>
      </c>
    </row>
    <row r="6">
      <c r="A6" s="41" t="s">
        <v>2203</v>
      </c>
      <c r="B6" s="41" t="s">
        <v>3361</v>
      </c>
    </row>
    <row r="7">
      <c r="A7" s="41" t="s">
        <v>2692</v>
      </c>
      <c r="B7" s="41" t="s">
        <v>3362</v>
      </c>
    </row>
    <row r="8">
      <c r="A8" s="41" t="s">
        <v>2693</v>
      </c>
      <c r="B8" s="41" t="s">
        <v>3363</v>
      </c>
    </row>
    <row r="9">
      <c r="A9" s="41" t="s">
        <v>198</v>
      </c>
      <c r="B9" s="41" t="s">
        <v>3364</v>
      </c>
    </row>
    <row r="10">
      <c r="A10" s="41" t="s">
        <v>2694</v>
      </c>
      <c r="B10" s="41" t="s">
        <v>3365</v>
      </c>
    </row>
    <row r="11">
      <c r="A11" s="41" t="s">
        <v>2695</v>
      </c>
      <c r="B11" s="41" t="s">
        <v>3366</v>
      </c>
    </row>
    <row r="12">
      <c r="A12" s="41" t="s">
        <v>3367</v>
      </c>
      <c r="B12" s="41" t="s">
        <v>3368</v>
      </c>
    </row>
    <row r="13">
      <c r="A13" s="41" t="s">
        <v>355</v>
      </c>
      <c r="B13" s="41" t="s">
        <v>3369</v>
      </c>
    </row>
    <row r="14">
      <c r="A14" s="41" t="s">
        <v>2285</v>
      </c>
      <c r="B14" s="41" t="s">
        <v>3370</v>
      </c>
    </row>
    <row r="15">
      <c r="A15" s="41" t="s">
        <v>2213</v>
      </c>
      <c r="B15" s="41" t="s">
        <v>3371</v>
      </c>
    </row>
    <row r="16">
      <c r="A16" s="41" t="s">
        <v>2211</v>
      </c>
      <c r="B16" s="41" t="s">
        <v>3372</v>
      </c>
    </row>
    <row r="17">
      <c r="A17" s="41" t="s">
        <v>3373</v>
      </c>
      <c r="B17" s="41" t="s">
        <v>3374</v>
      </c>
    </row>
    <row r="18">
      <c r="A18" s="41" t="s">
        <v>3375</v>
      </c>
      <c r="B18" s="41" t="s">
        <v>3376</v>
      </c>
    </row>
    <row r="19">
      <c r="A19" s="41" t="s">
        <v>2201</v>
      </c>
      <c r="B19" s="41" t="s">
        <v>3377</v>
      </c>
    </row>
    <row r="20">
      <c r="A20" s="41" t="s">
        <v>2202</v>
      </c>
      <c r="B20" s="41" t="s">
        <v>3378</v>
      </c>
    </row>
    <row r="21">
      <c r="A21" s="41" t="s">
        <v>2209</v>
      </c>
      <c r="B21" s="41" t="s">
        <v>3379</v>
      </c>
    </row>
    <row r="22">
      <c r="A22" s="41" t="s">
        <v>363</v>
      </c>
      <c r="B22" s="41" t="s">
        <v>3380</v>
      </c>
    </row>
    <row r="23">
      <c r="A23" s="41" t="s">
        <v>3381</v>
      </c>
      <c r="B23" s="41" t="s">
        <v>3382</v>
      </c>
    </row>
    <row r="24">
      <c r="A24" s="41" t="s">
        <v>400</v>
      </c>
      <c r="B24" s="41" t="s">
        <v>3383</v>
      </c>
    </row>
    <row r="25">
      <c r="A25" s="41" t="s">
        <v>2208</v>
      </c>
      <c r="B25" s="41" t="s">
        <v>3384</v>
      </c>
    </row>
    <row r="26">
      <c r="A26" s="41" t="s">
        <v>3385</v>
      </c>
      <c r="B26" s="41" t="s">
        <v>3386</v>
      </c>
    </row>
    <row r="27">
      <c r="A27" s="41" t="s">
        <v>3387</v>
      </c>
      <c r="B27" s="41" t="s">
        <v>3388</v>
      </c>
    </row>
    <row r="28">
      <c r="A28" s="41" t="s">
        <v>3389</v>
      </c>
      <c r="B28" s="41" t="s">
        <v>3390</v>
      </c>
    </row>
    <row r="29">
      <c r="A29" s="41" t="s">
        <v>3391</v>
      </c>
      <c r="B29" s="41" t="s">
        <v>3392</v>
      </c>
    </row>
    <row r="30">
      <c r="A30" s="41" t="s">
        <v>3393</v>
      </c>
      <c r="B30" s="41" t="s">
        <v>3394</v>
      </c>
    </row>
    <row r="31">
      <c r="A31" s="41" t="s">
        <v>3395</v>
      </c>
      <c r="B31" s="41" t="s">
        <v>3396</v>
      </c>
    </row>
    <row r="32">
      <c r="A32" s="41" t="s">
        <v>3397</v>
      </c>
      <c r="B32" s="41" t="s">
        <v>3398</v>
      </c>
    </row>
    <row r="33">
      <c r="A33" s="41" t="s">
        <v>3399</v>
      </c>
      <c r="B33" s="41" t="s">
        <v>3400</v>
      </c>
    </row>
    <row r="34">
      <c r="A34" s="41" t="s">
        <v>3401</v>
      </c>
      <c r="B34" s="41" t="s">
        <v>3402</v>
      </c>
    </row>
    <row r="35">
      <c r="A35" s="41" t="s">
        <v>356</v>
      </c>
      <c r="B35" s="41" t="s">
        <v>3403</v>
      </c>
    </row>
    <row r="36">
      <c r="A36" s="41" t="s">
        <v>3404</v>
      </c>
      <c r="B36" s="41" t="s">
        <v>3405</v>
      </c>
    </row>
    <row r="37">
      <c r="A37" s="41" t="s">
        <v>3406</v>
      </c>
      <c r="B37" s="41" t="s">
        <v>3407</v>
      </c>
    </row>
    <row r="38">
      <c r="A38" s="41" t="s">
        <v>3408</v>
      </c>
      <c r="B38" s="41" t="s">
        <v>3409</v>
      </c>
    </row>
    <row r="39">
      <c r="A39" s="41" t="s">
        <v>3410</v>
      </c>
      <c r="B39" s="41" t="s">
        <v>3411</v>
      </c>
    </row>
    <row r="40">
      <c r="A40" s="41" t="s">
        <v>3412</v>
      </c>
      <c r="B40" s="41" t="s">
        <v>3413</v>
      </c>
    </row>
    <row r="41">
      <c r="A41" s="41" t="s">
        <v>3414</v>
      </c>
      <c r="B41" s="41" t="s">
        <v>3415</v>
      </c>
    </row>
    <row r="42">
      <c r="A42" s="41" t="s">
        <v>3416</v>
      </c>
      <c r="B42" s="41" t="s">
        <v>3417</v>
      </c>
    </row>
    <row r="43">
      <c r="A43" s="41" t="s">
        <v>3418</v>
      </c>
      <c r="B43" s="41" t="s">
        <v>3419</v>
      </c>
    </row>
    <row r="44">
      <c r="A44" s="41" t="s">
        <v>3420</v>
      </c>
      <c r="B44" s="41" t="s">
        <v>3421</v>
      </c>
    </row>
    <row r="45">
      <c r="A45" s="41" t="s">
        <v>3422</v>
      </c>
      <c r="B45" s="41" t="s">
        <v>3423</v>
      </c>
    </row>
    <row r="46">
      <c r="A46" s="41" t="s">
        <v>3424</v>
      </c>
      <c r="B46" s="41" t="s">
        <v>3425</v>
      </c>
    </row>
    <row r="47">
      <c r="A47" s="41" t="s">
        <v>3426</v>
      </c>
      <c r="B47" s="41" t="s">
        <v>3427</v>
      </c>
    </row>
    <row r="48">
      <c r="A48" s="41" t="s">
        <v>3428</v>
      </c>
      <c r="B48" s="41" t="s">
        <v>3429</v>
      </c>
    </row>
    <row r="49">
      <c r="A49" s="41" t="s">
        <v>3430</v>
      </c>
      <c r="B49" s="41" t="s">
        <v>3431</v>
      </c>
    </row>
    <row r="50">
      <c r="A50" s="41" t="s">
        <v>3432</v>
      </c>
      <c r="B50" s="41" t="s">
        <v>3433</v>
      </c>
    </row>
    <row r="51">
      <c r="A51" s="41" t="s">
        <v>3434</v>
      </c>
      <c r="B51" s="41" t="s">
        <v>3435</v>
      </c>
    </row>
    <row r="52">
      <c r="A52" s="41" t="s">
        <v>3436</v>
      </c>
      <c r="B52" s="41" t="s">
        <v>3437</v>
      </c>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9.38"/>
    <col customWidth="1" min="2" max="2" width="12.13"/>
    <col customWidth="1" min="3" max="3" width="5.13"/>
    <col customWidth="1" min="4" max="4" width="4.0"/>
    <col customWidth="1" min="5" max="5" width="10.13"/>
    <col customWidth="1" min="6" max="6" width="9.63"/>
    <col customWidth="1" min="7" max="7" width="10.13"/>
    <col customWidth="1" min="8" max="8" width="12.88"/>
    <col customWidth="1" min="9" max="9" width="10.63"/>
    <col customWidth="1" min="10" max="10" width="16.88"/>
  </cols>
  <sheetData>
    <row r="1" ht="13.5" customHeight="1">
      <c r="A1" s="418"/>
      <c r="B1" s="418"/>
      <c r="C1" s="418"/>
      <c r="D1" s="418"/>
      <c r="E1" s="419" t="s">
        <v>413</v>
      </c>
      <c r="F1" s="77"/>
      <c r="G1" s="77"/>
      <c r="H1" s="77"/>
      <c r="I1" s="418"/>
      <c r="J1" s="77"/>
    </row>
    <row r="2" ht="13.5" customHeight="1">
      <c r="A2" s="399" t="s">
        <v>282</v>
      </c>
      <c r="B2" s="165"/>
      <c r="C2" s="165"/>
      <c r="D2" s="210"/>
      <c r="E2" s="399" t="s">
        <v>283</v>
      </c>
      <c r="F2" s="165"/>
      <c r="G2" s="165"/>
      <c r="H2" s="210"/>
      <c r="I2" s="421" t="s">
        <v>415</v>
      </c>
      <c r="J2" s="94"/>
    </row>
    <row r="3" ht="13.5" customHeight="1">
      <c r="A3" s="422" t="str">
        <f>'202B'!A3</f>
        <v>#REF!</v>
      </c>
      <c r="D3" s="94"/>
      <c r="E3" s="423" t="s">
        <v>284</v>
      </c>
      <c r="F3" s="424" t="str">
        <f t="shared" ref="F3:F4" si="1">'202B'!I2</f>
        <v>#REF!</v>
      </c>
      <c r="G3" s="425" t="s">
        <v>130</v>
      </c>
      <c r="H3" s="426" t="str">
        <f t="shared" ref="H3:H4" si="2">'202B'!K2</f>
        <v>#REF!</v>
      </c>
      <c r="J3" s="94"/>
    </row>
    <row r="4" ht="13.5" customHeight="1">
      <c r="A4" s="104"/>
      <c r="B4" s="77"/>
      <c r="C4" s="77"/>
      <c r="D4" s="55"/>
      <c r="E4" s="427" t="s">
        <v>131</v>
      </c>
      <c r="F4" s="428" t="str">
        <f t="shared" si="1"/>
        <v>#REF!</v>
      </c>
      <c r="G4" s="429" t="s">
        <v>133</v>
      </c>
      <c r="H4" s="430" t="str">
        <f t="shared" si="2"/>
        <v>#REF!</v>
      </c>
      <c r="I4" s="312" t="s">
        <v>416</v>
      </c>
      <c r="J4" s="1951" t="str">
        <f>'203'!E9</f>
        <v>I</v>
      </c>
    </row>
    <row r="5" ht="13.5" customHeight="1">
      <c r="A5" s="432" t="s">
        <v>417</v>
      </c>
      <c r="B5" s="165"/>
      <c r="C5" s="165"/>
      <c r="D5" s="433"/>
      <c r="E5" s="165"/>
      <c r="F5" s="165"/>
      <c r="G5" s="165"/>
      <c r="H5" s="434"/>
      <c r="I5" s="435" t="s">
        <v>418</v>
      </c>
      <c r="J5" s="1952" t="s">
        <v>517</v>
      </c>
    </row>
    <row r="6" ht="13.5" customHeight="1">
      <c r="A6" s="437" t="s">
        <v>419</v>
      </c>
      <c r="C6" s="438" t="str">
        <f>IF('203'!E7 = "",'203'!E5,'203'!E5 &amp; "     Night Ops: " &amp; '203'!E7)</f>
        <v/>
      </c>
      <c r="H6" s="94"/>
      <c r="J6" s="94"/>
    </row>
    <row r="7" ht="13.5" customHeight="1">
      <c r="A7" s="437" t="s">
        <v>420</v>
      </c>
      <c r="C7" s="438" t="str">
        <f>'203'!G9</f>
        <v/>
      </c>
      <c r="G7" s="439" t="str">
        <f> IF(vlookup(J4,SafetyOfficers,2,False) = "","",Concatenate("Branch Safety: ", vlookup(J4,SafetyOfficers,2,False)))</f>
        <v/>
      </c>
      <c r="H7" s="94"/>
      <c r="I7" s="313"/>
      <c r="J7" s="1953" t="str">
        <f>IF(Iserror(vlookup(J5,PhonicAlphabet!A:B,2,FALSE)),"",vlookup(J5,PhonicAlphabet!A:B,2,FALSE))</f>
        <v>Alpha</v>
      </c>
    </row>
    <row r="8" ht="13.5" customHeight="1">
      <c r="A8" s="441" t="s">
        <v>421</v>
      </c>
      <c r="B8" s="77"/>
      <c r="C8" s="442" t="str">
        <f>'203'!F10</f>
        <v>Tim Braun (Example)</v>
      </c>
      <c r="D8" s="77"/>
      <c r="E8" s="77"/>
      <c r="F8" s="77"/>
      <c r="G8" s="77"/>
      <c r="H8" s="55"/>
      <c r="I8" s="77"/>
      <c r="J8" s="1954"/>
    </row>
    <row r="9" ht="13.5" customHeight="1">
      <c r="A9" s="1955" t="s">
        <v>446</v>
      </c>
      <c r="B9" s="77"/>
      <c r="C9" s="77"/>
      <c r="D9" s="77"/>
      <c r="E9" s="77"/>
      <c r="F9" s="55"/>
      <c r="G9" s="1956" t="s">
        <v>3438</v>
      </c>
      <c r="H9" s="1957" t="s">
        <v>428</v>
      </c>
      <c r="I9" s="446" t="s">
        <v>424</v>
      </c>
      <c r="J9" s="210"/>
    </row>
    <row r="10" ht="13.5" customHeight="1">
      <c r="A10" s="377" t="s">
        <v>425</v>
      </c>
      <c r="B10" s="77"/>
      <c r="C10" s="77"/>
      <c r="D10" s="55"/>
      <c r="E10" s="447" t="s">
        <v>426</v>
      </c>
      <c r="F10" s="55"/>
      <c r="G10" s="94"/>
      <c r="I10" s="104"/>
      <c r="J10" s="55"/>
    </row>
    <row r="11" ht="13.5" customHeight="1">
      <c r="A11" s="355"/>
      <c r="B11" s="74"/>
      <c r="C11" s="74"/>
      <c r="D11" s="74"/>
      <c r="E11" s="450" t="str">
        <f> IF(ISERROR(vlookup(A11,ResData,2, FALSE)), "", IF(AND(ISERROR(Search("+",A11,1)),Vlookup(A11,ResData,7,False) &lt;&gt; $J$5,Vlookup(A11,ResData,7,False) &lt;&gt; ""),"&lt;= Assigned? (" &amp; Vlookup(A11,ResData,7,False) &amp; ") ","" ) &amp; "" &amp;  vlookup(A11,ResData,2, False)  )</f>
        <v/>
      </c>
      <c r="F11" s="74"/>
      <c r="G11" s="555" t="str">
        <f> IF(ISERROR(vlookup(A11,ResData,3, FALSE)), "", vlookup(A11,ResData,3, False))</f>
        <v/>
      </c>
      <c r="H11" s="414" t="str">
        <f> IF(ISERROR(vlookup(A11,ResData,6, FALSE)), "", vlookup(A11,ResData,6, False))</f>
        <v/>
      </c>
      <c r="I11" s="452" t="str">
        <f> IF(ISERROR(vlookup(A11,ResData,5, FALSE)), "", CONCATENATE(vlookup(A11,ResData,4, FALSE),"-",vlookup(A11,ResData,5, FALSE)))</f>
        <v/>
      </c>
      <c r="J11" s="1958"/>
    </row>
    <row r="12" ht="13.5" customHeight="1">
      <c r="A12" s="355"/>
      <c r="B12" s="74"/>
      <c r="C12" s="74"/>
      <c r="D12" s="74"/>
      <c r="E12" s="450" t="str">
        <f> IF(ISERROR(vlookup(A12,ResData,2, FALSE)), "", IF(AND(ISERROR(Search("+",A12,1)),Vlookup(A12,ResData,7,False) &lt;&gt; $J$5,Vlookup(A12,ResData,7,False) &lt;&gt; ""),"&lt;= Assigned? (" &amp; Vlookup(A12,ResData,7,False) &amp; ") ","" ) &amp; "" &amp;  vlookup(A12,ResData,2, False)  )</f>
        <v/>
      </c>
      <c r="F12" s="74"/>
      <c r="G12" s="555" t="str">
        <f> IF(ISERROR(vlookup(A12,ResData,3, FALSE)), "", vlookup(A12,ResData,3, False))</f>
        <v/>
      </c>
      <c r="H12" s="414" t="str">
        <f> IF(ISERROR(vlookup(A12,ResData,6, FALSE)), "", vlookup(A12,ResData,6, False))</f>
        <v/>
      </c>
      <c r="I12" s="452" t="str">
        <f> IF(ISERROR(vlookup(A12,ResData,5, FALSE)), "", CONCATENATE(vlookup(A12,ResData,4, FALSE),"-",vlookup(A12,ResData,5, FALSE)))</f>
        <v/>
      </c>
      <c r="J12" s="1959" t="str">
        <f t="shared" ref="J12:J28" si="3"> IF(I12 = "","",J11)</f>
        <v/>
      </c>
    </row>
    <row r="13" ht="13.5" customHeight="1">
      <c r="A13" s="355"/>
      <c r="B13" s="74"/>
      <c r="C13" s="74"/>
      <c r="D13" s="74"/>
      <c r="E13" s="450" t="str">
        <f> IF(ISERROR(vlookup(A13,ResData,2, FALSE)), "", IF(AND(ISERROR(Search("+",A13,1)),Vlookup(A13,ResData,7,False) &lt;&gt; $J$5,Vlookup(A13,ResData,7,False) &lt;&gt; ""),"&lt;= Assigned? (" &amp; Vlookup(A13,ResData,7,False) &amp; ") ","" ) &amp; "" &amp;  vlookup(A13,ResData,2, False)  )</f>
        <v/>
      </c>
      <c r="F13" s="74"/>
      <c r="G13" s="555" t="str">
        <f> IF(ISERROR(vlookup(A13,ResData,3, FALSE)), "", vlookup(A13,ResData,3, False))</f>
        <v/>
      </c>
      <c r="H13" s="414" t="str">
        <f> IF(ISERROR(vlookup(A13,ResData,6, FALSE)), "", vlookup(A13,ResData,6, False))</f>
        <v/>
      </c>
      <c r="I13" s="452" t="str">
        <f> IF(ISERROR(vlookup(A13,ResData,5, FALSE)), "", CONCATENATE(vlookup(A13,ResData,4, FALSE),"-",vlookup(A13,ResData,5, FALSE)))</f>
        <v/>
      </c>
      <c r="J13" s="1959" t="str">
        <f t="shared" si="3"/>
        <v/>
      </c>
    </row>
    <row r="14" ht="13.5" customHeight="1">
      <c r="A14" s="355"/>
      <c r="B14" s="74"/>
      <c r="C14" s="74"/>
      <c r="D14" s="74"/>
      <c r="E14" s="450" t="str">
        <f> IF(ISERROR(vlookup(A14,ResData,2, FALSE)), "", IF(AND(ISERROR(Search("+",A14,1)),Vlookup(A14,ResData,7,False) &lt;&gt; $J$5,Vlookup(A14,ResData,7,False) &lt;&gt; ""),"&lt;= Assigned? (" &amp; Vlookup(A14,ResData,7,False) &amp; ") ","" ) &amp; "" &amp;  vlookup(A14,ResData,2, False)  )</f>
        <v/>
      </c>
      <c r="F14" s="74"/>
      <c r="G14" s="555" t="str">
        <f> IF(ISERROR(vlookup(A14,ResData,3, FALSE)), "", vlookup(A14,ResData,3, False))</f>
        <v/>
      </c>
      <c r="H14" s="414" t="str">
        <f> IF(ISERROR(vlookup(A14,ResData,6, FALSE)), "", vlookup(A14,ResData,6, False))</f>
        <v/>
      </c>
      <c r="I14" s="452" t="str">
        <f> IF(ISERROR(vlookup(A14,ResData,5, FALSE)), "", CONCATENATE(vlookup(A14,ResData,4, FALSE),"-",vlookup(A14,ResData,5, FALSE)))</f>
        <v/>
      </c>
      <c r="J14" s="1959" t="str">
        <f t="shared" si="3"/>
        <v/>
      </c>
    </row>
    <row r="15" ht="13.5" customHeight="1">
      <c r="A15" s="355"/>
      <c r="B15" s="74"/>
      <c r="C15" s="74"/>
      <c r="D15" s="74"/>
      <c r="E15" s="450" t="str">
        <f> IF(ISERROR(vlookup(A15,ResData,2, FALSE)), "", IF(AND(ISERROR(Search("+",A15,1)),Vlookup(A15,ResData,7,False) &lt;&gt; $J$5,Vlookup(A15,ResData,7,False) &lt;&gt; ""),"&lt;= Assigned? (" &amp; Vlookup(A15,ResData,7,False) &amp; ") ","" ) &amp; "" &amp;  vlookup(A15,ResData,2, False)  )</f>
        <v/>
      </c>
      <c r="F15" s="74"/>
      <c r="G15" s="555" t="str">
        <f> IF(ISERROR(vlookup(A15,ResData,3, FALSE)), "", vlookup(A15,ResData,3, False))</f>
        <v/>
      </c>
      <c r="H15" s="414" t="str">
        <f> IF(ISERROR(vlookup(A15,ResData,6, FALSE)), "", vlookup(A15,ResData,6, False))</f>
        <v/>
      </c>
      <c r="I15" s="452" t="str">
        <f> IF(ISERROR(vlookup(A15,ResData,5, FALSE)), "", CONCATENATE(vlookup(A15,ResData,4, FALSE),"-",vlookup(A15,ResData,5, FALSE)))</f>
        <v/>
      </c>
      <c r="J15" s="1959" t="str">
        <f t="shared" si="3"/>
        <v/>
      </c>
    </row>
    <row r="16" ht="13.5" customHeight="1">
      <c r="A16" s="355"/>
      <c r="B16" s="74"/>
      <c r="C16" s="74"/>
      <c r="D16" s="74"/>
      <c r="E16" s="450" t="str">
        <f> IF(ISERROR(vlookup(A16,ResData,2, FALSE)), "", IF(AND(ISERROR(Search("+",A16,1)),Vlookup(A16,ResData,7,False) &lt;&gt; $J$5,Vlookup(A16,ResData,7,False) &lt;&gt; ""),"&lt;= Assigned? (" &amp; Vlookup(A16,ResData,7,False) &amp; ") ","" ) &amp; "" &amp;  vlookup(A16,ResData,2, False)  )</f>
        <v/>
      </c>
      <c r="F16" s="74"/>
      <c r="G16" s="555" t="str">
        <f> IF(ISERROR(vlookup(A16,ResData,3, FALSE)), "", vlookup(A16,ResData,3, False))</f>
        <v/>
      </c>
      <c r="H16" s="414" t="str">
        <f> IF(ISERROR(vlookup(A16,ResData,6, FALSE)), "", vlookup(A16,ResData,6, False))</f>
        <v/>
      </c>
      <c r="I16" s="452" t="str">
        <f> IF(ISERROR(vlookup(A16,ResData,5, FALSE)), "", CONCATENATE(vlookup(A16,ResData,4, FALSE),"-",vlookup(A16,ResData,5, FALSE)))</f>
        <v/>
      </c>
      <c r="J16" s="1959" t="str">
        <f t="shared" si="3"/>
        <v/>
      </c>
    </row>
    <row r="17" ht="13.5" customHeight="1">
      <c r="A17" s="355"/>
      <c r="B17" s="74"/>
      <c r="C17" s="74"/>
      <c r="D17" s="74"/>
      <c r="E17" s="450" t="str">
        <f> IF(ISERROR(vlookup(A17,ResData,2, FALSE)), "", IF(AND(ISERROR(Search("+",A17,1)),Vlookup(A17,ResData,7,False) &lt;&gt; $J$5,Vlookup(A17,ResData,7,False) &lt;&gt; ""),"&lt;= Assigned? (" &amp; Vlookup(A17,ResData,7,False) &amp; ") ","" ) &amp; "" &amp;  vlookup(A17,ResData,2, False)  )</f>
        <v/>
      </c>
      <c r="F17" s="74"/>
      <c r="G17" s="555" t="str">
        <f> IF(ISERROR(vlookup(A17,ResData,3, FALSE)), "", vlookup(A17,ResData,3, False))</f>
        <v/>
      </c>
      <c r="H17" s="414" t="str">
        <f> IF(ISERROR(vlookup(A17,ResData,6, FALSE)), "", vlookup(A17,ResData,6, False))</f>
        <v/>
      </c>
      <c r="I17" s="452" t="str">
        <f> IF(ISERROR(vlookup(A17,ResData,5, FALSE)), "", CONCATENATE(vlookup(A17,ResData,4, FALSE),"-",vlookup(A17,ResData,5, FALSE)))</f>
        <v/>
      </c>
      <c r="J17" s="1959" t="str">
        <f t="shared" si="3"/>
        <v/>
      </c>
    </row>
    <row r="18" ht="13.5" customHeight="1">
      <c r="A18" s="355"/>
      <c r="B18" s="74"/>
      <c r="C18" s="74"/>
      <c r="D18" s="74"/>
      <c r="E18" s="450" t="str">
        <f> IF(ISERROR(vlookup(A18,ResData,2, FALSE)), "", IF(AND(ISERROR(Search("+",A18,1)),Vlookup(A18,ResData,7,False) &lt;&gt; $J$5,Vlookup(A18,ResData,7,False) &lt;&gt; ""),"&lt;= Assigned? (" &amp; Vlookup(A18,ResData,7,False) &amp; ") ","" ) &amp; "" &amp;  vlookup(A18,ResData,2, False)  )</f>
        <v/>
      </c>
      <c r="F18" s="74"/>
      <c r="G18" s="555" t="str">
        <f> IF(ISERROR(vlookup(A18,ResData,3, FALSE)), "", vlookup(A18,ResData,3, False))</f>
        <v/>
      </c>
      <c r="H18" s="414" t="str">
        <f> IF(ISERROR(vlookup(A18,ResData,6, FALSE)), "", vlookup(A18,ResData,6, False))</f>
        <v/>
      </c>
      <c r="I18" s="452" t="str">
        <f> IF(ISERROR(vlookup(A18,ResData,5, FALSE)), "", CONCATENATE(vlookup(A18,ResData,4, FALSE),"-",vlookup(A18,ResData,5, FALSE)))</f>
        <v/>
      </c>
      <c r="J18" s="1959" t="str">
        <f t="shared" si="3"/>
        <v/>
      </c>
    </row>
    <row r="19" ht="13.5" customHeight="1">
      <c r="A19" s="355"/>
      <c r="B19" s="74"/>
      <c r="C19" s="74"/>
      <c r="D19" s="74"/>
      <c r="E19" s="450" t="str">
        <f> IF(ISERROR(vlookup(A19,ResData,2, FALSE)), "", IF(AND(ISERROR(Search("+",A19,1)),Vlookup(A19,ResData,7,False) &lt;&gt; $J$5,Vlookup(A19,ResData,7,False) &lt;&gt; ""),"&lt;= Assigned? (" &amp; Vlookup(A19,ResData,7,False) &amp; ") ","" ) &amp; "" &amp;  vlookup(A19,ResData,2, False)  )</f>
        <v/>
      </c>
      <c r="F19" s="74"/>
      <c r="G19" s="555" t="str">
        <f> IF(ISERROR(vlookup(A19,ResData,3, FALSE)), "", vlookup(A19,ResData,3, False))</f>
        <v/>
      </c>
      <c r="H19" s="414" t="str">
        <f> IF(ISERROR(vlookup(A19,ResData,6, FALSE)), "", vlookup(A19,ResData,6, False))</f>
        <v/>
      </c>
      <c r="I19" s="452" t="str">
        <f> IF(ISERROR(vlookup(A19,ResData,5, FALSE)), "", CONCATENATE(vlookup(A19,ResData,4, FALSE),"-",vlookup(A19,ResData,5, FALSE)))</f>
        <v/>
      </c>
      <c r="J19" s="1959" t="str">
        <f t="shared" si="3"/>
        <v/>
      </c>
    </row>
    <row r="20" ht="13.5" customHeight="1">
      <c r="A20" s="355"/>
      <c r="B20" s="74"/>
      <c r="C20" s="74"/>
      <c r="D20" s="74"/>
      <c r="E20" s="450" t="str">
        <f> IF(ISERROR(vlookup(A20,ResData,2, FALSE)), "", IF(AND(ISERROR(Search("+",A20,1)),Vlookup(A20,ResData,7,False) &lt;&gt; $J$5,Vlookup(A20,ResData,7,False) &lt;&gt; ""),"&lt;= Assigned? (" &amp; Vlookup(A20,ResData,7,False) &amp; ") ","" ) &amp; "" &amp;  vlookup(A20,ResData,2, False)  )</f>
        <v/>
      </c>
      <c r="F20" s="74"/>
      <c r="G20" s="555" t="str">
        <f> IF(ISERROR(vlookup(A20,ResData,3, FALSE)), "", vlookup(A20,ResData,3, False))</f>
        <v/>
      </c>
      <c r="H20" s="414" t="str">
        <f> IF(ISERROR(vlookup(A20,ResData,6, FALSE)), "", vlookup(A20,ResData,6, False))</f>
        <v/>
      </c>
      <c r="I20" s="452" t="str">
        <f> IF(ISERROR(vlookup(A20,ResData,5, FALSE)), "", CONCATENATE(vlookup(A20,ResData,4, FALSE),"-",vlookup(A20,ResData,5, FALSE)))</f>
        <v/>
      </c>
      <c r="J20" s="1959" t="str">
        <f t="shared" si="3"/>
        <v/>
      </c>
    </row>
    <row r="21" ht="13.5" customHeight="1">
      <c r="A21" s="355"/>
      <c r="B21" s="74"/>
      <c r="C21" s="74"/>
      <c r="D21" s="74"/>
      <c r="E21" s="450" t="str">
        <f> IF(ISERROR(vlookup(A21,ResData,2, FALSE)), "", IF(AND(ISERROR(Search("+",A21,1)),Vlookup(A21,ResData,7,False) &lt;&gt; $J$5,Vlookup(A21,ResData,7,False) &lt;&gt; ""),"&lt;= Assigned? (" &amp; Vlookup(A21,ResData,7,False) &amp; ") ","" ) &amp; "" &amp;  vlookup(A21,ResData,2, False)  )</f>
        <v/>
      </c>
      <c r="F21" s="74"/>
      <c r="G21" s="555" t="str">
        <f> IF(ISERROR(vlookup(A21,ResData,3, FALSE)), "", vlookup(A21,ResData,3, False))</f>
        <v/>
      </c>
      <c r="H21" s="414" t="str">
        <f> IF(ISERROR(vlookup(A21,ResData,6, FALSE)), "", vlookup(A21,ResData,6, False))</f>
        <v/>
      </c>
      <c r="I21" s="452" t="str">
        <f> IF(ISERROR(vlookup(A21,ResData,5, FALSE)), "", CONCATENATE(vlookup(A21,ResData,4, FALSE),"-",vlookup(A21,ResData,5, FALSE)))</f>
        <v/>
      </c>
      <c r="J21" s="1959" t="str">
        <f t="shared" si="3"/>
        <v/>
      </c>
    </row>
    <row r="22" ht="13.5" customHeight="1">
      <c r="A22" s="355"/>
      <c r="B22" s="74"/>
      <c r="C22" s="74"/>
      <c r="D22" s="74"/>
      <c r="E22" s="450" t="str">
        <f> IF(ISERROR(vlookup(A22,ResData,2, FALSE)), "", IF(AND(ISERROR(Search("+",A22,1)),Vlookup(A22,ResData,7,False) &lt;&gt; $J$5,Vlookup(A22,ResData,7,False) &lt;&gt; ""),"&lt;= Assigned? (" &amp; Vlookup(A22,ResData,7,False) &amp; ") ","" ) &amp; "" &amp;  vlookup(A22,ResData,2, False)  )</f>
        <v/>
      </c>
      <c r="F22" s="74"/>
      <c r="G22" s="555" t="str">
        <f> IF(ISERROR(vlookup(A22,ResData,3, FALSE)), "", vlookup(A22,ResData,3, False))</f>
        <v/>
      </c>
      <c r="H22" s="414" t="str">
        <f> IF(ISERROR(vlookup(A22,ResData,6, FALSE)), "", vlookup(A22,ResData,6, False))</f>
        <v/>
      </c>
      <c r="I22" s="452" t="str">
        <f> IF(ISERROR(vlookup(A22,ResData,5, FALSE)), "", CONCATENATE(vlookup(A22,ResData,4, FALSE),"-",vlookup(A22,ResData,5, FALSE)))</f>
        <v/>
      </c>
      <c r="J22" s="1959" t="str">
        <f t="shared" si="3"/>
        <v/>
      </c>
    </row>
    <row r="23" ht="13.5" customHeight="1">
      <c r="A23" s="355"/>
      <c r="B23" s="74"/>
      <c r="C23" s="74"/>
      <c r="D23" s="74"/>
      <c r="E23" s="450" t="str">
        <f> IF(ISERROR(vlookup(A23,ResData,2, FALSE)), "", IF(AND(ISERROR(Search("+",A23,1)),Vlookup(A23,ResData,7,False) &lt;&gt; $J$5,Vlookup(A23,ResData,7,False) &lt;&gt; ""),"&lt;= Assigned? (" &amp; Vlookup(A23,ResData,7,False) &amp; ") ","" ) &amp; "" &amp;  vlookup(A23,ResData,2, False)  )</f>
        <v/>
      </c>
      <c r="F23" s="74"/>
      <c r="G23" s="555" t="str">
        <f> IF(ISERROR(vlookup(A23,ResData,3, FALSE)), "", vlookup(A23,ResData,3, False))</f>
        <v/>
      </c>
      <c r="H23" s="414" t="str">
        <f> IF(ISERROR(vlookup(A23,ResData,6, FALSE)), "", vlookup(A23,ResData,6, False))</f>
        <v/>
      </c>
      <c r="I23" s="452" t="str">
        <f> IF(ISERROR(vlookup(A23,ResData,5, FALSE)), "", CONCATENATE(vlookup(A23,ResData,4, FALSE),"-",vlookup(A23,ResData,5, FALSE)))</f>
        <v/>
      </c>
      <c r="J23" s="1959" t="str">
        <f t="shared" si="3"/>
        <v/>
      </c>
    </row>
    <row r="24" ht="13.5" customHeight="1">
      <c r="A24" s="355"/>
      <c r="B24" s="74"/>
      <c r="C24" s="74"/>
      <c r="D24" s="74"/>
      <c r="E24" s="450" t="str">
        <f> IF(ISERROR(vlookup(A24,ResData,2, FALSE)), "", IF(AND(ISERROR(Search("+",A24,1)),Vlookup(A24,ResData,7,False) &lt;&gt; $J$5,Vlookup(A24,ResData,7,False) &lt;&gt; ""),"&lt;= Assigned? (" &amp; Vlookup(A24,ResData,7,False) &amp; ") ","" ) &amp; "" &amp;  vlookup(A24,ResData,2, False)  )</f>
        <v/>
      </c>
      <c r="F24" s="74"/>
      <c r="G24" s="555" t="str">
        <f> IF(ISERROR(vlookup(A24,ResData,3, FALSE)), "", vlookup(A24,ResData,3, False))</f>
        <v/>
      </c>
      <c r="H24" s="414" t="str">
        <f> IF(ISERROR(vlookup(A24,ResData,6, FALSE)), "", vlookup(A24,ResData,6, False))</f>
        <v/>
      </c>
      <c r="I24" s="452" t="str">
        <f> IF(ISERROR(vlookup(A24,ResData,5, FALSE)), "", CONCATENATE(vlookup(A24,ResData,4, FALSE),"-",vlookup(A24,ResData,5, FALSE)))</f>
        <v/>
      </c>
      <c r="J24" s="1959" t="str">
        <f t="shared" si="3"/>
        <v/>
      </c>
    </row>
    <row r="25" ht="13.5" customHeight="1">
      <c r="A25" s="355"/>
      <c r="B25" s="74"/>
      <c r="C25" s="74"/>
      <c r="D25" s="74"/>
      <c r="E25" s="450" t="str">
        <f> IF(ISERROR(vlookup(A25,ResData,2, FALSE)), "", IF(AND(ISERROR(Search("+",A25,1)),Vlookup(A25,ResData,7,False) &lt;&gt; $J$5,Vlookup(A25,ResData,7,False) &lt;&gt; ""),"&lt;= Assigned? (" &amp; Vlookup(A25,ResData,7,False) &amp; ") ","" ) &amp; "" &amp;  vlookup(A25,ResData,2, False)  )</f>
        <v/>
      </c>
      <c r="F25" s="74"/>
      <c r="G25" s="555" t="str">
        <f> IF(ISERROR(vlookup(A25,ResData,3, FALSE)), "", vlookup(A25,ResData,3, False))</f>
        <v/>
      </c>
      <c r="H25" s="414" t="str">
        <f> IF(ISERROR(vlookup(A25,ResData,6, FALSE)), "", vlookup(A25,ResData,6, False))</f>
        <v/>
      </c>
      <c r="I25" s="452" t="str">
        <f> IF(ISERROR(vlookup(A25,ResData,5, FALSE)), "", CONCATENATE(vlookup(A25,ResData,4, FALSE),"-",vlookup(A25,ResData,5, FALSE)))</f>
        <v/>
      </c>
      <c r="J25" s="1959" t="str">
        <f t="shared" si="3"/>
        <v/>
      </c>
    </row>
    <row r="26" ht="13.5" customHeight="1">
      <c r="A26" s="355"/>
      <c r="B26" s="74"/>
      <c r="C26" s="74"/>
      <c r="D26" s="74"/>
      <c r="E26" s="450" t="str">
        <f> IF(ISERROR(vlookup(A26,ResData,2, FALSE)), "", IF(AND(ISERROR(Search("+",A26,1)),Vlookup(A26,ResData,7,False) &lt;&gt; $J$5,Vlookup(A26,ResData,7,False) &lt;&gt; ""),"&lt;= Assigned? (" &amp; Vlookup(A26,ResData,7,False) &amp; ") ","" ) &amp; "" &amp;  vlookup(A26,ResData,2, False)  )</f>
        <v/>
      </c>
      <c r="F26" s="74"/>
      <c r="G26" s="555" t="str">
        <f> IF(ISERROR(vlookup(A26,ResData,3, FALSE)), "", vlookup(A26,ResData,3, False))</f>
        <v/>
      </c>
      <c r="H26" s="414" t="str">
        <f> IF(ISERROR(vlookup(A26,ResData,6, FALSE)), "", vlookup(A26,ResData,6, False))</f>
        <v/>
      </c>
      <c r="I26" s="452" t="str">
        <f> IF(ISERROR(vlookup(A26,ResData,5, FALSE)), "", CONCATENATE(vlookup(A26,ResData,4, FALSE),"-",vlookup(A26,ResData,5, FALSE)))</f>
        <v/>
      </c>
      <c r="J26" s="1959" t="str">
        <f t="shared" si="3"/>
        <v/>
      </c>
    </row>
    <row r="27" ht="13.5" customHeight="1">
      <c r="A27" s="355"/>
      <c r="B27" s="74"/>
      <c r="C27" s="74"/>
      <c r="D27" s="74"/>
      <c r="E27" s="450" t="str">
        <f> IF(ISERROR(vlookup(A27,ResData,2, FALSE)), "", IF(AND(ISERROR(Search("+",A27,1)),Vlookup(A27,ResData,7,False) &lt;&gt; $J$5,Vlookup(A27,ResData,7,False) &lt;&gt; ""),"&lt;= Assigned? (" &amp; Vlookup(A27,ResData,7,False) &amp; ") ","" ) &amp; "" &amp;  vlookup(A27,ResData,2, False)  )</f>
        <v/>
      </c>
      <c r="F27" s="74"/>
      <c r="G27" s="555" t="str">
        <f> IF(ISERROR(vlookup(A27,ResData,3, FALSE)), "", vlookup(A27,ResData,3, False))</f>
        <v/>
      </c>
      <c r="H27" s="414" t="str">
        <f> IF(ISERROR(vlookup(A27,ResData,6, FALSE)), "", vlookup(A27,ResData,6, False))</f>
        <v/>
      </c>
      <c r="I27" s="452" t="str">
        <f> IF(ISERROR(vlookup(A27,ResData,5, FALSE)), "", CONCATENATE(vlookup(A27,ResData,4, FALSE),"-",vlookup(A27,ResData,5, FALSE)))</f>
        <v/>
      </c>
      <c r="J27" s="1959" t="str">
        <f t="shared" si="3"/>
        <v/>
      </c>
    </row>
    <row r="28" ht="13.5" customHeight="1">
      <c r="A28" s="355"/>
      <c r="B28" s="74"/>
      <c r="C28" s="74"/>
      <c r="D28" s="74"/>
      <c r="E28" s="450" t="str">
        <f> IF(ISERROR(vlookup(A28,ResData,2, FALSE)), "", IF(AND(ISERROR(Search("+",A28,1)),Vlookup(A28,ResData,7,False) &lt;&gt; $J$5,Vlookup(A28,ResData,7,False) &lt;&gt; ""),"&lt;= Assigned? (" &amp; Vlookup(A28,ResData,7,False) &amp; ") ","" ) &amp; "" &amp;  vlookup(A28,ResData,2, False)  )</f>
        <v/>
      </c>
      <c r="F28" s="74"/>
      <c r="G28" s="555" t="str">
        <f> IF(ISERROR(vlookup(A28,ResData,3, FALSE)), "", vlookup(A28,ResData,3, False))</f>
        <v/>
      </c>
      <c r="H28" s="414" t="str">
        <f> IF(ISERROR(vlookup(A28,ResData,6, FALSE)), "", vlookup(A28,ResData,6, False))</f>
        <v/>
      </c>
      <c r="I28" s="452" t="str">
        <f> IF(ISERROR(vlookup(A28,ResData,5, FALSE)), "", CONCATENATE(vlookup(A28,ResData,4, FALSE),"-",vlookup(A28,ResData,5, FALSE)))</f>
        <v/>
      </c>
      <c r="J28" s="1959" t="str">
        <f t="shared" si="3"/>
        <v/>
      </c>
    </row>
    <row r="29" ht="13.5" customHeight="1">
      <c r="A29" s="455" t="s">
        <v>429</v>
      </c>
      <c r="B29" s="456"/>
      <c r="C29" s="457" t="str">
        <f> if((COUNTIF(A11:A29,"&gt;*") + COUNTBLANK(A11:A29)) &gt; 19,"Adding rows has a negative effect on certain formulas. Maybe create another page?"," ")</f>
        <v> </v>
      </c>
      <c r="D29" s="165"/>
      <c r="E29" s="165"/>
      <c r="F29" s="165"/>
      <c r="G29" s="165"/>
      <c r="H29" s="165"/>
      <c r="I29" s="165"/>
      <c r="J29" s="210"/>
    </row>
    <row r="30" ht="13.5" customHeight="1">
      <c r="A30" s="458"/>
      <c r="J30" s="94"/>
    </row>
    <row r="31" ht="13.5" customHeight="1">
      <c r="A31" s="458"/>
      <c r="J31" s="94"/>
    </row>
    <row r="32" ht="13.5" customHeight="1">
      <c r="A32" s="458"/>
      <c r="J32" s="94"/>
    </row>
    <row r="33" ht="13.5" customHeight="1">
      <c r="A33" s="458"/>
      <c r="J33" s="94"/>
    </row>
    <row r="34" ht="13.5" customHeight="1">
      <c r="A34" s="459" t="s">
        <v>430</v>
      </c>
      <c r="B34" s="165"/>
      <c r="C34" s="165"/>
      <c r="D34" s="165"/>
      <c r="E34" s="165"/>
      <c r="F34" s="165"/>
      <c r="G34" s="165"/>
      <c r="H34" s="165"/>
      <c r="I34" s="165"/>
      <c r="J34" s="210"/>
    </row>
    <row r="35" ht="13.5" customHeight="1">
      <c r="A35" s="311"/>
      <c r="J35" s="94"/>
    </row>
    <row r="36" ht="13.5" customHeight="1">
      <c r="A36" s="311"/>
      <c r="J36" s="94"/>
    </row>
    <row r="37" ht="13.5" customHeight="1">
      <c r="A37" s="311"/>
      <c r="J37" s="94"/>
    </row>
    <row r="38" ht="13.5" customHeight="1">
      <c r="A38" s="314"/>
      <c r="B38" s="77"/>
      <c r="C38" s="77"/>
      <c r="D38" s="77"/>
      <c r="E38" s="77"/>
      <c r="F38" s="77"/>
      <c r="G38" s="77"/>
      <c r="H38" s="77"/>
      <c r="I38" s="77"/>
      <c r="J38" s="55"/>
    </row>
    <row r="39" ht="13.5" customHeight="1">
      <c r="A39" s="460" t="s">
        <v>431</v>
      </c>
      <c r="C39" s="600" t="s">
        <v>3439</v>
      </c>
      <c r="J39" s="94"/>
    </row>
    <row r="40" ht="13.5" customHeight="1">
      <c r="A40" s="452" t="str">
        <f> "Name"</f>
        <v>Name</v>
      </c>
      <c r="B40" s="45"/>
      <c r="C40" s="462" t="str">
        <f> "Ch"</f>
        <v>Ch</v>
      </c>
      <c r="D40" s="463" t="str">
        <f> "Function"</f>
        <v>Function</v>
      </c>
      <c r="E40" s="45"/>
      <c r="F40" s="462" t="str">
        <f> "Rx Freq"</f>
        <v>Rx Freq</v>
      </c>
      <c r="G40" s="462" t="str">
        <f> "Rx Tone"</f>
        <v>Rx Tone</v>
      </c>
      <c r="H40" s="462" t="str">
        <f> "Tx Freq"</f>
        <v>Tx Freq</v>
      </c>
      <c r="I40" s="462" t="str">
        <f> "Tx Tone"</f>
        <v>Tx Tone</v>
      </c>
      <c r="J40" s="462" t="str">
        <f> "Notes"</f>
        <v>Notes</v>
      </c>
    </row>
    <row r="41" ht="13.5" customHeight="1">
      <c r="A41" s="1960" t="str">
        <f>'205WS1'!C8</f>
        <v>#REF!</v>
      </c>
      <c r="B41" s="45"/>
      <c r="C41" s="1961" t="str">
        <f>'205WS1'!B8</f>
        <v>#REF!</v>
      </c>
      <c r="D41" s="1962" t="str">
        <f>'205WS1'!E8</f>
        <v>#REF!</v>
      </c>
      <c r="E41" s="45"/>
      <c r="F41" s="1963" t="str">
        <f t="shared" ref="F41:J41" si="4">'205WS1'!F8</f>
        <v>#REF!</v>
      </c>
      <c r="G41" s="1964" t="str">
        <f t="shared" si="4"/>
        <v>#REF!</v>
      </c>
      <c r="H41" s="1963" t="str">
        <f t="shared" si="4"/>
        <v>#REF!</v>
      </c>
      <c r="I41" s="1963" t="str">
        <f t="shared" si="4"/>
        <v>#REF!</v>
      </c>
      <c r="J41" s="1965" t="str">
        <f t="shared" si="4"/>
        <v>#REF!</v>
      </c>
    </row>
    <row r="42" ht="13.5" customHeight="1">
      <c r="A42" s="1966" t="str">
        <f>vlookup(J5,Radio_Assignments,3,FALSE)</f>
        <v>STF OPS T2</v>
      </c>
      <c r="B42" s="45"/>
      <c r="C42" s="1964" t="str">
        <f>vlookup(J5,'205WS1'!A8:F33,2,FALSE)</f>
        <v>#REF!</v>
      </c>
      <c r="D42" s="1962" t="str">
        <f>vlookup(J5,Radio_Assignments,5,FALSE)</f>
        <v>COMMAND</v>
      </c>
      <c r="E42" s="45"/>
      <c r="F42" s="1967" t="str">
        <f>vlookup(J5,Radio_Assignments,6,FALSE)</f>
        <v>170.5000</v>
      </c>
      <c r="G42" s="1968">
        <f>vlookup(J5,Radio_Assignments,7,FALSE)</f>
        <v>0</v>
      </c>
      <c r="H42" s="1967" t="str">
        <f>vlookup(J5,Radio_Assignments,8,FALSE)</f>
        <v>168.7500</v>
      </c>
      <c r="I42" s="1968">
        <f>vlookup(J5,Radio_Assignments,9,FALSE)</f>
        <v>0</v>
      </c>
      <c r="J42" s="1969" t="str">
        <f>vlookup(J5,Radio_Assignments,10,FALSE)</f>
        <v>A</v>
      </c>
    </row>
    <row r="43" ht="13.5" customHeight="1">
      <c r="A43" s="1960" t="str">
        <f t="shared" ref="A43:A45" si="6">'205WS1'!C9</f>
        <v>#REF!</v>
      </c>
      <c r="B43" s="45"/>
      <c r="C43" s="1961" t="str">
        <f t="shared" ref="C43:C45" si="7">'205WS1'!B9</f>
        <v>#REF!</v>
      </c>
      <c r="D43" s="1962" t="str">
        <f t="shared" ref="D43:D45" si="8">'205WS1'!E9</f>
        <v>#REF!</v>
      </c>
      <c r="E43" s="45"/>
      <c r="F43" s="1963" t="str">
        <f t="shared" ref="F43:J43" si="5">'205WS1'!F9</f>
        <v>#REF!</v>
      </c>
      <c r="G43" s="1964" t="str">
        <f t="shared" si="5"/>
        <v>#REF!</v>
      </c>
      <c r="H43" s="1963" t="str">
        <f t="shared" si="5"/>
        <v>#REF!</v>
      </c>
      <c r="I43" s="1963" t="str">
        <f t="shared" si="5"/>
        <v>#REF!</v>
      </c>
      <c r="J43" s="1965" t="str">
        <f t="shared" si="5"/>
        <v>#REF!</v>
      </c>
    </row>
    <row r="44" ht="13.5" customHeight="1">
      <c r="A44" s="1960" t="str">
        <f t="shared" si="6"/>
        <v>#REF!</v>
      </c>
      <c r="B44" s="45"/>
      <c r="C44" s="1961" t="str">
        <f t="shared" si="7"/>
        <v>#REF!</v>
      </c>
      <c r="D44" s="1962" t="str">
        <f t="shared" si="8"/>
        <v>#REF!</v>
      </c>
      <c r="E44" s="45"/>
      <c r="F44" s="1963" t="str">
        <f t="shared" ref="F44:J44" si="9">'205WS1'!F10</f>
        <v>#REF!</v>
      </c>
      <c r="G44" s="1964" t="str">
        <f t="shared" si="9"/>
        <v>#REF!</v>
      </c>
      <c r="H44" s="1963" t="str">
        <f t="shared" si="9"/>
        <v>#REF!</v>
      </c>
      <c r="I44" s="1963" t="str">
        <f t="shared" si="9"/>
        <v>#REF!</v>
      </c>
      <c r="J44" s="1965" t="str">
        <f t="shared" si="9"/>
        <v>#REF!</v>
      </c>
    </row>
    <row r="45" ht="13.5" customHeight="1">
      <c r="A45" s="1970" t="str">
        <f t="shared" si="6"/>
        <v>#REF!</v>
      </c>
      <c r="B45" s="210"/>
      <c r="C45" s="1961" t="str">
        <f t="shared" si="7"/>
        <v>#REF!</v>
      </c>
      <c r="D45" s="1962" t="str">
        <f t="shared" si="8"/>
        <v>#REF!</v>
      </c>
      <c r="E45" s="45"/>
      <c r="F45" s="1963" t="str">
        <f t="shared" ref="F45:J45" si="10">'205WS1'!F11</f>
        <v>#REF!</v>
      </c>
      <c r="G45" s="1964" t="str">
        <f t="shared" si="10"/>
        <v>#REF!</v>
      </c>
      <c r="H45" s="1963" t="str">
        <f t="shared" si="10"/>
        <v>#REF!</v>
      </c>
      <c r="I45" s="1963" t="str">
        <f t="shared" si="10"/>
        <v>#REF!</v>
      </c>
      <c r="J45" s="1965" t="str">
        <f t="shared" si="10"/>
        <v>#REF!</v>
      </c>
    </row>
    <row r="46" ht="13.5" customHeight="1">
      <c r="A46" s="455" t="s">
        <v>435</v>
      </c>
      <c r="B46" s="165"/>
      <c r="C46" s="1971" t="str">
        <f>'101 General Info'!C33</f>
        <v/>
      </c>
      <c r="D46" s="165"/>
      <c r="E46" s="165"/>
      <c r="F46" s="489" t="s">
        <v>436</v>
      </c>
      <c r="G46" s="490" t="str">
        <f>'101 General Info'!D33</f>
        <v>RESL</v>
      </c>
      <c r="H46" s="491" t="s">
        <v>449</v>
      </c>
      <c r="I46" s="165"/>
      <c r="J46" s="210"/>
    </row>
    <row r="47" ht="13.5" customHeight="1">
      <c r="A47" s="549" t="s">
        <v>312</v>
      </c>
      <c r="B47" s="550"/>
      <c r="C47" s="550"/>
      <c r="D47" s="498" t="s">
        <v>389</v>
      </c>
      <c r="E47" s="77"/>
      <c r="F47" s="499">
        <f>'203'!D52</f>
        <v>43892</v>
      </c>
      <c r="G47" s="500" t="str">
        <f>'203'!E52</f>
        <v>2300 hours</v>
      </c>
      <c r="H47" s="77"/>
      <c r="I47" s="77"/>
      <c r="J47" s="55"/>
    </row>
  </sheetData>
  <mergeCells count="89">
    <mergeCell ref="A17:D17"/>
    <mergeCell ref="E17:F17"/>
    <mergeCell ref="A18:D18"/>
    <mergeCell ref="E18:F18"/>
    <mergeCell ref="A19:D19"/>
    <mergeCell ref="E19:F19"/>
    <mergeCell ref="E20:F20"/>
    <mergeCell ref="A20:D20"/>
    <mergeCell ref="A21:D21"/>
    <mergeCell ref="E21:F21"/>
    <mergeCell ref="A22:D22"/>
    <mergeCell ref="E22:F22"/>
    <mergeCell ref="A23:D23"/>
    <mergeCell ref="E23:F23"/>
    <mergeCell ref="A27:D27"/>
    <mergeCell ref="A28:D28"/>
    <mergeCell ref="E28:F28"/>
    <mergeCell ref="C29:J29"/>
    <mergeCell ref="A30:J30"/>
    <mergeCell ref="A31:J31"/>
    <mergeCell ref="A32:J32"/>
    <mergeCell ref="A33:J33"/>
    <mergeCell ref="A34:J34"/>
    <mergeCell ref="A35:J35"/>
    <mergeCell ref="A36:J36"/>
    <mergeCell ref="A37:J37"/>
    <mergeCell ref="A38:J38"/>
    <mergeCell ref="C39:J39"/>
    <mergeCell ref="D42:E42"/>
    <mergeCell ref="D43:E43"/>
    <mergeCell ref="A44:B44"/>
    <mergeCell ref="D44:E44"/>
    <mergeCell ref="A45:B45"/>
    <mergeCell ref="D45:E45"/>
    <mergeCell ref="A46:B46"/>
    <mergeCell ref="C46:E46"/>
    <mergeCell ref="H46:J47"/>
    <mergeCell ref="D47:E47"/>
    <mergeCell ref="A39:B39"/>
    <mergeCell ref="A40:B40"/>
    <mergeCell ref="D40:E40"/>
    <mergeCell ref="A41:B41"/>
    <mergeCell ref="D41:E41"/>
    <mergeCell ref="A42:B42"/>
    <mergeCell ref="A43:B43"/>
    <mergeCell ref="E1:H1"/>
    <mergeCell ref="I1:J1"/>
    <mergeCell ref="A2:D2"/>
    <mergeCell ref="E2:H2"/>
    <mergeCell ref="I2:J3"/>
    <mergeCell ref="A3:D3"/>
    <mergeCell ref="A4:D4"/>
    <mergeCell ref="A5:C5"/>
    <mergeCell ref="D5:G5"/>
    <mergeCell ref="I5:I6"/>
    <mergeCell ref="J5:J6"/>
    <mergeCell ref="A6:B6"/>
    <mergeCell ref="C6:H6"/>
    <mergeCell ref="A7:B7"/>
    <mergeCell ref="H9:H10"/>
    <mergeCell ref="I9:J10"/>
    <mergeCell ref="C7:F7"/>
    <mergeCell ref="G7:H8"/>
    <mergeCell ref="I7:I8"/>
    <mergeCell ref="A8:B8"/>
    <mergeCell ref="C8:F8"/>
    <mergeCell ref="A9:F9"/>
    <mergeCell ref="G9:G10"/>
    <mergeCell ref="A10:D10"/>
    <mergeCell ref="E10:F10"/>
    <mergeCell ref="A11:D11"/>
    <mergeCell ref="E11:F11"/>
    <mergeCell ref="A12:D12"/>
    <mergeCell ref="E12:F12"/>
    <mergeCell ref="E13:F13"/>
    <mergeCell ref="A13:D13"/>
    <mergeCell ref="A14:D14"/>
    <mergeCell ref="E14:F14"/>
    <mergeCell ref="A15:D15"/>
    <mergeCell ref="E15:F15"/>
    <mergeCell ref="A16:D16"/>
    <mergeCell ref="E16:F16"/>
    <mergeCell ref="A24:D24"/>
    <mergeCell ref="E24:F24"/>
    <mergeCell ref="A25:D25"/>
    <mergeCell ref="E25:F25"/>
    <mergeCell ref="A26:D26"/>
    <mergeCell ref="E26:F26"/>
    <mergeCell ref="E27:F27"/>
  </mergeCells>
  <conditionalFormatting sqref="E11:F28">
    <cfRule type="containsText" dxfId="6" priority="1" operator="containsText" text="Assigned">
      <formula>NOT(ISERROR(SEARCH(("Assigned"),(E11))))</formula>
    </cfRule>
  </conditionalFormatting>
  <conditionalFormatting sqref="A11:J28">
    <cfRule type="expression" dxfId="8" priority="2">
      <formula> (Search("1900",$I11,1))</formula>
    </cfRule>
  </conditionalFormatting>
  <dataValidations>
    <dataValidation type="list" allowBlank="1" sqref="A11:A28">
      <formula1>ResID</formula1>
    </dataValidation>
    <dataValidation type="list" allowBlank="1" sqref="A30:A33">
      <formula1>WorkAssignments</formula1>
    </dataValidation>
  </dataValidations>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0.5"/>
    <col customWidth="1" min="2" max="2" width="38.88"/>
  </cols>
  <sheetData>
    <row r="1" ht="166.5" customHeight="1">
      <c r="A1" s="1972" t="s">
        <v>3440</v>
      </c>
    </row>
    <row r="2" ht="30.75" customHeight="1">
      <c r="A2" s="1973" t="s">
        <v>3441</v>
      </c>
    </row>
    <row r="3" ht="46.5" customHeight="1">
      <c r="A3" s="1974" t="s">
        <v>3442</v>
      </c>
      <c r="B3" s="1975">
        <v>16.0</v>
      </c>
    </row>
    <row r="4">
      <c r="A4" s="1976"/>
      <c r="B4" s="1977"/>
    </row>
    <row r="5">
      <c r="A5" s="1978"/>
      <c r="B5" s="1979"/>
    </row>
    <row r="6" ht="183.0" customHeight="1">
      <c r="A6" s="1980"/>
      <c r="B6" s="1981"/>
    </row>
    <row r="7">
      <c r="A7" s="1982" t="s">
        <v>3443</v>
      </c>
      <c r="B7" s="1982"/>
    </row>
    <row r="8">
      <c r="A8" s="1983" t="str">
        <f>IFERROR(__xludf.DUMMYFUNCTION("Transpose(split(A4,""{""))"),"#VALUE!")</f>
        <v>#VALUE!</v>
      </c>
      <c r="B8" s="1983"/>
    </row>
    <row r="9">
      <c r="A9" s="1983"/>
      <c r="B9" s="1983"/>
    </row>
    <row r="10">
      <c r="A10" s="1983"/>
      <c r="B10" s="1983"/>
    </row>
    <row r="11">
      <c r="A11" s="1983"/>
      <c r="B11" s="1983"/>
    </row>
    <row r="12">
      <c r="A12" s="1983"/>
      <c r="B12" s="1983"/>
    </row>
    <row r="13">
      <c r="A13" s="1983"/>
      <c r="B13" s="1983"/>
    </row>
    <row r="14">
      <c r="A14" s="1983"/>
      <c r="B14" s="1983"/>
    </row>
    <row r="15">
      <c r="A15" s="1983"/>
      <c r="B15" s="1983"/>
    </row>
    <row r="16">
      <c r="A16" s="1983"/>
      <c r="B16" s="1983"/>
    </row>
    <row r="17">
      <c r="A17" s="1983"/>
      <c r="B17" s="1983"/>
    </row>
    <row r="18">
      <c r="A18" s="1983"/>
      <c r="B18" s="1983"/>
    </row>
    <row r="19">
      <c r="A19" s="1983"/>
      <c r="B19" s="1983"/>
    </row>
    <row r="20">
      <c r="A20" s="1983"/>
      <c r="B20" s="1983"/>
    </row>
    <row r="21">
      <c r="A21" s="1983"/>
      <c r="B21" s="1983"/>
    </row>
    <row r="22">
      <c r="A22" s="1983"/>
      <c r="B22" s="1983"/>
    </row>
    <row r="23">
      <c r="A23" s="1983"/>
      <c r="B23" s="1983"/>
    </row>
    <row r="24">
      <c r="A24" s="1983"/>
      <c r="B24" s="1983"/>
    </row>
    <row r="25">
      <c r="A25" s="1983"/>
      <c r="B25" s="1983"/>
    </row>
    <row r="26">
      <c r="A26" s="1983"/>
      <c r="B26" s="1983"/>
    </row>
    <row r="27">
      <c r="A27" s="1983"/>
      <c r="B27" s="1983"/>
    </row>
    <row r="28">
      <c r="A28" s="1983"/>
      <c r="B28" s="1983"/>
    </row>
    <row r="29">
      <c r="A29" s="1983"/>
      <c r="B29" s="1983"/>
    </row>
    <row r="30">
      <c r="A30" s="1983"/>
      <c r="B30" s="1983"/>
    </row>
    <row r="31">
      <c r="A31" s="1983"/>
      <c r="B31" s="1983"/>
    </row>
    <row r="32">
      <c r="A32" s="1983"/>
      <c r="B32" s="1983"/>
    </row>
    <row r="33">
      <c r="A33" s="1983"/>
      <c r="B33" s="1983"/>
    </row>
    <row r="34">
      <c r="A34" s="1983"/>
      <c r="B34" s="1983"/>
    </row>
    <row r="35">
      <c r="A35" s="1983"/>
      <c r="B35" s="1983"/>
    </row>
    <row r="36">
      <c r="A36" s="1983"/>
      <c r="B36" s="1983"/>
    </row>
    <row r="37">
      <c r="A37" s="1983"/>
      <c r="B37" s="1983"/>
    </row>
    <row r="38">
      <c r="A38" s="1983"/>
      <c r="B38" s="1983"/>
    </row>
    <row r="39">
      <c r="A39" s="1983"/>
      <c r="B39" s="1983"/>
    </row>
    <row r="40">
      <c r="A40" s="1983"/>
      <c r="B40" s="1983"/>
    </row>
    <row r="41">
      <c r="A41" s="1983"/>
      <c r="B41" s="1983"/>
    </row>
    <row r="42">
      <c r="A42" s="1983"/>
      <c r="B42" s="1983"/>
    </row>
    <row r="43">
      <c r="A43" s="1983"/>
      <c r="B43" s="1983"/>
    </row>
    <row r="44">
      <c r="A44" s="1983"/>
      <c r="B44" s="1983"/>
    </row>
  </sheetData>
  <mergeCells count="3">
    <mergeCell ref="A1:B1"/>
    <mergeCell ref="A2:B2"/>
    <mergeCell ref="A4:B6"/>
  </mergeCells>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pageSetUpPr fitToPage="1"/>
  </sheetPr>
  <sheetViews>
    <sheetView workbookViewId="0"/>
  </sheetViews>
  <sheetFormatPr customHeight="1" defaultColWidth="12.63" defaultRowHeight="15.75"/>
  <cols>
    <col customWidth="1" min="1" max="1" width="2.88"/>
    <col customWidth="1" min="2" max="2" width="16.88"/>
    <col customWidth="1" min="3" max="3" width="13.63"/>
    <col customWidth="1" min="4" max="4" width="5.63"/>
    <col customWidth="1" min="5" max="5" width="14.0"/>
    <col customWidth="1" min="6" max="6" width="3.88"/>
    <col customWidth="1" min="7" max="7" width="4.88"/>
    <col customWidth="1" min="8" max="8" width="5.5"/>
    <col customWidth="1" min="9" max="9" width="5.13"/>
    <col customWidth="1" min="11" max="11" width="6.25"/>
    <col customWidth="1" min="12" max="12" width="16.13"/>
  </cols>
  <sheetData>
    <row r="1">
      <c r="A1" s="1984"/>
      <c r="B1" s="1985"/>
      <c r="C1" s="1986" t="s">
        <v>3444</v>
      </c>
      <c r="D1" s="135"/>
      <c r="E1" s="135"/>
      <c r="F1" s="135"/>
      <c r="G1" s="135"/>
      <c r="H1" s="135"/>
      <c r="I1" s="135"/>
      <c r="J1" s="135"/>
      <c r="K1" s="1987" t="s">
        <v>414</v>
      </c>
      <c r="L1" s="1189"/>
    </row>
    <row r="2">
      <c r="A2" s="1988" t="s">
        <v>3445</v>
      </c>
      <c r="D2" s="94"/>
      <c r="E2" s="1989" t="s">
        <v>3446</v>
      </c>
      <c r="J2" s="94"/>
      <c r="K2" s="1990" t="s">
        <v>3447</v>
      </c>
      <c r="L2" s="108"/>
    </row>
    <row r="3">
      <c r="A3" s="1991" t="str">
        <f>'101 General Info'!C2</f>
        <v>NO NAME</v>
      </c>
      <c r="B3" s="77"/>
      <c r="C3" s="77"/>
      <c r="D3" s="55"/>
      <c r="E3" s="225" t="s">
        <v>3448</v>
      </c>
      <c r="F3" s="1992">
        <f>'101 General Info'!D8</f>
        <v>43893</v>
      </c>
      <c r="J3" s="1993" t="str">
        <f>'101 General Info'!D9</f>
        <v>0700</v>
      </c>
      <c r="K3" s="1994"/>
      <c r="L3" s="108"/>
    </row>
    <row r="4">
      <c r="A4" s="1995" t="s">
        <v>3449</v>
      </c>
      <c r="B4" s="113"/>
      <c r="C4" s="1996"/>
      <c r="D4" s="161"/>
      <c r="E4" s="112" t="s">
        <v>3450</v>
      </c>
      <c r="F4" s="1992">
        <f>'101 General Info'!F8</f>
        <v>43894</v>
      </c>
      <c r="J4" s="1997" t="str">
        <f>'101 General Info'!F9</f>
        <v>0700</v>
      </c>
      <c r="K4" s="1998"/>
      <c r="L4" s="115"/>
    </row>
    <row r="5">
      <c r="A5" s="1841" t="s">
        <v>3451</v>
      </c>
      <c r="B5" s="135"/>
      <c r="C5" s="135"/>
      <c r="D5" s="1999" t="s">
        <v>3452</v>
      </c>
      <c r="E5" s="135"/>
      <c r="F5" s="135"/>
      <c r="G5" s="135"/>
      <c r="H5" s="135"/>
      <c r="I5" s="135"/>
      <c r="J5" s="135"/>
      <c r="K5" s="135"/>
      <c r="L5" s="1189"/>
    </row>
    <row r="6">
      <c r="A6" s="1455"/>
      <c r="B6" s="185" t="s">
        <v>2654</v>
      </c>
      <c r="C6" s="185" t="s">
        <v>3453</v>
      </c>
      <c r="D6" s="185" t="s">
        <v>3454</v>
      </c>
      <c r="E6" s="185" t="s">
        <v>3455</v>
      </c>
      <c r="F6" s="67"/>
      <c r="G6" s="213" t="s">
        <v>2654</v>
      </c>
      <c r="H6" s="74"/>
      <c r="I6" s="45"/>
      <c r="J6" s="185" t="s">
        <v>3453</v>
      </c>
      <c r="K6" s="185" t="s">
        <v>3454</v>
      </c>
      <c r="L6" s="2000" t="s">
        <v>3455</v>
      </c>
    </row>
    <row r="7">
      <c r="A7" s="2001">
        <v>1.0</v>
      </c>
      <c r="B7" s="2002"/>
      <c r="C7" s="2003" t="str">
        <f>iferror(vlookup(B7,ResData,2,FALSE),"")</f>
        <v/>
      </c>
      <c r="D7" s="2003" t="str">
        <f>iferror(vlookup(B7,ResData,5,FALSE),"")</f>
        <v/>
      </c>
      <c r="E7" s="2003" t="str">
        <f>iferror(vlookup(B7,ResData,9,FALSE),"")</f>
        <v/>
      </c>
      <c r="F7" s="2001">
        <v>6.0</v>
      </c>
      <c r="G7" s="213"/>
      <c r="H7" s="74"/>
      <c r="I7" s="45"/>
      <c r="J7" s="2003" t="str">
        <f>iferror(vlookup(G7,ResData,2,FALSE),"")</f>
        <v/>
      </c>
      <c r="K7" s="2003" t="str">
        <f>iferror(vlookup(G7,ResData,5,FALSE),"")</f>
        <v/>
      </c>
      <c r="L7" s="2003" t="str">
        <f>iferror(vlookup(G7,ResData,9,FALSE),"")</f>
        <v/>
      </c>
    </row>
    <row r="8">
      <c r="A8" s="2001">
        <v>2.0</v>
      </c>
      <c r="B8" s="2002"/>
      <c r="C8" s="2003" t="str">
        <f>iferror(vlookup(B8,ResData,2,FALSE),"")</f>
        <v/>
      </c>
      <c r="D8" s="2003" t="str">
        <f>iferror(vlookup(B8,ResData,5,FALSE),"")</f>
        <v/>
      </c>
      <c r="E8" s="2003" t="str">
        <f>iferror(vlookup(B8,ResData,9,FALSE),"")</f>
        <v/>
      </c>
      <c r="F8" s="2001">
        <v>7.0</v>
      </c>
      <c r="G8" s="213"/>
      <c r="H8" s="74"/>
      <c r="I8" s="45"/>
      <c r="J8" s="2003" t="str">
        <f>iferror(vlookup(G8,ResData,2,FALSE),"")</f>
        <v/>
      </c>
      <c r="K8" s="2003" t="str">
        <f>iferror(vlookup(G8,ResData,5,FALSE),"")</f>
        <v/>
      </c>
      <c r="L8" s="2003" t="str">
        <f>iferror(vlookup(G8,ResData,9,FALSE),"")</f>
        <v/>
      </c>
    </row>
    <row r="9">
      <c r="A9" s="2001">
        <v>3.0</v>
      </c>
      <c r="B9" s="2002"/>
      <c r="C9" s="2003" t="str">
        <f>iferror(vlookup(B9,ResData,2,FALSE),"")</f>
        <v/>
      </c>
      <c r="D9" s="2003" t="str">
        <f>iferror(vlookup(B9,ResData,5,FALSE),"")</f>
        <v/>
      </c>
      <c r="E9" s="2003" t="str">
        <f>iferror(vlookup(B9,ResData,9,FALSE),"")</f>
        <v/>
      </c>
      <c r="F9" s="2001">
        <v>8.0</v>
      </c>
      <c r="G9" s="213"/>
      <c r="H9" s="74"/>
      <c r="I9" s="45"/>
      <c r="J9" s="2003" t="str">
        <f>iferror(vlookup(G9,ResData,2,FALSE),"")</f>
        <v/>
      </c>
      <c r="K9" s="2003" t="str">
        <f>iferror(vlookup(G9,ResData,5,FALSE),"")</f>
        <v/>
      </c>
      <c r="L9" s="2003" t="str">
        <f>iferror(vlookup(G9,ResData,9,FALSE),"")</f>
        <v/>
      </c>
    </row>
    <row r="10">
      <c r="A10" s="2001">
        <v>4.0</v>
      </c>
      <c r="B10" s="2002"/>
      <c r="C10" s="2003" t="str">
        <f>iferror(vlookup(B10,ResData,2,FALSE),"")</f>
        <v/>
      </c>
      <c r="D10" s="2003" t="str">
        <f>iferror(vlookup(B10,ResData,5,FALSE),"")</f>
        <v/>
      </c>
      <c r="E10" s="2003" t="str">
        <f>iferror(vlookup(B10,ResData,9,FALSE),"")</f>
        <v/>
      </c>
      <c r="F10" s="2001">
        <v>9.0</v>
      </c>
      <c r="G10" s="213"/>
      <c r="H10" s="74"/>
      <c r="I10" s="45"/>
      <c r="J10" s="2003" t="str">
        <f>iferror(vlookup(G10,ResData,2,FALSE),"")</f>
        <v/>
      </c>
      <c r="K10" s="2003" t="str">
        <f>iferror(vlookup(G10,ResData,5,FALSE),"")</f>
        <v/>
      </c>
      <c r="L10" s="2003" t="str">
        <f>iferror(vlookup(G10,ResData,9,FALSE),"")</f>
        <v/>
      </c>
    </row>
    <row r="11">
      <c r="A11" s="2001">
        <v>5.0</v>
      </c>
      <c r="B11" s="2002"/>
      <c r="C11" s="2003" t="str">
        <f>iferror(vlookup(B11,ResData,2,FALSE),"")</f>
        <v/>
      </c>
      <c r="D11" s="2003" t="str">
        <f>iferror(vlookup(B11,ResData,5,FALSE),"")</f>
        <v/>
      </c>
      <c r="E11" s="2003" t="str">
        <f>iferror(vlookup(B11,ResData,9,FALSE),"")</f>
        <v/>
      </c>
      <c r="F11" s="2004"/>
      <c r="G11" s="2005" t="s">
        <v>3456</v>
      </c>
      <c r="H11" s="74"/>
      <c r="I11" s="74"/>
      <c r="J11" s="74"/>
      <c r="K11" s="74"/>
      <c r="L11" s="45"/>
    </row>
    <row r="12">
      <c r="A12" s="75" t="s">
        <v>3457</v>
      </c>
      <c r="B12" s="84"/>
      <c r="C12" s="84"/>
      <c r="D12" s="84"/>
      <c r="E12" s="84"/>
      <c r="F12" s="84"/>
      <c r="G12" s="84"/>
      <c r="H12" s="84"/>
      <c r="I12" s="84"/>
      <c r="J12" s="84"/>
      <c r="K12" s="84"/>
      <c r="L12" s="86"/>
    </row>
    <row r="13">
      <c r="A13" s="2006"/>
      <c r="L13" s="108"/>
    </row>
    <row r="14">
      <c r="A14" s="107"/>
      <c r="L14" s="108"/>
    </row>
    <row r="15">
      <c r="A15" s="107"/>
      <c r="L15" s="108"/>
    </row>
    <row r="16">
      <c r="A16" s="107"/>
      <c r="L16" s="108"/>
    </row>
    <row r="17">
      <c r="A17" s="1870"/>
      <c r="I17" s="41" t="b">
        <v>0</v>
      </c>
      <c r="J17" s="118" t="s">
        <v>3458</v>
      </c>
      <c r="L17" s="108"/>
    </row>
    <row r="18">
      <c r="A18" s="75" t="s">
        <v>3459</v>
      </c>
      <c r="B18" s="84"/>
      <c r="C18" s="84"/>
      <c r="D18" s="84"/>
      <c r="E18" s="84"/>
      <c r="F18" s="84"/>
      <c r="G18" s="84"/>
      <c r="H18" s="84"/>
      <c r="I18" s="84"/>
      <c r="J18" s="84"/>
      <c r="K18" s="84"/>
      <c r="L18" s="86"/>
    </row>
    <row r="19">
      <c r="A19" s="2006"/>
      <c r="L19" s="108"/>
    </row>
    <row r="20">
      <c r="A20" s="107"/>
      <c r="L20" s="108"/>
    </row>
    <row r="21">
      <c r="A21" s="107"/>
      <c r="L21" s="108"/>
    </row>
    <row r="22">
      <c r="A22" s="1995"/>
      <c r="B22" s="113"/>
      <c r="C22" s="113"/>
      <c r="D22" s="113"/>
      <c r="E22" s="113"/>
      <c r="F22" s="113"/>
      <c r="G22" s="113"/>
      <c r="H22" s="113"/>
      <c r="I22" s="1996" t="b">
        <v>0</v>
      </c>
      <c r="J22" s="2007" t="s">
        <v>3460</v>
      </c>
      <c r="K22" s="2007"/>
      <c r="L22" s="2008"/>
    </row>
    <row r="23">
      <c r="A23" s="1870" t="s">
        <v>3461</v>
      </c>
      <c r="B23" s="108"/>
      <c r="C23" s="2009" t="s">
        <v>3462</v>
      </c>
      <c r="D23" s="108"/>
      <c r="E23" s="118" t="s">
        <v>3463</v>
      </c>
      <c r="G23" s="1786" t="s">
        <v>2693</v>
      </c>
      <c r="H23" s="1786" t="s">
        <v>355</v>
      </c>
      <c r="I23" s="1786" t="s">
        <v>3367</v>
      </c>
      <c r="J23" s="2010"/>
      <c r="L23" s="108"/>
    </row>
    <row r="24">
      <c r="A24" s="107"/>
      <c r="B24" s="108"/>
      <c r="C24" s="107"/>
      <c r="D24" s="108"/>
      <c r="G24" t="b">
        <v>0</v>
      </c>
      <c r="H24" t="b">
        <v>0</v>
      </c>
      <c r="I24" t="b">
        <v>0</v>
      </c>
      <c r="J24" s="118" t="s">
        <v>3464</v>
      </c>
      <c r="L24" s="108"/>
    </row>
    <row r="25">
      <c r="A25" s="107"/>
      <c r="B25" s="108"/>
      <c r="C25" s="107"/>
      <c r="D25" s="108"/>
      <c r="G25" t="b">
        <v>0</v>
      </c>
      <c r="H25" t="b">
        <v>0</v>
      </c>
      <c r="I25" t="b">
        <v>0</v>
      </c>
      <c r="J25" s="118" t="s">
        <v>3465</v>
      </c>
      <c r="L25" s="108"/>
    </row>
    <row r="26">
      <c r="A26" s="79"/>
      <c r="B26" s="115"/>
      <c r="C26" s="79"/>
      <c r="D26" s="115"/>
      <c r="E26" s="113"/>
      <c r="F26" s="113"/>
      <c r="G26" s="1996" t="b">
        <v>0</v>
      </c>
      <c r="H26" s="113" t="b">
        <v>0</v>
      </c>
      <c r="I26" s="113" t="b">
        <v>0</v>
      </c>
      <c r="J26" s="2007" t="s">
        <v>3466</v>
      </c>
      <c r="K26" s="113"/>
      <c r="L26" s="115"/>
    </row>
    <row r="27">
      <c r="A27" s="75" t="s">
        <v>3467</v>
      </c>
      <c r="B27" s="84"/>
      <c r="C27" s="84"/>
      <c r="D27" s="84"/>
      <c r="E27" s="84"/>
      <c r="F27" s="84"/>
      <c r="G27" s="84"/>
      <c r="H27" s="84"/>
      <c r="I27" s="84"/>
      <c r="J27" s="84"/>
      <c r="K27" s="84"/>
      <c r="L27" s="86"/>
    </row>
    <row r="28">
      <c r="A28" s="2006"/>
      <c r="L28" s="108"/>
    </row>
    <row r="29">
      <c r="A29" s="79"/>
      <c r="B29" s="113"/>
      <c r="C29" s="113"/>
      <c r="D29" s="113"/>
      <c r="E29" s="113"/>
      <c r="F29" s="113"/>
      <c r="G29" s="113"/>
      <c r="H29" s="113"/>
      <c r="I29" s="113"/>
      <c r="J29" s="113"/>
      <c r="K29" s="113"/>
      <c r="L29" s="115"/>
    </row>
    <row r="30">
      <c r="A30" s="1841" t="s">
        <v>3468</v>
      </c>
      <c r="B30" s="136"/>
      <c r="C30" s="2011" t="s">
        <v>3469</v>
      </c>
      <c r="D30" s="135"/>
      <c r="E30" s="135"/>
      <c r="F30" s="135"/>
      <c r="G30" s="135"/>
      <c r="H30" s="135"/>
      <c r="I30" s="135"/>
      <c r="J30" s="135"/>
      <c r="K30" s="135"/>
      <c r="L30" s="1189"/>
    </row>
    <row r="31">
      <c r="A31" s="2012"/>
      <c r="B31" s="45"/>
      <c r="C31" s="378"/>
      <c r="D31" s="74"/>
      <c r="E31" s="74"/>
      <c r="F31" s="74"/>
      <c r="G31" s="74"/>
      <c r="H31" s="74"/>
      <c r="I31" s="74"/>
      <c r="J31" s="74"/>
      <c r="K31" s="74"/>
      <c r="L31" s="149"/>
    </row>
    <row r="32">
      <c r="A32" s="2013" t="s">
        <v>3470</v>
      </c>
      <c r="B32" s="45"/>
      <c r="C32" s="66" t="s">
        <v>3471</v>
      </c>
      <c r="D32" s="74"/>
      <c r="E32" s="74"/>
      <c r="F32" s="74"/>
      <c r="G32" s="74"/>
      <c r="H32" s="74"/>
      <c r="I32" s="74"/>
      <c r="J32" s="74"/>
      <c r="K32" s="74"/>
      <c r="L32" s="149"/>
    </row>
    <row r="33">
      <c r="A33" s="2013" t="s">
        <v>494</v>
      </c>
      <c r="B33" s="45"/>
      <c r="C33" s="378"/>
      <c r="D33" s="74"/>
      <c r="E33" s="74"/>
      <c r="F33" s="74"/>
      <c r="G33" s="74"/>
      <c r="H33" s="74"/>
      <c r="I33" s="74"/>
      <c r="J33" s="74"/>
      <c r="K33" s="74"/>
      <c r="L33" s="149"/>
    </row>
    <row r="34">
      <c r="A34" s="2013" t="s">
        <v>612</v>
      </c>
      <c r="B34" s="45"/>
      <c r="C34" s="378"/>
      <c r="D34" s="74"/>
      <c r="E34" s="74"/>
      <c r="F34" s="74"/>
      <c r="G34" s="74"/>
      <c r="H34" s="74"/>
      <c r="I34" s="74"/>
      <c r="J34" s="74"/>
      <c r="K34" s="74"/>
      <c r="L34" s="149"/>
    </row>
    <row r="35">
      <c r="A35" s="2014"/>
      <c r="B35" s="1200"/>
      <c r="C35" s="2015"/>
      <c r="D35" s="81"/>
      <c r="E35" s="81"/>
      <c r="F35" s="81"/>
      <c r="G35" s="81"/>
      <c r="H35" s="81"/>
      <c r="I35" s="81"/>
      <c r="J35" s="81"/>
      <c r="K35" s="81"/>
      <c r="L35" s="82"/>
    </row>
    <row r="36">
      <c r="A36" s="1921" t="s">
        <v>3472</v>
      </c>
      <c r="B36" s="864"/>
      <c r="C36" s="864"/>
      <c r="D36" s="874"/>
      <c r="E36" s="1921" t="s">
        <v>3473</v>
      </c>
      <c r="F36" s="864"/>
      <c r="G36" s="864"/>
      <c r="H36" s="864"/>
      <c r="I36" s="874"/>
      <c r="J36" s="1921" t="s">
        <v>3474</v>
      </c>
      <c r="K36" s="864"/>
      <c r="L36" s="874"/>
    </row>
    <row r="37">
      <c r="A37" s="75" t="s">
        <v>3475</v>
      </c>
      <c r="B37" s="84"/>
      <c r="C37" s="84"/>
      <c r="D37" s="84"/>
      <c r="E37" s="84"/>
      <c r="F37" s="84"/>
      <c r="G37" s="84"/>
      <c r="H37" s="84"/>
      <c r="I37" s="84"/>
      <c r="J37" s="84"/>
      <c r="K37" s="84"/>
      <c r="L37" s="86"/>
    </row>
    <row r="38">
      <c r="A38" s="2006"/>
      <c r="L38" s="108"/>
    </row>
    <row r="39">
      <c r="A39" s="79"/>
      <c r="B39" s="113"/>
      <c r="C39" s="113"/>
      <c r="D39" s="113"/>
      <c r="E39" s="113"/>
      <c r="F39" s="113"/>
      <c r="G39" s="113"/>
      <c r="H39" s="113"/>
      <c r="I39" s="113"/>
      <c r="J39" s="113"/>
      <c r="K39" s="113"/>
      <c r="L39" s="115"/>
    </row>
    <row r="40">
      <c r="A40" s="75" t="s">
        <v>3476</v>
      </c>
      <c r="B40" s="84"/>
      <c r="C40" s="86"/>
      <c r="D40" s="75" t="s">
        <v>3477</v>
      </c>
      <c r="E40" s="86"/>
      <c r="F40" s="2016" t="s">
        <v>3478</v>
      </c>
      <c r="G40" s="84"/>
      <c r="H40" s="84"/>
      <c r="I40" s="86"/>
      <c r="J40" s="2016" t="s">
        <v>3479</v>
      </c>
      <c r="K40" s="84"/>
      <c r="L40" s="86"/>
    </row>
    <row r="41">
      <c r="A41" s="79"/>
      <c r="B41" s="113"/>
      <c r="C41" s="115"/>
      <c r="D41" s="79"/>
      <c r="E41" s="115"/>
      <c r="F41" s="79"/>
      <c r="G41" s="113"/>
      <c r="H41" s="113"/>
      <c r="I41" s="115"/>
      <c r="J41" s="79"/>
      <c r="K41" s="113"/>
      <c r="L41" s="115"/>
    </row>
    <row r="42">
      <c r="A42" s="2017" t="s">
        <v>3480</v>
      </c>
      <c r="B42" s="86"/>
      <c r="C42" s="1862" t="s">
        <v>3481</v>
      </c>
      <c r="D42" s="2018" t="b">
        <v>0</v>
      </c>
      <c r="E42" s="2019" t="s">
        <v>3482</v>
      </c>
      <c r="F42" s="86"/>
      <c r="G42" s="75" t="s">
        <v>3483</v>
      </c>
      <c r="H42" s="84"/>
      <c r="I42" s="84"/>
      <c r="J42" s="84"/>
      <c r="K42" s="84"/>
      <c r="L42" s="86"/>
    </row>
    <row r="43">
      <c r="A43" s="107"/>
      <c r="B43" s="108"/>
      <c r="C43" s="107"/>
      <c r="D43" s="41" t="b">
        <v>0</v>
      </c>
      <c r="E43" s="118" t="s">
        <v>3484</v>
      </c>
      <c r="F43" s="108"/>
      <c r="G43" s="107"/>
      <c r="L43" s="108"/>
    </row>
    <row r="44">
      <c r="A44" s="2020" t="s">
        <v>3485</v>
      </c>
      <c r="B44" s="108"/>
      <c r="C44" s="107"/>
      <c r="D44" s="41" t="b">
        <v>0</v>
      </c>
      <c r="E44" s="2021" t="s">
        <v>3486</v>
      </c>
      <c r="F44" s="108"/>
      <c r="G44" s="107"/>
      <c r="L44" s="108"/>
    </row>
    <row r="45">
      <c r="A45" s="2022" t="s">
        <v>3487</v>
      </c>
      <c r="B45" s="115"/>
      <c r="C45" s="79"/>
      <c r="D45" s="1996" t="b">
        <v>0</v>
      </c>
      <c r="E45" s="2023" t="s">
        <v>3488</v>
      </c>
      <c r="F45" s="115"/>
      <c r="G45" s="79"/>
      <c r="H45" s="113"/>
      <c r="I45" s="113"/>
      <c r="J45" s="113"/>
      <c r="K45" s="113"/>
      <c r="L45" s="115"/>
    </row>
  </sheetData>
  <mergeCells count="79">
    <mergeCell ref="A26:B26"/>
    <mergeCell ref="C26:D26"/>
    <mergeCell ref="E26:F26"/>
    <mergeCell ref="A27:L27"/>
    <mergeCell ref="A28:L29"/>
    <mergeCell ref="A30:B30"/>
    <mergeCell ref="C30:L30"/>
    <mergeCell ref="A31:B31"/>
    <mergeCell ref="C31:L31"/>
    <mergeCell ref="A32:B32"/>
    <mergeCell ref="C32:L32"/>
    <mergeCell ref="A33:B33"/>
    <mergeCell ref="A34:B34"/>
    <mergeCell ref="A35:B35"/>
    <mergeCell ref="A36:B36"/>
    <mergeCell ref="C36:D36"/>
    <mergeCell ref="E36:F36"/>
    <mergeCell ref="G36:I36"/>
    <mergeCell ref="J36:K36"/>
    <mergeCell ref="A37:L37"/>
    <mergeCell ref="A38:L39"/>
    <mergeCell ref="A40:C40"/>
    <mergeCell ref="D40:E40"/>
    <mergeCell ref="F40:I40"/>
    <mergeCell ref="J40:L40"/>
    <mergeCell ref="D41:E41"/>
    <mergeCell ref="F41:I41"/>
    <mergeCell ref="J41:L41"/>
    <mergeCell ref="A44:B44"/>
    <mergeCell ref="A45:B45"/>
    <mergeCell ref="E45:F45"/>
    <mergeCell ref="G45:L45"/>
    <mergeCell ref="A41:C41"/>
    <mergeCell ref="A42:B43"/>
    <mergeCell ref="C42:C45"/>
    <mergeCell ref="E42:F42"/>
    <mergeCell ref="G42:L42"/>
    <mergeCell ref="G43:L43"/>
    <mergeCell ref="G44:L44"/>
    <mergeCell ref="C1:J1"/>
    <mergeCell ref="K1:L1"/>
    <mergeCell ref="A2:D2"/>
    <mergeCell ref="E2:J2"/>
    <mergeCell ref="K2:L2"/>
    <mergeCell ref="F3:I3"/>
    <mergeCell ref="K3:L3"/>
    <mergeCell ref="A3:D3"/>
    <mergeCell ref="A4:B4"/>
    <mergeCell ref="C4:D4"/>
    <mergeCell ref="F4:I4"/>
    <mergeCell ref="K4:L4"/>
    <mergeCell ref="G6:I6"/>
    <mergeCell ref="G7:I7"/>
    <mergeCell ref="G8:I8"/>
    <mergeCell ref="G9:I9"/>
    <mergeCell ref="G10:I10"/>
    <mergeCell ref="G11:L11"/>
    <mergeCell ref="A12:L12"/>
    <mergeCell ref="A13:L16"/>
    <mergeCell ref="J17:L17"/>
    <mergeCell ref="J24:L24"/>
    <mergeCell ref="J25:L25"/>
    <mergeCell ref="J26:L26"/>
    <mergeCell ref="A17:H17"/>
    <mergeCell ref="A18:L18"/>
    <mergeCell ref="A19:L21"/>
    <mergeCell ref="A22:H22"/>
    <mergeCell ref="C23:D23"/>
    <mergeCell ref="E23:F23"/>
    <mergeCell ref="J23:L23"/>
    <mergeCell ref="A23:B23"/>
    <mergeCell ref="A24:B24"/>
    <mergeCell ref="C24:D24"/>
    <mergeCell ref="E24:F24"/>
    <mergeCell ref="A25:B25"/>
    <mergeCell ref="C25:D25"/>
    <mergeCell ref="E25:F25"/>
    <mergeCell ref="E43:F43"/>
    <mergeCell ref="E44:F44"/>
  </mergeCells>
  <dataValidations>
    <dataValidation type="list" allowBlank="1" sqref="G7:G10 B7:B11">
      <formula1>ResourceID!$B$2:$B$93</formula1>
    </dataValidation>
  </dataValidations>
  <printOptions horizontalCentered="1"/>
  <pageMargins bottom="0.75" footer="0.0" header="0.0" left="0.7" right="0.7" top="0.75"/>
  <pageSetup orientation="portrait" pageOrder="overThenDown"/>
  <drawing r:id="rId1"/>
</worksheet>
</file>